
<file path=[Content_Types].xml><?xml version="1.0" encoding="utf-8"?>
<Types xmlns="http://schemas.openxmlformats.org/package/2006/content-types">
  <Default Extension="xml" ContentType="application/xml"/>
  <Default Extension="vml" ContentType="application/vnd.openxmlformats-officedocument.vmlDrawing"/>
  <Default Extension="emf" ContentType="image/x-emf"/>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ml.chartshapes+xml"/>
  <Override PartName="/xl/embeddings/Microsoft_Visio_2003-2010___1.vsd" ContentType="application/vnd.visio"/>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DbP24DE7S0DngW599HqljJ9xiYW+q2QxD/ox67QASTWghewtn67ttfmLi+pC55oU73kb6TgLccTIA37//UmZEw==" workbookSaltValue="Mst3C5luR25Ksd0g3almpA==" workbookSpinCount="100000" lockStructure="1"/>
  <bookViews>
    <workbookView windowWidth="18350" windowHeight="6880" tabRatio="580"/>
  </bookViews>
  <sheets>
    <sheet name="LM(2)518x PSR flyback converter" sheetId="1" r:id="rId1"/>
    <sheet name="BOM &amp; Schematic" sheetId="16" r:id="rId2"/>
    <sheet name="EVM Examples Layouts" sheetId="14" r:id="rId3"/>
    <sheet name="Variable Mgmt" sheetId="2" state="hidden" r:id="rId4"/>
    <sheet name="Stability Calculations" sheetId="29" state="hidden" r:id="rId5"/>
    <sheet name="Calculations - Single" sheetId="24" state="hidden" r:id="rId6"/>
    <sheet name="Calculations - Dual" sheetId="25" state="hidden" r:id="rId7"/>
    <sheet name="Fsw vs VIN" sheetId="23" state="hidden" r:id="rId8"/>
    <sheet name="Parameters" sheetId="19" state="hidden"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Mgmt'!$B$68</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ODE_TYPE">'Variable Mgmt'!$Q$22</definedName>
    <definedName name="Cb">'Variable Mgmt'!$B$162</definedName>
    <definedName name="Ccomp">'Stability Calculations'!$D$38</definedName>
    <definedName name="Chf">'Stability Calculations'!$D$39</definedName>
    <definedName name="Cin" localSheetId="8">Parameters!$D$30</definedName>
    <definedName name="Cin">'Variable Mgmt'!$B$128</definedName>
    <definedName name="CinEsrMax">'Variable Mgmt'!$B$130</definedName>
    <definedName name="Cinmin">'Variable Mgmt'!$B$126</definedName>
    <definedName name="CONFIG">'Variable Mgmt'!$C$60</definedName>
    <definedName name="Coss">Parameters!$D$45</definedName>
    <definedName name="Cout" localSheetId="8">Parameters!$D$32</definedName>
    <definedName name="Cout">'Variable Mgmt'!$B$103</definedName>
    <definedName name="Cout_pri">'Stability Calculations'!$B$27</definedName>
    <definedName name="Cout_sec">'Stability Calculations'!$B$25</definedName>
    <definedName name="Cout_Voltage_Rating">'Variable Mgmt'!$S$61</definedName>
    <definedName name="Cout2">'Variable Mgmt'!$B$113</definedName>
    <definedName name="CoutEsr">'Variable Mgmt'!$B$105</definedName>
    <definedName name="CoutEsr2">'Variable Mgmt'!$B$115</definedName>
    <definedName name="Css">'Variable Mgmt'!$B$142</definedName>
    <definedName name="Css_u">'Variable Mgmt'!$B$143</definedName>
    <definedName name="Csw">Parameters!$D$46</definedName>
    <definedName name="Diode_TC">'Variable Mgmt'!$B$173</definedName>
    <definedName name="Don_Vinmax">'Variable Mgmt'!$B$71</definedName>
    <definedName name="Don_Vinmin">'Variable Mgmt'!$B$69</definedName>
    <definedName name="Don_Vinnom">'Variable Mgmt'!$B$70</definedName>
    <definedName name="EFF_DUAL">'Efficiency Plots'!$B$7</definedName>
    <definedName name="EFF_SINGLE">'Efficiency Plots'!$B$5</definedName>
    <definedName name="Efficiency">'Variable Mgmt'!$B$36</definedName>
    <definedName name="Fsw" localSheetId="8">Parameters!$D$20</definedName>
    <definedName name="Fsw_DCM">'Variable Mgmt'!$B$47</definedName>
    <definedName name="Fsw_DUAL">'Fsw Plots'!$B$7</definedName>
    <definedName name="Fsw_max">Parameters!$D$21</definedName>
    <definedName name="Fsw_SINGLE">'Fsw Plots'!$B$5</definedName>
    <definedName name="gmEA">'Stability Calculations'!$D$31</definedName>
    <definedName name="Icinrms">'Variable Mgmt'!$B$125</definedName>
    <definedName name="Icoutrms">'Variable Mgmt'!$B$97</definedName>
    <definedName name="Iin_Vinmax">'Variable Mgmt'!$B$43</definedName>
    <definedName name="Iin_Vinmin">'Variable Mgmt'!$B$40</definedName>
    <definedName name="Iin_Vinnom">'Variable Mgmt'!$B$42</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6">'Calculations - Dual'!$Q$216</definedName>
    <definedName name="Ioutmax_Vinmax">'Calculations - Single'!$P$216</definedName>
    <definedName name="Ioutmax_Vinmin" localSheetId="6">'Calculations - Dual'!$Q$110</definedName>
    <definedName name="Ioutmax_Vinmin">'Calculations - Single'!$P$110</definedName>
    <definedName name="Ioutmax_Vinnom" localSheetId="6">'Calculations - Dual'!$Q$5</definedName>
    <definedName name="Ioutmax_Vinnom">'Calculations - Single'!$P$5</definedName>
    <definedName name="IQ">Parameters!$D$39</definedName>
    <definedName name="Iripple">Parameters!$D$19</definedName>
    <definedName name="Iripple_Vinmax" localSheetId="6">'Variable Mgmt'!#REF!</definedName>
    <definedName name="Iripple_Vinmax" localSheetId="10">'Variable Mgmt'!#REF!</definedName>
    <definedName name="Iripple_Vinmin" localSheetId="6">'Variable Mgmt'!#REF!</definedName>
    <definedName name="Iripple_Vinmin" localSheetId="10">'Variable Mgmt'!#REF!</definedName>
    <definedName name="Iripple_Vinnom" localSheetId="6">'Variable Mgmt'!#REF!</definedName>
    <definedName name="Iripple_Vinnom" localSheetId="10">'Variable Mgmt'!#REF!</definedName>
    <definedName name="Iripple1" localSheetId="6">'Variable Mgmt'!#REF!</definedName>
    <definedName name="Iripple1" localSheetId="10">'Variable Mgmt'!#REF!</definedName>
    <definedName name="Isat">'Variable Mgmt'!$B$93</definedName>
    <definedName name="Iss">'Variable Mgmt'!$B$141</definedName>
    <definedName name="Isw_max">Parameters!$D$35</definedName>
    <definedName name="Isw_min">Parameters!$D$36</definedName>
    <definedName name="Iuvlo_hys">'Variable Mgmt'!$B$152</definedName>
    <definedName name="Iuvlo1">'Variable Mgmt'!$B$150</definedName>
    <definedName name="Iuvlo2">'Variable Mgmt'!$B$151</definedName>
    <definedName name="k_core">Parameters!$D$29</definedName>
    <definedName name="L">Parameters!$D$26</definedName>
    <definedName name="Lleak">'Variable Mgmt'!$B$82</definedName>
    <definedName name="Lmag">'Variable Mgmt'!$B$81</definedName>
    <definedName name="Lmin">'Variable Mgmt'!$B$92</definedName>
    <definedName name="Ltc">'Variable Mgmt'!$B$184</definedName>
    <definedName name="M">'Stability Calculations'!$B$18</definedName>
    <definedName name="max_I">Parameters!$H$109</definedName>
    <definedName name="min_I">Parameters!$H$108</definedName>
    <definedName name="MODE">'Variable Mgmt'!$C$59</definedName>
    <definedName name="MODE_SS">'Variable Mgmt'!$J$64</definedName>
    <definedName name="MODE_TC">'Variable Mgmt'!$G$58</definedName>
    <definedName name="MODE_TOP">'Variable Mgmt'!$B$59</definedName>
    <definedName name="MODE_UVLO">'Variable Mgmt'!$G$64</definedName>
    <definedName name="Npri_sec">'Stability Calculations'!$B$13</definedName>
    <definedName name="Npri_sec1">'Variable Mgmt'!$R$49</definedName>
    <definedName name="Npri_sec2">'Variable Mgmt'!$R$51</definedName>
    <definedName name="Nps">'Variable Mgmt'!$R$48</definedName>
    <definedName name="Nsec1sec2">'Variable Mgmt'!$R$50</definedName>
    <definedName name="OffTime">Parameters!$D$18</definedName>
    <definedName name="OnTime">Parameters!$D$17</definedName>
    <definedName name="Pi">'Variable Mgmt'!$B$165</definedName>
    <definedName name="PICTURE1">INDIRECT('Schematic Mgmt'!$A$2)</definedName>
    <definedName name="PICTURE2">INDIRECT('Fsw Plots'!$A$2)</definedName>
    <definedName name="PICTURE3">INDIRECT('Efficiency Plots'!$A$2)</definedName>
    <definedName name="Pin">'Variable Mgmt'!$B$38</definedName>
    <definedName name="PLOT_TYPE">'Variable Mgmt'!$M$64</definedName>
    <definedName name="pole1">'Stability Calculations'!$Q$4</definedName>
    <definedName name="Pole2">'Stability Calculations'!$I$5</definedName>
    <definedName name="pole3">'Stability Calculations'!$T$3</definedName>
    <definedName name="pole4">'Stability Calculations'!$I$7</definedName>
    <definedName name="Pout">'Variable Mgmt'!$B$14</definedName>
    <definedName name="Pout_total">'Variable Mgmt'!$B$22</definedName>
    <definedName name="Pout2">'Variable Mgmt'!$B$21</definedName>
    <definedName name="_xlnm.Print_Area" localSheetId="1">'BOM &amp; Schematic'!$A$1:$I$50</definedName>
    <definedName name="_xlnm.Print_Area" localSheetId="0">'LM(2)518x PSR flyback converter'!$A$1:$R$63</definedName>
    <definedName name="pterm1">'Stability Calculations'!$T$4</definedName>
    <definedName name="pterm2">'Stability Calculations'!$T$5</definedName>
    <definedName name="Qg">Parameters!$D$44</definedName>
    <definedName name="radconv">'Stability Calculations'!$W$6</definedName>
    <definedName name="RCinEsr" localSheetId="8">Parameters!$D$31</definedName>
    <definedName name="RCinEsr">'Variable Mgmt'!$B$131</definedName>
    <definedName name="Rcomp">'Stability Calculations'!$D$37</definedName>
    <definedName name="RCoutEsr" localSheetId="8">Parameters!$D$33</definedName>
    <definedName name="RCoutEsr">'Variable Mgmt'!$B$105</definedName>
    <definedName name="Rcs_gain">'Stability Calculations'!$B$34</definedName>
    <definedName name="Rdcr_pri">'Variable Mgmt'!$B$83</definedName>
    <definedName name="Rdcr_sec">'Variable Mgmt'!$B$84</definedName>
    <definedName name="Rdcr_sec2">'Variable Mgmt'!$B$85</definedName>
    <definedName name="Rdiode">Parameters!$D$50</definedName>
    <definedName name="Rdson">Parameters!$D$41</definedName>
    <definedName name="RdsonTC">Parameters!$D$42</definedName>
    <definedName name="REAout">'Stability Calculations'!$D$32</definedName>
    <definedName name="Rfb">'Variable Mgmt'!$B$49</definedName>
    <definedName name="Rfb_recommend">'Variable Mgmt'!$B$169</definedName>
    <definedName name="Rfb2_u">'Variable Mgmt'!$B$171</definedName>
    <definedName name="Rload_pri">'Stability Calculations'!$B$22</definedName>
    <definedName name="Rload_sec">'Stability Calculations'!$B$21</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Mgmt'!$B$175</definedName>
    <definedName name="RTC_1">'Variable Mgmt'!$B$174</definedName>
    <definedName name="Ruvlo1">'Variable Mgmt'!$B$157</definedName>
    <definedName name="Ruvlo2">'Variable Mgmt'!$B$158</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8">Parameters!$D$12</definedName>
    <definedName name="Ta">'Variable Mgmt'!$B$182</definedName>
    <definedName name="TC">'Variable Mgmt'!$G$58</definedName>
    <definedName name="Tfall">Parameters!$D$23</definedName>
    <definedName name="ThetaCa">'Variable Mgmt'!$B$185</definedName>
    <definedName name="ThetaJA">Parameters!$D$54</definedName>
    <definedName name="TL">'Variable Mgmt'!$B$93</definedName>
    <definedName name="toff_max">'Variable Mgmt'!$B$91</definedName>
    <definedName name="Toff_Vinmax">'Variable Mgmt'!$B$166</definedName>
    <definedName name="Ton_Vinmin">'Variable Mgmt'!$B$167</definedName>
    <definedName name="Trise">Parameters!$D$22</definedName>
    <definedName name="TrrBot">Parameters!$D$52</definedName>
    <definedName name="Tss">'Variable Mgmt'!$B$140</definedName>
    <definedName name="Tsw">'Stability Calculations'!$B$19</definedName>
    <definedName name="Turns_Ratio">'Variable Mgmt'!$S$45</definedName>
    <definedName name="Turns_Ratio2">'Variable Mgmt'!$W$45</definedName>
    <definedName name="VARIANT">'Variable Mgmt'!$Q$15</definedName>
    <definedName name="Vdd">Parameters!$D$13</definedName>
    <definedName name="Vfwd1">Parameters!$D$48</definedName>
    <definedName name="Vfwd2">Parameters!$D$49</definedName>
    <definedName name="Vin">'LM(2)518x PSR flyback converter'!$E$7</definedName>
    <definedName name="Vin_eff">'Stability Calculations'!$B$16</definedName>
    <definedName name="VIN_max">'Variable Mgmt'!$B$9</definedName>
    <definedName name="VIN_MAX_RATING">'Variable Mgmt'!$P$16</definedName>
    <definedName name="VIN_min">'Variable Mgmt'!$B$7</definedName>
    <definedName name="VIN_nom">'Variable Mgmt'!$B$8</definedName>
    <definedName name="Vinripple1">'Variable Mgmt'!$B$123</definedName>
    <definedName name="Vinripple2">'Variable Mgmt'!$B$136</definedName>
    <definedName name="VINuvlo_off">'Variable Mgmt'!$B$155</definedName>
    <definedName name="VINuvlo_on">'Variable Mgmt'!$B$154</definedName>
    <definedName name="Vout">'Variable Mgmt'!$B$11</definedName>
    <definedName name="Vout_eff">'Stability Calculations'!$B$14</definedName>
    <definedName name="Vout_ripple">'Variable Mgmt'!$B$30</definedName>
    <definedName name="Vout_ripple2">'Variable Mgmt'!$B$32</definedName>
    <definedName name="Vout2">'Variable Mgmt'!$B$16</definedName>
    <definedName name="Vout2_actual">'Variable Mgmt'!$B$17</definedName>
    <definedName name="Vref">'Variable Mgmt'!$B$48</definedName>
    <definedName name="Vripple1_actual">'Variable Mgmt'!$B$107</definedName>
    <definedName name="Vripple1_spec">'Variable Mgmt'!$B$101</definedName>
    <definedName name="Vripple2_actual">'Variable Mgmt'!$B$117</definedName>
    <definedName name="Vripple2_spec">'Variable Mgmt'!$B$111</definedName>
    <definedName name="VRRM_DIODE">'Variable Mgmt'!$B$28</definedName>
    <definedName name="Vsw_max">'Variable Mgmt'!$P$17</definedName>
    <definedName name="Vuvlo_hys">'Variable Mgmt'!$B$149</definedName>
    <definedName name="Vuvlo_off">'Variable Mgmt'!$B$148</definedName>
    <definedName name="Vuvlo_on">'Variable Mgmt'!$B$147</definedName>
    <definedName name="z_RHP">'Stability Calculations'!$Q$5</definedName>
    <definedName name="Zero1">'Stability Calculations'!$Q$3</definedName>
    <definedName name="Zero2">'Stability Calculations'!$I$4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Timothy Hegarty</author>
    <author>Xi, Youhao</author>
    <author>Hegarty, Timothy</author>
  </authors>
  <commentList>
    <comment ref="A3" authorId="0">
      <text>
        <r>
          <rPr>
            <b/>
            <sz val="11"/>
            <color indexed="10"/>
            <rFont val="Tahoma"/>
            <charset val="134"/>
          </rPr>
          <t>Welcome to the LM5180/1 and LM25180/3/4 Design Tool</t>
        </r>
        <r>
          <rPr>
            <sz val="9"/>
            <rFont val="Tahoma"/>
            <charset val="134"/>
          </rPr>
          <t xml:space="preserve">
This stand-alone tool facilitates and assists the power supply engineer with design of an isolated DC/DC regulator based on the </t>
        </r>
        <r>
          <rPr>
            <b/>
            <sz val="9"/>
            <rFont val="Tahoma"/>
            <charset val="134"/>
          </rPr>
          <t>LM(2)5180/1/3/4 low-I</t>
        </r>
        <r>
          <rPr>
            <b/>
            <vertAlign val="subscript"/>
            <sz val="9"/>
            <rFont val="Tahoma"/>
            <charset val="134"/>
          </rPr>
          <t>Q</t>
        </r>
        <r>
          <rPr>
            <b/>
            <sz val="9"/>
            <rFont val="Tahoma"/>
            <charset val="134"/>
          </rPr>
          <t xml:space="preserve"> PSR flyback converter</t>
        </r>
        <r>
          <rPr>
            <sz val="9"/>
            <rFont val="Tahoma"/>
            <charset val="134"/>
          </rPr>
          <t xml:space="preserve">. As such, the user can expeditiously arrive at an optimized design by virtue of the following:
- Select transformer parameters including turns ratio and mag inductance
- Determine input and output capacitances for specified ripple requirements (1% Vout and 5% Vin)
- Select components for feedback, soft-start, input UVLO, and temperature compensation
- Advise componnets (usually optional) for SW voltage clamp and and flyback diode snubber
- Optimize the design using efficiency and solution size as key performance metrics
- Inspect converter efficiency and switching frequency over load and line
- Analyze efficiency based on selected component parameters
- Review auto-generated schematic and BOM list
</t>
        </r>
        <r>
          <rPr>
            <b/>
            <sz val="9"/>
            <rFont val="Tahoma"/>
            <charset val="134"/>
          </rPr>
          <t>IMPORTANT:</t>
        </r>
        <r>
          <rPr>
            <sz val="9"/>
            <rFont val="Tahoma"/>
            <charset val="134"/>
          </rPr>
          <t xml:space="preserve"> You must enable macros if Microsoft EXCEL asks as the file is being opened.
U.S. English notation is used throughout.
</t>
        </r>
        <r>
          <rPr>
            <u/>
            <sz val="9"/>
            <color indexed="12"/>
            <rFont val="Tahoma"/>
            <charset val="134"/>
          </rPr>
          <t>http://www.ti.com/widevin/</t>
        </r>
        <r>
          <rPr>
            <sz val="9"/>
            <rFont val="Tahoma"/>
            <charset val="134"/>
          </rPr>
          <t xml:space="preserve">
</t>
        </r>
        <r>
          <rPr>
            <b/>
            <sz val="9"/>
            <rFont val="Tahoma"/>
            <charset val="134"/>
          </rPr>
          <t xml:space="preserve">
Rev A1, Timothy Hegarty, Texas Instruments, Inc., August 2021
Rev B, Youhao Xi, Texas Instruments, Inc., November 2022</t>
        </r>
      </text>
    </comment>
    <comment ref="U3" authorId="0">
      <text>
        <r>
          <rPr>
            <b/>
            <u/>
            <sz val="11"/>
            <color indexed="10"/>
            <rFont val="Tahoma"/>
            <charset val="134"/>
          </rPr>
          <t>Texas Instruments</t>
        </r>
        <r>
          <rPr>
            <sz val="11"/>
            <color indexed="10"/>
            <rFont val="Tahoma"/>
            <charset val="134"/>
          </rPr>
          <t>:</t>
        </r>
        <r>
          <rPr>
            <sz val="9"/>
            <rFont val="Tahoma"/>
            <charset val="134"/>
          </rPr>
          <t xml:space="preserve">
</t>
        </r>
        <r>
          <rPr>
            <b/>
            <sz val="9"/>
            <rFont val="Tahoma"/>
            <charset val="134"/>
          </rPr>
          <t>Limited Use Policy</t>
        </r>
        <r>
          <rPr>
            <sz val="9"/>
            <rFont val="Tahoma"/>
            <charset val="134"/>
          </rPr>
          <t xml:space="preserve">
You must treat this software and documentation like any other copyrighted material.
</t>
        </r>
        <r>
          <rPr>
            <b/>
            <sz val="9"/>
            <rFont val="Tahoma"/>
            <charset val="134"/>
          </rPr>
          <t>You may not:</t>
        </r>
        <r>
          <rPr>
            <sz val="9"/>
            <rFont val="Tahoma"/>
            <charset val="134"/>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LM5180/1 and LM25180/3/4 product datasheets and EVM user's guides for more details.
</t>
        </r>
        <r>
          <rPr>
            <b/>
            <sz val="9"/>
            <rFont val="Tahoma"/>
            <charset val="134"/>
          </rPr>
          <t>Rev A1, Timothy Hegarty, Texas Instruments, Inc.</t>
        </r>
      </text>
    </comment>
    <comment ref="F6" authorId="0">
      <text>
        <r>
          <rPr>
            <b/>
            <u/>
            <sz val="9"/>
            <rFont val="Tahoma"/>
            <charset val="134"/>
          </rPr>
          <t>Minimum Input Voltage</t>
        </r>
        <r>
          <rPr>
            <b/>
            <sz val="9"/>
            <rFont val="Tahoma"/>
            <charset val="134"/>
          </rPr>
          <t>:</t>
        </r>
        <r>
          <rPr>
            <sz val="9"/>
            <rFont val="Tahoma"/>
            <charset val="134"/>
          </rPr>
          <t xml:space="preserve">
Enter the minimum input operating voltage.
The LM(2)5180/1/3/4 input voltage operating range is 4.5V to (42V)65V.
</t>
        </r>
        <r>
          <rPr>
            <b/>
            <sz val="9"/>
            <rFont val="Tahoma"/>
            <charset val="134"/>
          </rPr>
          <t xml:space="preserve">The text in this cell is </t>
        </r>
        <r>
          <rPr>
            <b/>
            <sz val="9"/>
            <color indexed="10"/>
            <rFont val="Tahoma"/>
            <charset val="134"/>
          </rPr>
          <t>red</t>
        </r>
        <r>
          <rPr>
            <b/>
            <sz val="9"/>
            <rFont val="Tahoma"/>
            <charset val="134"/>
          </rPr>
          <t xml:space="preserve"> if:</t>
        </r>
        <r>
          <rPr>
            <sz val="9"/>
            <rFont val="Tahoma"/>
            <charset val="134"/>
          </rPr>
          <t xml:space="preserve">
-The input voltage is above </t>
        </r>
        <r>
          <rPr>
            <b/>
            <sz val="9"/>
            <color indexed="10"/>
            <rFont val="Tahoma"/>
            <charset val="134"/>
          </rPr>
          <t>42V</t>
        </r>
        <r>
          <rPr>
            <b/>
            <sz val="9"/>
            <rFont val="Tahoma"/>
            <charset val="134"/>
          </rPr>
          <t xml:space="preserve"> </t>
        </r>
        <r>
          <rPr>
            <sz val="9"/>
            <rFont val="Tahoma"/>
            <charset val="134"/>
          </rPr>
          <t xml:space="preserve">(LM25180/3/4/-Q1) or </t>
        </r>
        <r>
          <rPr>
            <b/>
            <sz val="9"/>
            <color indexed="10"/>
            <rFont val="Tahoma"/>
            <charset val="134"/>
          </rPr>
          <t>65V</t>
        </r>
        <r>
          <rPr>
            <sz val="9"/>
            <rFont val="Tahoma"/>
            <charset val="134"/>
          </rPr>
          <t xml:space="preserve"> (LM5180/1/-Q1)
-The input voltage is below </t>
        </r>
        <r>
          <rPr>
            <b/>
            <sz val="9"/>
            <color indexed="10"/>
            <rFont val="Tahoma"/>
            <charset val="134"/>
          </rPr>
          <t>4.5V</t>
        </r>
      </text>
    </comment>
    <comment ref="M6" authorId="0">
      <text>
        <r>
          <rPr>
            <b/>
            <u/>
            <sz val="9"/>
            <rFont val="Tahoma"/>
            <charset val="134"/>
          </rPr>
          <t>Minimum Magnetizing Inductance</t>
        </r>
        <r>
          <rPr>
            <b/>
            <sz val="9"/>
            <rFont val="Tahoma"/>
            <charset val="134"/>
          </rPr>
          <t xml:space="preserve">:
</t>
        </r>
        <r>
          <rPr>
            <sz val="9"/>
            <rFont val="Tahoma"/>
            <charset val="134"/>
          </rPr>
          <t>The minimum magnetizing inductance is set by the off-time constraint at light loads (in FFM). The requirement is that the magnetizing current must not decrease to zero in less than 500ns.</t>
        </r>
      </text>
    </comment>
    <comment ref="F7" authorId="0">
      <text>
        <r>
          <rPr>
            <b/>
            <u/>
            <sz val="9"/>
            <rFont val="Tahoma"/>
            <charset val="134"/>
          </rPr>
          <t>Nominal Input Voltage</t>
        </r>
        <r>
          <rPr>
            <b/>
            <sz val="9"/>
            <rFont val="Tahoma"/>
            <charset val="134"/>
          </rPr>
          <t>:</t>
        </r>
        <r>
          <rPr>
            <sz val="9"/>
            <rFont val="Tahoma"/>
            <charset val="134"/>
          </rPr>
          <t xml:space="preserve">
Enter the nominal input operating voltage.
The LM(2)51801/3/4 input voltage operating range is 4.5V to (42V)65V.
</t>
        </r>
        <r>
          <rPr>
            <b/>
            <sz val="9"/>
            <rFont val="Tahoma"/>
            <charset val="134"/>
          </rPr>
          <t xml:space="preserve">The text in this cell is </t>
        </r>
        <r>
          <rPr>
            <b/>
            <sz val="9"/>
            <color indexed="10"/>
            <rFont val="Tahoma"/>
            <charset val="134"/>
          </rPr>
          <t>red</t>
        </r>
        <r>
          <rPr>
            <b/>
            <sz val="9"/>
            <rFont val="Tahoma"/>
            <charset val="134"/>
          </rPr>
          <t xml:space="preserve"> if:</t>
        </r>
        <r>
          <rPr>
            <sz val="9"/>
            <rFont val="Tahoma"/>
            <charset val="134"/>
          </rPr>
          <t xml:space="preserve">
-The input voltage is above </t>
        </r>
        <r>
          <rPr>
            <b/>
            <sz val="9"/>
            <color indexed="10"/>
            <rFont val="Tahoma"/>
            <charset val="134"/>
          </rPr>
          <t>42V</t>
        </r>
        <r>
          <rPr>
            <sz val="9"/>
            <rFont val="Tahoma"/>
            <charset val="134"/>
          </rPr>
          <t xml:space="preserve"> (LM25180/3/4/-Q1) or </t>
        </r>
        <r>
          <rPr>
            <b/>
            <sz val="9"/>
            <color indexed="10"/>
            <rFont val="Tahoma"/>
            <charset val="134"/>
          </rPr>
          <t>65V</t>
        </r>
        <r>
          <rPr>
            <sz val="9"/>
            <rFont val="Tahoma"/>
            <charset val="134"/>
          </rPr>
          <t xml:space="preserve"> (LM5180/1/-Q1)
-The input voltage is below </t>
        </r>
        <r>
          <rPr>
            <b/>
            <sz val="9"/>
            <color indexed="10"/>
            <rFont val="Tahoma"/>
            <charset val="134"/>
          </rPr>
          <t xml:space="preserve">4.5V
</t>
        </r>
        <r>
          <rPr>
            <sz val="9"/>
            <color indexed="8"/>
            <rFont val="Tahoma"/>
            <charset val="134"/>
          </rPr>
          <t xml:space="preserve">-The nom input voltage is </t>
        </r>
        <r>
          <rPr>
            <b/>
            <i/>
            <sz val="9"/>
            <color indexed="10"/>
            <rFont val="Tahoma"/>
            <charset val="134"/>
          </rPr>
          <t>smaller</t>
        </r>
        <r>
          <rPr>
            <sz val="9"/>
            <color indexed="8"/>
            <rFont val="Tahoma"/>
            <charset val="134"/>
          </rPr>
          <t xml:space="preserve"> than the min input voltage.</t>
        </r>
      </text>
    </comment>
    <comment ref="M7" authorId="0">
      <text>
        <r>
          <rPr>
            <b/>
            <u/>
            <sz val="9"/>
            <rFont val="Tahoma"/>
            <charset val="134"/>
          </rPr>
          <t>Magnetizing Inductance</t>
        </r>
        <r>
          <rPr>
            <b/>
            <sz val="9"/>
            <rFont val="Tahoma"/>
            <charset val="134"/>
          </rPr>
          <t xml:space="preserve">:
</t>
        </r>
        <r>
          <rPr>
            <sz val="9"/>
            <rFont val="Tahoma"/>
            <charset val="134"/>
          </rPr>
          <t xml:space="preserve">Enter the transformer mag inductance here.
Lower inductance provides an earlier transition from FFM to DCM but pushes out (or entirely eliminates) BCM operation. The main priviso is that the rated output current is achieved at nominal input voltage. Allow at least a 10% margin here to allow 
</t>
        </r>
        <r>
          <rPr>
            <b/>
            <sz val="9"/>
            <rFont val="Tahoma"/>
            <charset val="134"/>
          </rPr>
          <t xml:space="preserve">This cell is flagged </t>
        </r>
        <r>
          <rPr>
            <b/>
            <sz val="9"/>
            <color indexed="10"/>
            <rFont val="Tahoma"/>
            <charset val="134"/>
          </rPr>
          <t>RED</t>
        </r>
        <r>
          <rPr>
            <b/>
            <sz val="9"/>
            <rFont val="Tahoma"/>
            <charset val="134"/>
          </rPr>
          <t xml:space="preserve"> if:</t>
        </r>
        <r>
          <rPr>
            <b/>
            <sz val="9"/>
            <color indexed="39"/>
            <rFont val="Tahoma"/>
            <charset val="134"/>
          </rPr>
          <t xml:space="preserve">
</t>
        </r>
        <r>
          <rPr>
            <b/>
            <sz val="9"/>
            <color indexed="10"/>
            <rFont val="Tahoma"/>
            <charset val="134"/>
          </rPr>
          <t>-The chosen inductance causes the peak current at max input voltage...</t>
        </r>
      </text>
    </comment>
    <comment ref="F8" authorId="0">
      <text>
        <r>
          <rPr>
            <b/>
            <u/>
            <sz val="9"/>
            <rFont val="Tahoma"/>
            <charset val="134"/>
          </rPr>
          <t>Maximum Input Voltage</t>
        </r>
        <r>
          <rPr>
            <b/>
            <sz val="9"/>
            <rFont val="Tahoma"/>
            <charset val="134"/>
          </rPr>
          <t>:</t>
        </r>
        <r>
          <rPr>
            <sz val="9"/>
            <rFont val="Tahoma"/>
            <charset val="134"/>
          </rPr>
          <t xml:space="preserve">
Enter the maximum input operating voltage.
The LM(2)5180/1/3/4 input voltage operating range is 4.5V to (42V)65V.
</t>
        </r>
        <r>
          <rPr>
            <b/>
            <sz val="9"/>
            <rFont val="Tahoma"/>
            <charset val="134"/>
          </rPr>
          <t xml:space="preserve">The text in this cell is </t>
        </r>
        <r>
          <rPr>
            <b/>
            <sz val="10"/>
            <color indexed="10"/>
            <rFont val="Arial"/>
            <charset val="134"/>
          </rPr>
          <t>red</t>
        </r>
        <r>
          <rPr>
            <b/>
            <sz val="9"/>
            <rFont val="Tahoma"/>
            <charset val="134"/>
          </rPr>
          <t xml:space="preserve"> if:</t>
        </r>
        <r>
          <rPr>
            <sz val="9"/>
            <rFont val="Tahoma"/>
            <charset val="134"/>
          </rPr>
          <t xml:space="preserve">
-The input voltage is above </t>
        </r>
        <r>
          <rPr>
            <b/>
            <sz val="9"/>
            <color indexed="10"/>
            <rFont val="Tahoma"/>
            <charset val="134"/>
          </rPr>
          <t xml:space="preserve">42V </t>
        </r>
        <r>
          <rPr>
            <sz val="9"/>
            <rFont val="Tahoma"/>
            <charset val="134"/>
          </rPr>
          <t>(LM25180/3/4/-Q1) or</t>
        </r>
        <r>
          <rPr>
            <b/>
            <sz val="9"/>
            <rFont val="Tahoma"/>
            <charset val="134"/>
          </rPr>
          <t xml:space="preserve"> </t>
        </r>
        <r>
          <rPr>
            <b/>
            <sz val="9"/>
            <color indexed="10"/>
            <rFont val="Tahoma"/>
            <charset val="134"/>
          </rPr>
          <t xml:space="preserve">65V </t>
        </r>
        <r>
          <rPr>
            <sz val="9"/>
            <rFont val="Tahoma"/>
            <charset val="134"/>
          </rPr>
          <t xml:space="preserve">(LM5180/1/-Q1)
-The input voltage is below </t>
        </r>
        <r>
          <rPr>
            <b/>
            <sz val="9"/>
            <color indexed="10"/>
            <rFont val="Tahoma"/>
            <charset val="134"/>
          </rPr>
          <t xml:space="preserve">4.5V
</t>
        </r>
        <r>
          <rPr>
            <sz val="9"/>
            <rFont val="Tahoma"/>
            <charset val="134"/>
          </rPr>
          <t xml:space="preserve">-The max input voltage is </t>
        </r>
        <r>
          <rPr>
            <b/>
            <i/>
            <sz val="9"/>
            <color indexed="10"/>
            <rFont val="Tahoma"/>
            <charset val="134"/>
          </rPr>
          <t>smaller</t>
        </r>
        <r>
          <rPr>
            <sz val="9"/>
            <rFont val="Tahoma"/>
            <charset val="134"/>
          </rPr>
          <t xml:space="preserve"> than the nominal input voltage.</t>
        </r>
      </text>
    </comment>
    <comment ref="M8" authorId="0">
      <text>
        <r>
          <rPr>
            <b/>
            <u/>
            <sz val="9"/>
            <rFont val="Tahoma"/>
            <charset val="134"/>
          </rPr>
          <t>Primary Winding DCR</t>
        </r>
        <r>
          <rPr>
            <b/>
            <sz val="9"/>
            <rFont val="Tahoma"/>
            <charset val="134"/>
          </rPr>
          <t xml:space="preserve">:
</t>
        </r>
        <r>
          <rPr>
            <sz val="9"/>
            <rFont val="Tahoma"/>
            <charset val="134"/>
          </rPr>
          <t>Enter the primary winding DC resistance (DCR) here. This is typically specified in the transformer datasheet at 25°C copper temperature.</t>
        </r>
      </text>
    </comment>
    <comment ref="M9" authorId="0">
      <text>
        <r>
          <rPr>
            <b/>
            <u/>
            <sz val="9"/>
            <rFont val="Tahoma"/>
            <charset val="134"/>
          </rPr>
          <t>Secondary Winding DCR</t>
        </r>
        <r>
          <rPr>
            <b/>
            <sz val="9"/>
            <rFont val="Tahoma"/>
            <charset val="134"/>
          </rPr>
          <t xml:space="preserve">:
</t>
        </r>
        <r>
          <rPr>
            <sz val="9"/>
            <rFont val="Tahoma"/>
            <charset val="134"/>
          </rPr>
          <t>Enter the secondary winding DCR here. This is typically specified in the transformer datasheet at 25°C copper temperature.</t>
        </r>
      </text>
    </comment>
    <comment ref="F10" authorId="0">
      <text>
        <r>
          <rPr>
            <b/>
            <u/>
            <sz val="9"/>
            <rFont val="Tahoma"/>
            <charset val="134"/>
          </rPr>
          <t>Output Voltage</t>
        </r>
        <r>
          <rPr>
            <b/>
            <sz val="9"/>
            <rFont val="Tahoma"/>
            <charset val="134"/>
          </rPr>
          <t xml:space="preserve">:
</t>
        </r>
        <r>
          <rPr>
            <sz val="9"/>
            <rFont val="Tahoma"/>
            <charset val="134"/>
          </rPr>
          <t xml:space="preserve">Enter the desired </t>
        </r>
        <r>
          <rPr>
            <sz val="9"/>
            <color indexed="8"/>
            <rFont val="Tahoma"/>
            <charset val="134"/>
          </rPr>
          <t>output</t>
        </r>
        <r>
          <rPr>
            <sz val="9"/>
            <rFont val="Tahoma"/>
            <charset val="134"/>
          </rPr>
          <t xml:space="preserve"> voltage here.
</t>
        </r>
        <r>
          <rPr>
            <b/>
            <sz val="9"/>
            <rFont val="Tahoma"/>
            <charset val="134"/>
          </rPr>
          <t xml:space="preserve">The cell turns </t>
        </r>
        <r>
          <rPr>
            <b/>
            <sz val="9"/>
            <color indexed="10"/>
            <rFont val="Tahoma"/>
            <charset val="134"/>
          </rPr>
          <t>red</t>
        </r>
        <r>
          <rPr>
            <b/>
            <sz val="9"/>
            <rFont val="Tahoma"/>
            <charset val="134"/>
          </rPr>
          <t xml:space="preserve"> if the voltage is set to be negative.  Please always use positive voltagae here.
</t>
        </r>
        <r>
          <rPr>
            <sz val="9"/>
            <rFont val="Tahoma"/>
            <charset val="134"/>
          </rPr>
          <t xml:space="preserve">
</t>
        </r>
      </text>
    </comment>
    <comment ref="F11" authorId="0">
      <text>
        <r>
          <rPr>
            <b/>
            <u/>
            <sz val="9"/>
            <rFont val="Tahoma"/>
            <charset val="134"/>
          </rPr>
          <t>Output Current</t>
        </r>
        <r>
          <rPr>
            <b/>
            <sz val="9"/>
            <rFont val="Tahoma"/>
            <charset val="134"/>
          </rPr>
          <t xml:space="preserve">:
</t>
        </r>
        <r>
          <rPr>
            <sz val="9"/>
            <rFont val="Tahoma"/>
            <charset val="134"/>
          </rPr>
          <t>Enter the desired output current here.</t>
        </r>
        <r>
          <rPr>
            <b/>
            <sz val="9"/>
            <rFont val="Tahoma"/>
            <charset val="134"/>
          </rPr>
          <t xml:space="preserve">
</t>
        </r>
        <r>
          <rPr>
            <sz val="9"/>
            <rFont val="Tahoma"/>
            <charset val="134"/>
          </rPr>
          <t xml:space="preserve">The text in this cell is </t>
        </r>
        <r>
          <rPr>
            <b/>
            <sz val="9"/>
            <color indexed="10"/>
            <rFont val="Tahoma"/>
            <charset val="134"/>
          </rPr>
          <t>red</t>
        </r>
        <r>
          <rPr>
            <sz val="9"/>
            <rFont val="Tahoma"/>
            <charset val="134"/>
          </rPr>
          <t xml:space="preserve"> if:</t>
        </r>
        <r>
          <rPr>
            <b/>
            <sz val="9"/>
            <rFont val="Tahoma"/>
            <charset val="134"/>
          </rPr>
          <t xml:space="preserve">
</t>
        </r>
        <r>
          <rPr>
            <b/>
            <sz val="9"/>
            <color indexed="39"/>
            <rFont val="Tahoma"/>
            <charset val="134"/>
          </rPr>
          <t xml:space="preserve">-The output current is below </t>
        </r>
        <r>
          <rPr>
            <b/>
            <sz val="9"/>
            <color indexed="10"/>
            <rFont val="Tahoma"/>
            <charset val="134"/>
          </rPr>
          <t xml:space="preserve">10mA
</t>
        </r>
        <r>
          <rPr>
            <b/>
            <sz val="9"/>
            <color indexed="8"/>
            <rFont val="Tahoma"/>
            <charset val="134"/>
          </rPr>
          <t xml:space="preserve">-The output current is </t>
        </r>
        <r>
          <rPr>
            <b/>
            <i/>
            <sz val="9"/>
            <color indexed="10"/>
            <rFont val="Tahoma"/>
            <charset val="134"/>
          </rPr>
          <t>negative.</t>
        </r>
        <r>
          <rPr>
            <b/>
            <sz val="9"/>
            <color indexed="10"/>
            <rFont val="Tahoma"/>
            <charset val="134"/>
          </rPr>
          <t xml:space="preserve">
</t>
        </r>
      </text>
    </comment>
    <comment ref="F13" authorId="1">
      <text>
        <r>
          <rPr>
            <sz val="9"/>
            <rFont val="Tahoma"/>
            <charset val="134"/>
          </rPr>
          <t>The text in this cell is</t>
        </r>
        <r>
          <rPr>
            <b/>
            <sz val="9"/>
            <rFont val="Tahoma"/>
            <charset val="134"/>
          </rPr>
          <t xml:space="preserve"> </t>
        </r>
        <r>
          <rPr>
            <b/>
            <sz val="9"/>
            <color indexed="10"/>
            <rFont val="Tahoma"/>
            <charset val="134"/>
          </rPr>
          <t>red</t>
        </r>
        <r>
          <rPr>
            <sz val="9"/>
            <rFont val="Tahoma"/>
            <charset val="134"/>
          </rPr>
          <t xml:space="preserve"> if</t>
        </r>
        <r>
          <rPr>
            <b/>
            <sz val="9"/>
            <rFont val="Tahoma"/>
            <charset val="134"/>
          </rPr>
          <t xml:space="preserve">:
-IOUT2 is below </t>
        </r>
        <r>
          <rPr>
            <b/>
            <sz val="9"/>
            <color indexed="10"/>
            <rFont val="Tahoma"/>
            <charset val="134"/>
          </rPr>
          <t>10mA</t>
        </r>
        <r>
          <rPr>
            <b/>
            <sz val="9"/>
            <rFont val="Tahoma"/>
            <charset val="134"/>
          </rPr>
          <t xml:space="preserve">
-The sign of IOUT2 is </t>
        </r>
        <r>
          <rPr>
            <b/>
            <i/>
            <sz val="9"/>
            <color indexed="10"/>
            <rFont val="Tahoma"/>
            <charset val="134"/>
          </rPr>
          <t>opposite</t>
        </r>
        <r>
          <rPr>
            <b/>
            <sz val="9"/>
            <rFont val="Tahoma"/>
            <charset val="134"/>
          </rPr>
          <t xml:space="preserve"> to that of VOUT2</t>
        </r>
      </text>
    </comment>
    <comment ref="M15" authorId="0">
      <text>
        <r>
          <rPr>
            <b/>
            <u/>
            <sz val="9"/>
            <rFont val="Tahoma"/>
            <charset val="134"/>
          </rPr>
          <t xml:space="preserve">Max Output Current at VIN(min):
</t>
        </r>
        <r>
          <rPr>
            <sz val="9"/>
            <rFont val="Tahoma"/>
            <charset val="134"/>
          </rPr>
          <t>The output power is most limited at minimum input operating voltage. Adjust the transformer turns ratio if needed (or change to a higher current converter).</t>
        </r>
      </text>
    </comment>
    <comment ref="M16" authorId="0">
      <text>
        <r>
          <rPr>
            <b/>
            <u/>
            <sz val="9"/>
            <rFont val="Tahoma"/>
            <charset val="134"/>
          </rPr>
          <t xml:space="preserve">Max Duty Cycle:
</t>
        </r>
        <r>
          <rPr>
            <sz val="9"/>
            <rFont val="Tahoma"/>
            <charset val="134"/>
          </rPr>
          <t>The max operating duty cycle is preferably kept below 75% to prevent high peak/rms currents in the flyback diode(s) and secondary winding(s).</t>
        </r>
      </text>
    </comment>
    <comment ref="F17" authorId="0">
      <text>
        <r>
          <rPr>
            <b/>
            <u/>
            <sz val="9"/>
            <rFont val="Tahoma"/>
            <charset val="134"/>
          </rPr>
          <t>Minimum Recommended Cin</t>
        </r>
        <r>
          <rPr>
            <b/>
            <sz val="9"/>
            <rFont val="Tahoma"/>
            <charset val="134"/>
          </rPr>
          <t xml:space="preserve">:
</t>
        </r>
        <r>
          <rPr>
            <sz val="9"/>
            <rFont val="Tahoma"/>
            <charset val="134"/>
          </rPr>
          <t xml:space="preserve">This is the minimum input cap based on 10% pk-pk voltage ripple at the input.
</t>
        </r>
        <r>
          <rPr>
            <sz val="9"/>
            <color indexed="39"/>
            <rFont val="Tahoma"/>
            <charset val="134"/>
          </rPr>
          <t xml:space="preserve">
</t>
        </r>
        <r>
          <rPr>
            <b/>
            <sz val="9"/>
            <color indexed="39"/>
            <rFont val="Tahoma"/>
            <charset val="134"/>
          </rPr>
          <t>This condition is derived at VIN(nom).</t>
        </r>
        <r>
          <rPr>
            <b/>
            <sz val="9"/>
            <rFont val="Tahoma"/>
            <charset val="134"/>
          </rPr>
          <t xml:space="preserve">
</t>
        </r>
      </text>
    </comment>
    <comment ref="F18" authorId="0">
      <text>
        <r>
          <rPr>
            <b/>
            <u/>
            <sz val="9"/>
            <rFont val="Tahoma"/>
            <charset val="134"/>
          </rPr>
          <t>Input Capacitance</t>
        </r>
        <r>
          <rPr>
            <b/>
            <sz val="9"/>
            <rFont val="Tahoma"/>
            <charset val="134"/>
          </rPr>
          <t xml:space="preserve">:
</t>
        </r>
        <r>
          <rPr>
            <sz val="9"/>
            <rFont val="Tahoma"/>
            <charset val="134"/>
          </rPr>
          <t xml:space="preserve">Enter the input capacitance here based on the minimum calculated result. Ensure that the nominal capacitance is appropriately </t>
        </r>
        <r>
          <rPr>
            <b/>
            <sz val="9"/>
            <rFont val="Tahoma"/>
            <charset val="134"/>
          </rPr>
          <t>derated</t>
        </r>
        <r>
          <rPr>
            <sz val="9"/>
            <rFont val="Tahoma"/>
            <charset val="134"/>
          </rPr>
          <t xml:space="preserve"> for applied voltage.
</t>
        </r>
        <r>
          <rPr>
            <b/>
            <sz val="9"/>
            <rFont val="Tahoma"/>
            <charset val="134"/>
          </rPr>
          <t xml:space="preserve">The text in this cell is flagged </t>
        </r>
        <r>
          <rPr>
            <b/>
            <sz val="9"/>
            <color indexed="10"/>
            <rFont val="Tahoma"/>
            <charset val="134"/>
          </rPr>
          <t>red</t>
        </r>
        <r>
          <rPr>
            <b/>
            <sz val="9"/>
            <rFont val="Tahoma"/>
            <charset val="134"/>
          </rPr>
          <t xml:space="preserve"> if:
</t>
        </r>
        <r>
          <rPr>
            <b/>
            <sz val="9"/>
            <color indexed="10"/>
            <rFont val="Tahoma"/>
            <charset val="134"/>
          </rPr>
          <t>-The chosen input capacitor is smaller than the minimum ideal capacitance.</t>
        </r>
      </text>
    </comment>
    <comment ref="F19" authorId="0">
      <text>
        <r>
          <rPr>
            <b/>
            <u/>
            <sz val="9"/>
            <rFont val="Tahoma"/>
            <charset val="134"/>
          </rPr>
          <t>Input Capacitor ESR</t>
        </r>
        <r>
          <rPr>
            <b/>
            <sz val="9"/>
            <rFont val="Tahoma"/>
            <charset val="134"/>
          </rPr>
          <t xml:space="preserve">:
</t>
        </r>
        <r>
          <rPr>
            <sz val="9"/>
            <rFont val="Tahoma"/>
            <charset val="134"/>
          </rPr>
          <t>Enter the input capacitor ESR here based on the maximum allowed input capacitor ESR to meet the ripple voltage specification.</t>
        </r>
        <r>
          <rPr>
            <b/>
            <sz val="9"/>
            <rFont val="Tahoma"/>
            <charset val="134"/>
          </rPr>
          <t xml:space="preserve">
The text in this cell will be </t>
        </r>
        <r>
          <rPr>
            <b/>
            <sz val="9"/>
            <color indexed="10"/>
            <rFont val="Tahoma"/>
            <charset val="134"/>
          </rPr>
          <t>red</t>
        </r>
        <r>
          <rPr>
            <b/>
            <sz val="9"/>
            <rFont val="Tahoma"/>
            <charset val="134"/>
          </rPr>
          <t xml:space="preserve"> if:
</t>
        </r>
        <r>
          <rPr>
            <b/>
            <sz val="9"/>
            <color indexed="10"/>
            <rFont val="Tahoma"/>
            <charset val="134"/>
          </rPr>
          <t>-ESR is zero, or
-ESR exceeds maximum allowable ESR to meet the voltage ripple specification.</t>
        </r>
        <r>
          <rPr>
            <sz val="11"/>
            <rFont val="Tahoma"/>
            <charset val="134"/>
          </rPr>
          <t xml:space="preserve">
</t>
        </r>
      </text>
    </comment>
    <comment ref="F21" authorId="0">
      <text>
        <r>
          <rPr>
            <b/>
            <u/>
            <sz val="9"/>
            <rFont val="Tahoma"/>
            <charset val="134"/>
          </rPr>
          <t>Minimum Recommneded Cout</t>
        </r>
        <r>
          <rPr>
            <b/>
            <sz val="9"/>
            <rFont val="Tahoma"/>
            <charset val="134"/>
          </rPr>
          <t xml:space="preserve">:
</t>
        </r>
        <r>
          <rPr>
            <sz val="9"/>
            <rFont val="Tahoma"/>
            <charset val="134"/>
          </rPr>
          <t xml:space="preserve">This is the minimum output cap based on 1% ripple at Vin(nom), full load
</t>
        </r>
        <r>
          <rPr>
            <sz val="9"/>
            <color indexed="39"/>
            <rFont val="Tahoma"/>
            <charset val="134"/>
          </rPr>
          <t xml:space="preserve">
</t>
        </r>
        <r>
          <rPr>
            <b/>
            <sz val="9"/>
            <color indexed="39"/>
            <rFont val="Tahoma"/>
            <charset val="134"/>
          </rPr>
          <t>NB: this condition is derived at VIN(nom).</t>
        </r>
        <r>
          <rPr>
            <b/>
            <sz val="9"/>
            <rFont val="Tahoma"/>
            <charset val="134"/>
          </rPr>
          <t xml:space="preserve">
</t>
        </r>
      </text>
    </comment>
    <comment ref="F22" authorId="0">
      <text>
        <r>
          <rPr>
            <b/>
            <u/>
            <sz val="9"/>
            <rFont val="Tahoma"/>
            <charset val="134"/>
          </rPr>
          <t>Output Capacitance</t>
        </r>
        <r>
          <rPr>
            <b/>
            <sz val="9"/>
            <rFont val="Tahoma"/>
            <charset val="134"/>
          </rPr>
          <t>:</t>
        </r>
        <r>
          <rPr>
            <sz val="9"/>
            <rFont val="Tahoma"/>
            <charset val="134"/>
          </rPr>
          <t xml:space="preserve">
Enter the output capacitance here based on the minimum calculated result. Make sure that the nominal capacitance is appropriately derated for applied voltage, particularly with </t>
        </r>
        <r>
          <rPr>
            <sz val="9"/>
            <color indexed="39"/>
            <rFont val="Tahoma"/>
            <charset val="134"/>
          </rPr>
          <t>ceramics</t>
        </r>
        <r>
          <rPr>
            <sz val="9"/>
            <rFont val="Tahoma"/>
            <charset val="134"/>
          </rPr>
          <t xml:space="preserve">.
</t>
        </r>
        <r>
          <rPr>
            <b/>
            <sz val="9"/>
            <rFont val="Tahoma"/>
            <charset val="134"/>
          </rPr>
          <t>The text in this cell is flagged red if:</t>
        </r>
        <r>
          <rPr>
            <sz val="9"/>
            <rFont val="Tahoma"/>
            <charset val="134"/>
          </rPr>
          <t xml:space="preserve">
</t>
        </r>
        <r>
          <rPr>
            <b/>
            <sz val="9"/>
            <color indexed="10"/>
            <rFont val="Tahoma"/>
            <charset val="134"/>
          </rPr>
          <t>-The chosen output capacitor is smaller than the minimum ideal capacitance.</t>
        </r>
      </text>
    </comment>
    <comment ref="F23" authorId="0">
      <text>
        <r>
          <rPr>
            <b/>
            <u/>
            <sz val="9"/>
            <rFont val="Tahoma"/>
            <charset val="134"/>
          </rPr>
          <t>Output Capacitor ESR</t>
        </r>
        <r>
          <rPr>
            <b/>
            <sz val="9"/>
            <rFont val="Tahoma"/>
            <charset val="134"/>
          </rPr>
          <t xml:space="preserve">:
</t>
        </r>
        <r>
          <rPr>
            <sz val="9"/>
            <rFont val="Tahoma"/>
            <charset val="134"/>
          </rPr>
          <t>Enter the output capacitor ESR here based on the maximum allowed output capacitor ESR to meet the ripple voltage specification.</t>
        </r>
        <r>
          <rPr>
            <b/>
            <sz val="9"/>
            <rFont val="Tahoma"/>
            <charset val="134"/>
          </rPr>
          <t xml:space="preserve">
The text in this cell will be </t>
        </r>
        <r>
          <rPr>
            <b/>
            <sz val="9"/>
            <color indexed="10"/>
            <rFont val="Tahoma"/>
            <charset val="134"/>
          </rPr>
          <t>red</t>
        </r>
        <r>
          <rPr>
            <b/>
            <sz val="9"/>
            <rFont val="Tahoma"/>
            <charset val="134"/>
          </rPr>
          <t xml:space="preserve"> if:
</t>
        </r>
        <r>
          <rPr>
            <b/>
            <sz val="9"/>
            <color indexed="10"/>
            <rFont val="Tahoma"/>
            <charset val="134"/>
          </rPr>
          <t>-ESR is zero, or
-ESR exceeds maximum allowable ESR to meet the voltage ripple specification.</t>
        </r>
        <r>
          <rPr>
            <sz val="11"/>
            <rFont val="Tahoma"/>
            <charset val="134"/>
          </rPr>
          <t xml:space="preserve">
</t>
        </r>
      </text>
    </comment>
    <comment ref="F29" authorId="0">
      <text>
        <r>
          <rPr>
            <b/>
            <u/>
            <sz val="9"/>
            <rFont val="Tahoma"/>
            <charset val="134"/>
          </rPr>
          <t>Soft-Start Time</t>
        </r>
        <r>
          <rPr>
            <b/>
            <sz val="9"/>
            <rFont val="Tahoma"/>
            <charset val="134"/>
          </rPr>
          <t xml:space="preserve">:
</t>
        </r>
        <r>
          <rPr>
            <sz val="9"/>
            <rFont val="Tahoma"/>
            <charset val="134"/>
          </rPr>
          <t xml:space="preserve">Enter the </t>
        </r>
        <r>
          <rPr>
            <b/>
            <sz val="9"/>
            <color indexed="39"/>
            <rFont val="Tahoma"/>
            <charset val="134"/>
          </rPr>
          <t>desired soft-start time</t>
        </r>
        <r>
          <rPr>
            <sz val="9"/>
            <rFont val="Tahoma"/>
            <charset val="134"/>
          </rPr>
          <t xml:space="preserve"> as required (must be greater than 6ms).
Leave the </t>
        </r>
        <r>
          <rPr>
            <b/>
            <sz val="9"/>
            <color indexed="39"/>
            <rFont val="Tahoma"/>
            <charset val="134"/>
          </rPr>
          <t>SS/BIAS pin open circuit</t>
        </r>
        <r>
          <rPr>
            <sz val="9"/>
            <rFont val="Tahoma"/>
            <charset val="134"/>
          </rPr>
          <t xml:space="preserve"> to provide a soft-start time of </t>
        </r>
        <r>
          <rPr>
            <b/>
            <sz val="9"/>
            <rFont val="Tahoma"/>
            <charset val="134"/>
          </rPr>
          <t>6ms</t>
        </r>
        <r>
          <rPr>
            <sz val="9"/>
            <rFont val="Tahoma"/>
            <charset val="134"/>
          </rPr>
          <t>.
Connect an auxiliary bias rail to SS/BIAS to reduce quiescent current and bias power dissipation (use a 22nF cap from SS/BIAS to GND).</t>
        </r>
        <r>
          <rPr>
            <b/>
            <sz val="9"/>
            <rFont val="Tahoma"/>
            <charset val="134"/>
          </rPr>
          <t xml:space="preserve">
The text in the cell below becomes red if:
</t>
        </r>
        <r>
          <rPr>
            <b/>
            <sz val="9"/>
            <color indexed="10"/>
            <rFont val="Tahoma"/>
            <charset val="134"/>
          </rPr>
          <t>-The specified programmable soft-start time is less than 6ms.</t>
        </r>
        <r>
          <rPr>
            <sz val="9"/>
            <rFont val="Tahoma"/>
            <charset val="134"/>
          </rPr>
          <t xml:space="preserve">
</t>
        </r>
      </text>
    </comment>
    <comment ref="F35" authorId="0">
      <text>
        <r>
          <rPr>
            <b/>
            <u/>
            <sz val="9"/>
            <rFont val="Tahoma"/>
            <charset val="134"/>
          </rPr>
          <t>Nominal Input UVLO Turn-On/Off Threshold Levels</t>
        </r>
        <r>
          <rPr>
            <b/>
            <sz val="9"/>
            <rFont val="Tahoma"/>
            <charset val="134"/>
          </rPr>
          <t>:</t>
        </r>
        <r>
          <rPr>
            <sz val="9"/>
            <rFont val="Tahoma"/>
            <charset val="134"/>
          </rPr>
          <t xml:space="preserve">
Enter the nominal input voltages for UVLO turn-on and turn-off. 
Note that the LM(2)5180/1/3/4/-Q1 input operating voltage range is</t>
        </r>
        <r>
          <rPr>
            <b/>
            <sz val="9"/>
            <rFont val="Tahoma"/>
            <charset val="134"/>
          </rPr>
          <t xml:space="preserve"> 4.5V to (42V)65V</t>
        </r>
        <r>
          <rPr>
            <sz val="9"/>
            <rFont val="Tahoma"/>
            <charset val="134"/>
          </rPr>
          <t xml:space="preserve">.
</t>
        </r>
        <r>
          <rPr>
            <b/>
            <sz val="9"/>
            <rFont val="Tahoma"/>
            <charset val="134"/>
          </rPr>
          <t>The text in the cell below becomes red if:</t>
        </r>
        <r>
          <rPr>
            <sz val="9"/>
            <rFont val="Tahoma"/>
            <charset val="134"/>
          </rPr>
          <t xml:space="preserve">
-The input voltage UVLO turn-on is above </t>
        </r>
        <r>
          <rPr>
            <b/>
            <sz val="9"/>
            <color indexed="10"/>
            <rFont val="Tahoma"/>
            <charset val="134"/>
          </rPr>
          <t>42V</t>
        </r>
        <r>
          <rPr>
            <b/>
            <sz val="9"/>
            <rFont val="Tahoma"/>
            <charset val="134"/>
          </rPr>
          <t xml:space="preserve"> (LM25180/3/4/-Q1) or </t>
        </r>
        <r>
          <rPr>
            <b/>
            <sz val="9"/>
            <color indexed="10"/>
            <rFont val="Tahoma"/>
            <charset val="134"/>
          </rPr>
          <t xml:space="preserve">65V </t>
        </r>
        <r>
          <rPr>
            <b/>
            <sz val="9"/>
            <rFont val="Tahoma"/>
            <charset val="134"/>
          </rPr>
          <t>(LM5180//1-Q1)</t>
        </r>
        <r>
          <rPr>
            <sz val="9"/>
            <rFont val="Tahoma"/>
            <charset val="134"/>
          </rPr>
          <t xml:space="preserve">
-The input voltage UVLO turn-on is below </t>
        </r>
        <r>
          <rPr>
            <b/>
            <sz val="9"/>
            <color indexed="10"/>
            <rFont val="Tahoma"/>
            <charset val="134"/>
          </rPr>
          <t xml:space="preserve">4.5V
</t>
        </r>
        <r>
          <rPr>
            <sz val="9"/>
            <rFont val="Tahoma"/>
            <charset val="134"/>
          </rPr>
          <t>-The input voltage UVLO turn-off is below</t>
        </r>
        <r>
          <rPr>
            <b/>
            <sz val="9"/>
            <color indexed="10"/>
            <rFont val="Tahoma"/>
            <charset val="134"/>
          </rPr>
          <t xml:space="preserve"> 3.5V
</t>
        </r>
        <r>
          <rPr>
            <b/>
            <sz val="9"/>
            <color indexed="39"/>
            <rFont val="Tahoma"/>
            <charset val="134"/>
          </rPr>
          <t>If the internal UVLO is sufficient, connect EN to logic high or VIN.</t>
        </r>
      </text>
    </comment>
    <comment ref="F36" authorId="1">
      <text>
        <r>
          <rPr>
            <sz val="9"/>
            <rFont val="Tahoma"/>
            <charset val="134"/>
          </rPr>
          <t xml:space="preserve">The text in this cell is </t>
        </r>
        <r>
          <rPr>
            <b/>
            <sz val="9"/>
            <color indexed="10"/>
            <rFont val="Tahoma"/>
            <charset val="134"/>
          </rPr>
          <t>red</t>
        </r>
        <r>
          <rPr>
            <sz val="9"/>
            <rFont val="Tahoma"/>
            <charset val="134"/>
          </rPr>
          <t xml:space="preserve"> if:
</t>
        </r>
        <r>
          <rPr>
            <b/>
            <sz val="9"/>
            <rFont val="Tahoma"/>
            <charset val="134"/>
          </rPr>
          <t xml:space="preserve">
-The UVLO Turn-on threshold is </t>
        </r>
        <r>
          <rPr>
            <b/>
            <sz val="9"/>
            <color indexed="10"/>
            <rFont val="Tahoma"/>
            <charset val="134"/>
          </rPr>
          <t>greater</t>
        </r>
        <r>
          <rPr>
            <b/>
            <sz val="9"/>
            <rFont val="Tahoma"/>
            <charset val="134"/>
          </rPr>
          <t xml:space="preserve"> than Vin_min</t>
        </r>
        <r>
          <rPr>
            <sz val="9"/>
            <rFont val="Tahoma"/>
            <charset val="134"/>
          </rPr>
          <t xml:space="preserve">
</t>
        </r>
      </text>
    </comment>
    <comment ref="F37" authorId="1">
      <text>
        <r>
          <rPr>
            <sz val="9"/>
            <rFont val="Tahoma"/>
            <charset val="134"/>
          </rPr>
          <t xml:space="preserve">The text in this cell is </t>
        </r>
        <r>
          <rPr>
            <b/>
            <sz val="9"/>
            <color indexed="10"/>
            <rFont val="Tahoma"/>
            <charset val="134"/>
          </rPr>
          <t>red</t>
        </r>
        <r>
          <rPr>
            <sz val="9"/>
            <rFont val="Tahoma"/>
            <charset val="134"/>
          </rPr>
          <t xml:space="preserve"> if:
</t>
        </r>
        <r>
          <rPr>
            <b/>
            <sz val="9"/>
            <rFont val="Tahoma"/>
            <charset val="134"/>
          </rPr>
          <t xml:space="preserve">
-The UVLO Turn-off threshold is </t>
        </r>
        <r>
          <rPr>
            <b/>
            <sz val="9"/>
            <color indexed="10"/>
            <rFont val="Tahoma"/>
            <charset val="134"/>
          </rPr>
          <t>greater</t>
        </r>
        <r>
          <rPr>
            <b/>
            <sz val="9"/>
            <rFont val="Tahoma"/>
            <charset val="134"/>
          </rPr>
          <t xml:space="preserve"> than Turn-on threshold.</t>
        </r>
        <r>
          <rPr>
            <sz val="9"/>
            <rFont val="Tahoma"/>
            <charset val="134"/>
          </rPr>
          <t xml:space="preserve">
</t>
        </r>
      </text>
    </comment>
    <comment ref="F42" authorId="2">
      <text>
        <r>
          <rPr>
            <b/>
            <u/>
            <sz val="9"/>
            <rFont val="Tahoma"/>
            <charset val="134"/>
          </rPr>
          <t>Diode Drop</t>
        </r>
        <r>
          <rPr>
            <b/>
            <sz val="9"/>
            <rFont val="Tahoma"/>
            <charset val="134"/>
          </rPr>
          <t>:</t>
        </r>
        <r>
          <rPr>
            <sz val="9"/>
            <rFont val="Tahoma"/>
            <charset val="134"/>
          </rPr>
          <t xml:space="preserve">
Enter the voltage drop of the flyback diode at no load, 25°C (used for the feedback resistance calculation and determinatoin of diode drop series resistance)</t>
        </r>
      </text>
    </comment>
    <comment ref="F43" authorId="2">
      <text>
        <r>
          <rPr>
            <b/>
            <u/>
            <sz val="9"/>
            <rFont val="Tahoma"/>
            <charset val="134"/>
          </rPr>
          <t>Diode Drop</t>
        </r>
        <r>
          <rPr>
            <b/>
            <sz val="9"/>
            <rFont val="Tahoma"/>
            <charset val="134"/>
          </rPr>
          <t>:</t>
        </r>
        <r>
          <rPr>
            <sz val="9"/>
            <rFont val="Tahoma"/>
            <charset val="134"/>
          </rPr>
          <t xml:space="preserve">
Enter the voltage drop of the flyback diode at full load, 25°C (used for power loss calculations)</t>
        </r>
      </text>
    </comment>
    <comment ref="F44" authorId="0">
      <text>
        <r>
          <rPr>
            <b/>
            <u/>
            <sz val="9"/>
            <rFont val="Tahoma"/>
            <charset val="134"/>
          </rPr>
          <t>Estimated Thermal Impedance</t>
        </r>
        <r>
          <rPr>
            <b/>
            <sz val="9"/>
            <rFont val="Tahoma"/>
            <charset val="134"/>
          </rPr>
          <t xml:space="preserve">:
</t>
        </r>
        <r>
          <rPr>
            <sz val="9"/>
            <rFont val="Tahoma"/>
            <charset val="134"/>
          </rPr>
          <t xml:space="preserve">Enter the converter IC junction-to-ambient thermal impedance, which relates to PCB copper weight and area for heatsinking, local ariflow rate, and other factors.
</t>
        </r>
      </text>
    </comment>
    <comment ref="F45" authorId="0">
      <text>
        <r>
          <rPr>
            <b/>
            <u/>
            <sz val="9"/>
            <rFont val="Tahoma"/>
            <charset val="134"/>
          </rPr>
          <t>Ambient Operating Temperature</t>
        </r>
        <r>
          <rPr>
            <b/>
            <sz val="9"/>
            <rFont val="Tahoma"/>
            <charset val="134"/>
          </rPr>
          <t xml:space="preserve">:
</t>
        </r>
        <r>
          <rPr>
            <sz val="9"/>
            <rFont val="Tahoma"/>
            <charset val="134"/>
          </rPr>
          <t>Enter the LM5180's local ambient temperature (T</t>
        </r>
        <r>
          <rPr>
            <vertAlign val="subscript"/>
            <sz val="9"/>
            <rFont val="Tahoma"/>
            <charset val="134"/>
          </rPr>
          <t>A</t>
        </r>
        <r>
          <rPr>
            <sz val="9"/>
            <rFont val="Tahoma"/>
            <charset val="134"/>
          </rPr>
          <t xml:space="preserve">) here.
</t>
        </r>
        <r>
          <rPr>
            <b/>
            <sz val="9"/>
            <rFont val="Tahoma"/>
            <charset val="134"/>
          </rPr>
          <t xml:space="preserve">The text in this cell is flagged </t>
        </r>
        <r>
          <rPr>
            <b/>
            <sz val="9"/>
            <color indexed="10"/>
            <rFont val="Tahoma"/>
            <charset val="134"/>
          </rPr>
          <t>red</t>
        </r>
        <r>
          <rPr>
            <b/>
            <sz val="9"/>
            <rFont val="Tahoma"/>
            <charset val="134"/>
          </rPr>
          <t xml:space="preserve"> if:
</t>
        </r>
        <r>
          <rPr>
            <b/>
            <sz val="9"/>
            <color indexed="10"/>
            <rFont val="Tahoma"/>
            <charset val="134"/>
          </rPr>
          <t>-The chosen ambient temperature is below -40°C or above 150°C.</t>
        </r>
      </text>
    </comment>
    <comment ref="F47" authorId="0">
      <text>
        <r>
          <rPr>
            <b/>
            <u/>
            <sz val="9"/>
            <rFont val="Tahoma"/>
            <charset val="134"/>
          </rPr>
          <t>Operating Junction Temperature</t>
        </r>
        <r>
          <rPr>
            <b/>
            <sz val="9"/>
            <rFont val="Tahoma"/>
            <charset val="134"/>
          </rPr>
          <t xml:space="preserve">:
</t>
        </r>
        <r>
          <rPr>
            <sz val="9"/>
            <rFont val="Tahoma"/>
            <charset val="134"/>
          </rPr>
          <t>Here is an estimate of the LM5180's opertaing junction temperature (T</t>
        </r>
        <r>
          <rPr>
            <vertAlign val="subscript"/>
            <sz val="9"/>
            <rFont val="Tahoma"/>
            <charset val="134"/>
          </rPr>
          <t>J</t>
        </r>
        <r>
          <rPr>
            <sz val="9"/>
            <rFont val="Tahoma"/>
            <charset val="134"/>
          </rPr>
          <t xml:space="preserve">) at full load and nominal input voltage.
</t>
        </r>
        <r>
          <rPr>
            <b/>
            <sz val="9"/>
            <rFont val="Tahoma"/>
            <charset val="134"/>
          </rPr>
          <t xml:space="preserve">The text in this cell is flagged </t>
        </r>
        <r>
          <rPr>
            <b/>
            <sz val="9"/>
            <color indexed="10"/>
            <rFont val="Tahoma"/>
            <charset val="134"/>
          </rPr>
          <t>red</t>
        </r>
        <r>
          <rPr>
            <b/>
            <sz val="9"/>
            <rFont val="Tahoma"/>
            <charset val="134"/>
          </rPr>
          <t xml:space="preserve"> if:
</t>
        </r>
        <r>
          <rPr>
            <b/>
            <sz val="9"/>
            <color indexed="10"/>
            <rFont val="Tahoma"/>
            <charset val="134"/>
          </rPr>
          <t>-The calculated junction temperature is below -40°C or above 150°C.</t>
        </r>
      </text>
    </comment>
    <comment ref="F57" authorId="1">
      <text>
        <r>
          <rPr>
            <sz val="9"/>
            <rFont val="Tahoma"/>
            <charset val="134"/>
          </rPr>
          <t xml:space="preserve">The text in this cell is </t>
        </r>
        <r>
          <rPr>
            <b/>
            <sz val="9"/>
            <color indexed="10"/>
            <rFont val="Tahoma"/>
            <charset val="134"/>
          </rPr>
          <t>red</t>
        </r>
        <r>
          <rPr>
            <sz val="9"/>
            <rFont val="Tahoma"/>
            <charset val="134"/>
          </rPr>
          <t xml:space="preserve"> if:</t>
        </r>
        <r>
          <rPr>
            <b/>
            <sz val="9"/>
            <rFont val="Tahoma"/>
            <charset val="134"/>
          </rPr>
          <t xml:space="preserve">
-The mininum load current is </t>
        </r>
        <r>
          <rPr>
            <b/>
            <sz val="9"/>
            <color indexed="10"/>
            <rFont val="Tahoma"/>
            <charset val="134"/>
          </rPr>
          <t>negative.</t>
        </r>
      </text>
    </comment>
    <comment ref="M57" authorId="1">
      <text>
        <r>
          <rPr>
            <sz val="9"/>
            <rFont val="Tahoma"/>
            <charset val="134"/>
          </rPr>
          <t xml:space="preserve">The text in this cell is </t>
        </r>
        <r>
          <rPr>
            <b/>
            <sz val="9"/>
            <color indexed="10"/>
            <rFont val="Tahoma"/>
            <charset val="134"/>
          </rPr>
          <t>red</t>
        </r>
        <r>
          <rPr>
            <sz val="9"/>
            <rFont val="Tahoma"/>
            <charset val="134"/>
          </rPr>
          <t xml:space="preserve"> if:</t>
        </r>
        <r>
          <rPr>
            <b/>
            <sz val="9"/>
            <rFont val="Tahoma"/>
            <charset val="134"/>
          </rPr>
          <t xml:space="preserve">
-The load current has a sign opposite to that of VOUT2.</t>
        </r>
      </text>
    </comment>
    <comment ref="F58" authorId="1">
      <text>
        <r>
          <rPr>
            <sz val="9"/>
            <rFont val="Tahoma"/>
            <charset val="134"/>
          </rPr>
          <t xml:space="preserve">The text in this cell is </t>
        </r>
        <r>
          <rPr>
            <b/>
            <sz val="10"/>
            <color indexed="10"/>
            <rFont val="Arial"/>
            <charset val="134"/>
          </rPr>
          <t>red</t>
        </r>
        <r>
          <rPr>
            <sz val="9"/>
            <rFont val="Tahoma"/>
            <charset val="134"/>
          </rPr>
          <t xml:space="preserve"> if:</t>
        </r>
        <r>
          <rPr>
            <b/>
            <sz val="9"/>
            <rFont val="Tahoma"/>
            <charset val="134"/>
          </rPr>
          <t xml:space="preserve">
-The max voltage limit is &lt;105% of the output voltage setting.</t>
        </r>
      </text>
    </comment>
    <comment ref="M58" authorId="1">
      <text>
        <r>
          <rPr>
            <sz val="9"/>
            <rFont val="Tahoma"/>
            <charset val="134"/>
          </rPr>
          <t xml:space="preserve">The text in this cell is </t>
        </r>
        <r>
          <rPr>
            <b/>
            <sz val="9"/>
            <color indexed="10"/>
            <rFont val="Tahoma"/>
            <charset val="134"/>
          </rPr>
          <t>red</t>
        </r>
        <r>
          <rPr>
            <sz val="9"/>
            <rFont val="Tahoma"/>
            <charset val="134"/>
          </rPr>
          <t xml:space="preserve"> if:</t>
        </r>
        <r>
          <rPr>
            <b/>
            <sz val="9"/>
            <rFont val="Tahoma"/>
            <charset val="134"/>
          </rPr>
          <t xml:space="preserve">
-The max voltage limit is &lt;105% of the output voltage setting.
-The max voltage limit has a sign opposite to that to VOUT2.</t>
        </r>
      </text>
    </comment>
  </commentList>
</comments>
</file>

<file path=xl/comments2.xml><?xml version="1.0" encoding="utf-8"?>
<comments xmlns="http://schemas.openxmlformats.org/spreadsheetml/2006/main">
  <authors>
    <author>Timothy Hegarty</author>
  </authors>
  <commentList>
    <comment ref="A1" authorId="0">
      <text>
        <r>
          <rPr>
            <sz val="11"/>
            <rFont val="Tahoma"/>
            <charset val="134"/>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text>
        <r>
          <rPr>
            <b/>
            <u/>
            <sz val="11"/>
            <color indexed="10"/>
            <rFont val="Tahoma"/>
            <charset val="134"/>
          </rPr>
          <t>Texas Instruments</t>
        </r>
        <r>
          <rPr>
            <sz val="11"/>
            <color indexed="10"/>
            <rFont val="Tahoma"/>
            <charset val="134"/>
          </rPr>
          <t>:</t>
        </r>
        <r>
          <rPr>
            <sz val="9"/>
            <rFont val="Tahoma"/>
            <charset val="134"/>
          </rPr>
          <t xml:space="preserve">
</t>
        </r>
        <r>
          <rPr>
            <b/>
            <sz val="9"/>
            <rFont val="Tahoma"/>
            <charset val="134"/>
          </rPr>
          <t>Limited Use Policy</t>
        </r>
        <r>
          <rPr>
            <sz val="9"/>
            <rFont val="Tahoma"/>
            <charset val="134"/>
          </rPr>
          <t xml:space="preserve">
You must treat this software and documentation like any other copyrighted material.
</t>
        </r>
        <r>
          <rPr>
            <b/>
            <sz val="9"/>
            <rFont val="Tahoma"/>
            <charset val="134"/>
          </rPr>
          <t>You may not:</t>
        </r>
        <r>
          <rPr>
            <sz val="9"/>
            <rFont val="Tahoma"/>
            <charset val="134"/>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rFont val="Tahoma"/>
            <charset val="134"/>
          </rPr>
          <t>Rev. 1, Timothy Hegarty, Texas Instruments, Inc.</t>
        </r>
      </text>
    </comment>
  </commentList>
</comments>
</file>

<file path=xl/sharedStrings.xml><?xml version="1.0" encoding="utf-8"?>
<sst xmlns="http://schemas.openxmlformats.org/spreadsheetml/2006/main" count="1554" uniqueCount="860">
  <si>
    <t xml:space="preserve">                    LM5180/1 and LM25180/3/4 PSR Flyback Design Tool  </t>
  </si>
  <si>
    <t>About</t>
  </si>
  <si>
    <t>xx</t>
  </si>
  <si>
    <t>= Input Box</t>
  </si>
  <si>
    <t xml:space="preserve">                </t>
  </si>
  <si>
    <t>Terms Of Use</t>
  </si>
  <si>
    <t>Step 1: Operating Specifications</t>
  </si>
  <si>
    <t>Step 2: Flyback Transformer</t>
  </si>
  <si>
    <r>
      <rPr>
        <b/>
        <sz val="10"/>
        <color theme="1"/>
        <rFont val="Arial"/>
        <charset val="134"/>
      </rPr>
      <t>Input Voltage – Min, V</t>
    </r>
    <r>
      <rPr>
        <b/>
        <vertAlign val="subscript"/>
        <sz val="10"/>
        <color theme="1"/>
        <rFont val="Arial"/>
        <charset val="134"/>
      </rPr>
      <t>IN(min)</t>
    </r>
    <r>
      <rPr>
        <b/>
        <sz val="10"/>
        <color theme="1"/>
        <rFont val="Arial"/>
        <charset val="134"/>
      </rPr>
      <t xml:space="preserve"> </t>
    </r>
  </si>
  <si>
    <t>V</t>
  </si>
  <si>
    <t>Minimum Magnetizing Inductance</t>
  </si>
  <si>
    <t>µH</t>
  </si>
  <si>
    <r>
      <rPr>
        <b/>
        <sz val="10"/>
        <color theme="1"/>
        <rFont val="Arial"/>
        <charset val="134"/>
      </rPr>
      <t>Input Voltage – Nom, V</t>
    </r>
    <r>
      <rPr>
        <b/>
        <vertAlign val="subscript"/>
        <sz val="10"/>
        <color theme="1"/>
        <rFont val="Arial"/>
        <charset val="134"/>
      </rPr>
      <t>IN(nom)</t>
    </r>
  </si>
  <si>
    <r>
      <rPr>
        <b/>
        <sz val="10"/>
        <color theme="1"/>
        <rFont val="Arial"/>
        <charset val="134"/>
      </rPr>
      <t>Magnetizing Inductance, L</t>
    </r>
    <r>
      <rPr>
        <b/>
        <vertAlign val="subscript"/>
        <sz val="10"/>
        <color theme="1"/>
        <rFont val="Arial"/>
        <charset val="134"/>
      </rPr>
      <t>MAG</t>
    </r>
    <r>
      <rPr>
        <b/>
        <sz val="10"/>
        <color theme="1"/>
        <rFont val="Arial"/>
        <charset val="134"/>
      </rPr>
      <t xml:space="preserve"> </t>
    </r>
  </si>
  <si>
    <r>
      <rPr>
        <b/>
        <sz val="10"/>
        <color theme="1"/>
        <rFont val="Arial"/>
        <charset val="134"/>
      </rPr>
      <t>Input Voltage – Max, V</t>
    </r>
    <r>
      <rPr>
        <b/>
        <vertAlign val="subscript"/>
        <sz val="10"/>
        <color theme="1"/>
        <rFont val="Arial"/>
        <charset val="134"/>
      </rPr>
      <t>IN(max)</t>
    </r>
  </si>
  <si>
    <t>Primary Winding DCR</t>
  </si>
  <si>
    <t>mΩ</t>
  </si>
  <si>
    <t>Single Output or Dual Outputs</t>
  </si>
  <si>
    <t>A</t>
  </si>
  <si>
    <t>Pri-Sec Leakage Inductance</t>
  </si>
  <si>
    <t>nH</t>
  </si>
  <si>
    <t>Step 3: Input &amp; Output Capacitors</t>
  </si>
  <si>
    <r>
      <rPr>
        <sz val="10"/>
        <rFont val="Arial"/>
        <charset val="134"/>
      </rPr>
      <t>Duty Cycle at V</t>
    </r>
    <r>
      <rPr>
        <vertAlign val="subscript"/>
        <sz val="10"/>
        <rFont val="Arial"/>
        <charset val="134"/>
      </rPr>
      <t>IN(min)</t>
    </r>
  </si>
  <si>
    <t>%</t>
  </si>
  <si>
    <t xml:space="preserve">Minimum Input Capacitance </t>
  </si>
  <si>
    <t>µF</t>
  </si>
  <si>
    <r>
      <rPr>
        <sz val="10"/>
        <color theme="1"/>
        <rFont val="Arial"/>
        <charset val="134"/>
      </rPr>
      <t>Primary Winding DCR Loss at Vin</t>
    </r>
    <r>
      <rPr>
        <vertAlign val="subscript"/>
        <sz val="10"/>
        <color theme="1"/>
        <rFont val="Arial"/>
        <charset val="134"/>
      </rPr>
      <t>(nom)</t>
    </r>
  </si>
  <si>
    <t>mW</t>
  </si>
  <si>
    <r>
      <rPr>
        <b/>
        <sz val="10"/>
        <color theme="1"/>
        <rFont val="Arial"/>
        <charset val="134"/>
      </rPr>
      <t>Input Capacitance, C</t>
    </r>
    <r>
      <rPr>
        <b/>
        <vertAlign val="subscript"/>
        <sz val="10"/>
        <color theme="1"/>
        <rFont val="Arial"/>
        <charset val="134"/>
      </rPr>
      <t>IN</t>
    </r>
    <r>
      <rPr>
        <b/>
        <sz val="10"/>
        <color theme="1"/>
        <rFont val="Arial"/>
        <charset val="134"/>
      </rPr>
      <t xml:space="preserve"> </t>
    </r>
  </si>
  <si>
    <t xml:space="preserve">Input Capacitor ESR </t>
  </si>
  <si>
    <r>
      <rPr>
        <sz val="10"/>
        <color theme="1"/>
        <rFont val="Arial"/>
        <charset val="134"/>
      </rPr>
      <t>Peak Primary Current at Vin</t>
    </r>
    <r>
      <rPr>
        <vertAlign val="subscript"/>
        <sz val="10"/>
        <color theme="1"/>
        <rFont val="Arial"/>
        <charset val="134"/>
      </rPr>
      <t>(nom)</t>
    </r>
  </si>
  <si>
    <t xml:space="preserve">Resulting Input Voltage Ripple </t>
  </si>
  <si>
    <r>
      <rPr>
        <sz val="10"/>
        <rFont val="Arial"/>
        <charset val="134"/>
      </rPr>
      <t>mV</t>
    </r>
    <r>
      <rPr>
        <vertAlign val="subscript"/>
        <sz val="10"/>
        <rFont val="Arial"/>
        <charset val="134"/>
      </rPr>
      <t>pk-pk</t>
    </r>
  </si>
  <si>
    <r>
      <rPr>
        <sz val="10"/>
        <color theme="1"/>
        <rFont val="Arial"/>
        <charset val="134"/>
      </rPr>
      <t>Peak Secondary Current at Vin</t>
    </r>
    <r>
      <rPr>
        <vertAlign val="subscript"/>
        <sz val="10"/>
        <color theme="1"/>
        <rFont val="Arial"/>
        <charset val="134"/>
      </rPr>
      <t>(nom)</t>
    </r>
  </si>
  <si>
    <r>
      <rPr>
        <b/>
        <sz val="10"/>
        <rFont val="Arial"/>
        <charset val="134"/>
      </rPr>
      <t>Output Capacitance, C</t>
    </r>
    <r>
      <rPr>
        <b/>
        <vertAlign val="subscript"/>
        <sz val="10"/>
        <rFont val="Arial"/>
        <charset val="134"/>
      </rPr>
      <t>OUT</t>
    </r>
    <r>
      <rPr>
        <b/>
        <sz val="10"/>
        <rFont val="Arial"/>
        <charset val="134"/>
      </rPr>
      <t xml:space="preserve"> </t>
    </r>
  </si>
  <si>
    <r>
      <rPr>
        <b/>
        <sz val="10"/>
        <rFont val="Arial"/>
        <charset val="134"/>
      </rPr>
      <t>Output Capacitance, C</t>
    </r>
    <r>
      <rPr>
        <b/>
        <vertAlign val="subscript"/>
        <sz val="10"/>
        <rFont val="Arial"/>
        <charset val="134"/>
      </rPr>
      <t>OUT2</t>
    </r>
    <r>
      <rPr>
        <b/>
        <sz val="10"/>
        <rFont val="Arial"/>
        <charset val="134"/>
      </rPr>
      <t xml:space="preserve"> </t>
    </r>
  </si>
  <si>
    <t>Output Capacitor ESR</t>
  </si>
  <si>
    <t>Step 4: Feedback, Soft-start, TC, UVLO</t>
  </si>
  <si>
    <t>Recommended Feedback Resistor</t>
  </si>
  <si>
    <t>kΩ</t>
  </si>
  <si>
    <r>
      <rPr>
        <b/>
        <sz val="10"/>
        <rFont val="Arial"/>
        <charset val="134"/>
      </rPr>
      <t>Selected Feedback Resistor, R</t>
    </r>
    <r>
      <rPr>
        <b/>
        <vertAlign val="subscript"/>
        <sz val="10"/>
        <rFont val="Arial"/>
        <charset val="134"/>
      </rPr>
      <t>FB</t>
    </r>
  </si>
  <si>
    <t>Soft-Start Configuration</t>
  </si>
  <si>
    <t xml:space="preserve">  </t>
  </si>
  <si>
    <t>ms</t>
  </si>
  <si>
    <r>
      <rPr>
        <sz val="10"/>
        <rFont val="Arial"/>
        <charset val="134"/>
      </rPr>
      <t>Soft-Start Capacitance, C</t>
    </r>
    <r>
      <rPr>
        <vertAlign val="subscript"/>
        <sz val="10"/>
        <rFont val="Arial"/>
        <charset val="134"/>
      </rPr>
      <t>SS</t>
    </r>
    <r>
      <rPr>
        <sz val="10"/>
        <rFont val="Arial"/>
        <charset val="134"/>
      </rPr>
      <t xml:space="preserve"> </t>
    </r>
  </si>
  <si>
    <t>nF</t>
  </si>
  <si>
    <t>VOUT Thermal Compensation</t>
  </si>
  <si>
    <t>mV/°C</t>
  </si>
  <si>
    <r>
      <rPr>
        <sz val="10"/>
        <rFont val="Arial"/>
        <charset val="134"/>
      </rPr>
      <t>Thermal Compensation Resistor, R</t>
    </r>
    <r>
      <rPr>
        <vertAlign val="subscript"/>
        <sz val="10"/>
        <rFont val="Arial"/>
        <charset val="134"/>
      </rPr>
      <t>TC</t>
    </r>
  </si>
  <si>
    <t>Input UVLO Configuration</t>
  </si>
  <si>
    <r>
      <rPr>
        <sz val="10"/>
        <rFont val="Arial"/>
        <charset val="134"/>
      </rPr>
      <t>Upper UVLO Resistor, R</t>
    </r>
    <r>
      <rPr>
        <vertAlign val="subscript"/>
        <sz val="10"/>
        <rFont val="Arial"/>
        <charset val="134"/>
      </rPr>
      <t>UV1</t>
    </r>
  </si>
  <si>
    <r>
      <rPr>
        <sz val="10"/>
        <rFont val="Arial"/>
        <charset val="134"/>
      </rPr>
      <t>Lower UVLO Resistor, R</t>
    </r>
    <r>
      <rPr>
        <vertAlign val="subscript"/>
        <sz val="10"/>
        <rFont val="Arial"/>
        <charset val="134"/>
      </rPr>
      <t>UV2</t>
    </r>
  </si>
  <si>
    <t xml:space="preserve"> </t>
  </si>
  <si>
    <t>Step 5: Power Losses &amp; Thermals</t>
  </si>
  <si>
    <r>
      <rPr>
        <b/>
        <sz val="10"/>
        <rFont val="Arial"/>
        <charset val="134"/>
      </rPr>
      <t>Flyback Diode Voltage Drop, V</t>
    </r>
    <r>
      <rPr>
        <b/>
        <vertAlign val="subscript"/>
        <sz val="10"/>
        <rFont val="Arial"/>
        <charset val="134"/>
      </rPr>
      <t>D(no-load)</t>
    </r>
  </si>
  <si>
    <r>
      <rPr>
        <b/>
        <sz val="10"/>
        <rFont val="Arial"/>
        <charset val="134"/>
      </rPr>
      <t>Flyback Diode Voltage Drop, V</t>
    </r>
    <r>
      <rPr>
        <b/>
        <vertAlign val="subscript"/>
        <sz val="10"/>
        <rFont val="Arial"/>
        <charset val="134"/>
      </rPr>
      <t>D(full-load)</t>
    </r>
  </si>
  <si>
    <r>
      <rPr>
        <b/>
        <sz val="10"/>
        <rFont val="Arial"/>
        <charset val="134"/>
      </rPr>
      <t xml:space="preserve">Estimated IC Thermal Impedance, </t>
    </r>
    <r>
      <rPr>
        <b/>
        <sz val="11"/>
        <rFont val="Symbol"/>
        <charset val="2"/>
      </rPr>
      <t>J</t>
    </r>
    <r>
      <rPr>
        <b/>
        <vertAlign val="subscript"/>
        <sz val="10"/>
        <rFont val="Arial"/>
        <charset val="134"/>
      </rPr>
      <t>JA</t>
    </r>
  </si>
  <si>
    <t>°C/W</t>
  </si>
  <si>
    <r>
      <rPr>
        <b/>
        <sz val="10"/>
        <rFont val="Arial"/>
        <charset val="134"/>
      </rPr>
      <t>Ambient Temperature, T</t>
    </r>
    <r>
      <rPr>
        <b/>
        <vertAlign val="subscript"/>
        <sz val="10"/>
        <rFont val="Arial"/>
        <charset val="134"/>
      </rPr>
      <t>A</t>
    </r>
  </si>
  <si>
    <t>°C</t>
  </si>
  <si>
    <r>
      <rPr>
        <sz val="10"/>
        <rFont val="Arial"/>
        <charset val="134"/>
      </rPr>
      <t>Power Dissipation at Full Load, P</t>
    </r>
    <r>
      <rPr>
        <vertAlign val="subscript"/>
        <sz val="10"/>
        <rFont val="Arial"/>
        <charset val="134"/>
      </rPr>
      <t>D</t>
    </r>
  </si>
  <si>
    <r>
      <rPr>
        <sz val="10"/>
        <rFont val="Arial"/>
        <charset val="134"/>
      </rPr>
      <t>Junction Temperature at Full Load, T</t>
    </r>
    <r>
      <rPr>
        <vertAlign val="subscript"/>
        <sz val="10"/>
        <rFont val="Arial"/>
        <charset val="134"/>
      </rPr>
      <t>J</t>
    </r>
  </si>
  <si>
    <t>Step 6:  Optional RC Snubber across Rectifier Diode</t>
  </si>
  <si>
    <t>(Always reserve the snubber positions on PCB, and validate by experiments.)</t>
  </si>
  <si>
    <t>pF</t>
  </si>
  <si>
    <t>Snubber Capacitor Voltage Rating &gt;</t>
  </si>
  <si>
    <t>Ω</t>
  </si>
  <si>
    <t>Snubber Resistor Power Dissipation Rating &gt;</t>
  </si>
  <si>
    <t>W</t>
  </si>
  <si>
    <t>Step 7:  Optional Output Zener Clamp or Dummy Load</t>
  </si>
  <si>
    <t>(Always reserve the Zener clamp and dummy load position on PCB)</t>
  </si>
  <si>
    <t xml:space="preserve">Selected Device Min Power Rating&gt;  </t>
  </si>
  <si>
    <t>Count</t>
  </si>
  <si>
    <t>Ref Des</t>
  </si>
  <si>
    <t>Value</t>
  </si>
  <si>
    <t>Description</t>
  </si>
  <si>
    <t>Size</t>
  </si>
  <si>
    <t>Part Number</t>
  </si>
  <si>
    <t>MFR</t>
  </si>
  <si>
    <t>Footprint (mm)</t>
  </si>
  <si>
    <r>
      <rPr>
        <b/>
        <sz val="10"/>
        <color theme="0"/>
        <rFont val="Arial"/>
        <charset val="134"/>
      </rPr>
      <t>Area (mm</t>
    </r>
    <r>
      <rPr>
        <b/>
        <vertAlign val="superscript"/>
        <sz val="10"/>
        <color theme="0"/>
        <rFont val="Arial"/>
        <charset val="134"/>
      </rPr>
      <t>2</t>
    </r>
    <r>
      <rPr>
        <b/>
        <sz val="10"/>
        <color theme="0"/>
        <rFont val="Arial"/>
        <charset val="134"/>
      </rPr>
      <t>)</t>
    </r>
  </si>
  <si>
    <r>
      <rPr>
        <sz val="10"/>
        <rFont val="Arial"/>
        <charset val="134"/>
      </rPr>
      <t>C</t>
    </r>
    <r>
      <rPr>
        <vertAlign val="subscript"/>
        <sz val="10"/>
        <rFont val="Arial"/>
        <charset val="134"/>
      </rPr>
      <t>IN</t>
    </r>
  </si>
  <si>
    <t>Std</t>
  </si>
  <si>
    <r>
      <rPr>
        <sz val="10"/>
        <rFont val="Arial"/>
        <charset val="134"/>
      </rPr>
      <t>C</t>
    </r>
    <r>
      <rPr>
        <vertAlign val="subscript"/>
        <sz val="10"/>
        <rFont val="Arial"/>
        <charset val="134"/>
      </rPr>
      <t>OUT</t>
    </r>
  </si>
  <si>
    <r>
      <rPr>
        <sz val="10"/>
        <rFont val="Arial"/>
        <charset val="134"/>
      </rPr>
      <t>C</t>
    </r>
    <r>
      <rPr>
        <vertAlign val="subscript"/>
        <sz val="10"/>
        <rFont val="Arial"/>
        <charset val="134"/>
      </rPr>
      <t>OUT2</t>
    </r>
  </si>
  <si>
    <t>0603</t>
  </si>
  <si>
    <r>
      <rPr>
        <sz val="10"/>
        <rFont val="Arial"/>
        <charset val="134"/>
      </rPr>
      <t>D</t>
    </r>
    <r>
      <rPr>
        <vertAlign val="subscript"/>
        <sz val="10"/>
        <rFont val="Arial"/>
        <charset val="134"/>
      </rPr>
      <t>FLY</t>
    </r>
  </si>
  <si>
    <t>Diode</t>
  </si>
  <si>
    <r>
      <rPr>
        <sz val="10"/>
        <rFont val="Arial"/>
        <charset val="134"/>
      </rPr>
      <t>D</t>
    </r>
    <r>
      <rPr>
        <vertAlign val="subscript"/>
        <sz val="10"/>
        <rFont val="Arial"/>
        <charset val="134"/>
      </rPr>
      <t>FLY2</t>
    </r>
  </si>
  <si>
    <r>
      <rPr>
        <sz val="10"/>
        <rFont val="Arial"/>
        <charset val="134"/>
      </rPr>
      <t>D</t>
    </r>
    <r>
      <rPr>
        <vertAlign val="subscript"/>
        <sz val="10"/>
        <rFont val="Arial"/>
        <charset val="134"/>
      </rPr>
      <t>F</t>
    </r>
  </si>
  <si>
    <r>
      <rPr>
        <sz val="10"/>
        <rFont val="Arial"/>
        <charset val="134"/>
      </rPr>
      <t>D</t>
    </r>
    <r>
      <rPr>
        <vertAlign val="subscript"/>
        <sz val="10"/>
        <rFont val="Arial"/>
        <charset val="134"/>
      </rPr>
      <t>CLAMP</t>
    </r>
  </si>
  <si>
    <r>
      <rPr>
        <sz val="10"/>
        <rFont val="Arial"/>
        <charset val="134"/>
      </rPr>
      <t>D</t>
    </r>
    <r>
      <rPr>
        <vertAlign val="subscript"/>
        <sz val="10"/>
        <rFont val="Arial"/>
        <charset val="134"/>
      </rPr>
      <t>OUT</t>
    </r>
  </si>
  <si>
    <r>
      <rPr>
        <sz val="10"/>
        <rFont val="Arial"/>
        <charset val="134"/>
      </rPr>
      <t>R</t>
    </r>
    <r>
      <rPr>
        <vertAlign val="subscript"/>
        <sz val="10"/>
        <rFont val="Arial"/>
        <charset val="134"/>
      </rPr>
      <t>SET</t>
    </r>
  </si>
  <si>
    <r>
      <rPr>
        <sz val="10"/>
        <rFont val="Arial"/>
        <charset val="134"/>
      </rPr>
      <t>R</t>
    </r>
    <r>
      <rPr>
        <vertAlign val="subscript"/>
        <sz val="10"/>
        <rFont val="Arial"/>
        <charset val="134"/>
      </rPr>
      <t>FB</t>
    </r>
  </si>
  <si>
    <r>
      <rPr>
        <sz val="10"/>
        <rFont val="Arial"/>
        <charset val="134"/>
      </rPr>
      <t>R</t>
    </r>
    <r>
      <rPr>
        <vertAlign val="subscript"/>
        <sz val="10"/>
        <rFont val="Arial"/>
        <charset val="134"/>
      </rPr>
      <t>UV1</t>
    </r>
  </si>
  <si>
    <r>
      <rPr>
        <sz val="10"/>
        <rFont val="Arial"/>
        <charset val="134"/>
      </rPr>
      <t>R</t>
    </r>
    <r>
      <rPr>
        <vertAlign val="subscript"/>
        <sz val="10"/>
        <rFont val="Arial"/>
        <charset val="134"/>
      </rPr>
      <t>UV2</t>
    </r>
  </si>
  <si>
    <r>
      <rPr>
        <sz val="10"/>
        <rFont val="Arial"/>
        <charset val="134"/>
      </rPr>
      <t>R</t>
    </r>
    <r>
      <rPr>
        <vertAlign val="subscript"/>
        <sz val="10"/>
        <rFont val="Arial"/>
        <charset val="134"/>
      </rPr>
      <t>TC</t>
    </r>
  </si>
  <si>
    <r>
      <rPr>
        <sz val="10"/>
        <rFont val="Arial"/>
        <charset val="134"/>
      </rPr>
      <t>T</t>
    </r>
    <r>
      <rPr>
        <vertAlign val="subscript"/>
        <sz val="10"/>
        <rFont val="Arial"/>
        <charset val="134"/>
      </rPr>
      <t>1</t>
    </r>
  </si>
  <si>
    <t>-</t>
  </si>
  <si>
    <t>Various</t>
  </si>
  <si>
    <r>
      <rPr>
        <b/>
        <sz val="10"/>
        <rFont val="Arial"/>
        <charset val="134"/>
      </rPr>
      <t>U</t>
    </r>
    <r>
      <rPr>
        <b/>
        <vertAlign val="subscript"/>
        <sz val="10"/>
        <rFont val="Arial"/>
        <charset val="134"/>
      </rPr>
      <t>1</t>
    </r>
  </si>
  <si>
    <t>WSON-8</t>
  </si>
  <si>
    <t>TI</t>
  </si>
  <si>
    <t>4.0 x 4.0</t>
  </si>
  <si>
    <t>Total Solution Size (buffered by 25%)</t>
  </si>
  <si>
    <r>
      <rPr>
        <b/>
        <sz val="12"/>
        <color rgb="FFFF0000"/>
        <rFont val="Arial"/>
        <charset val="134"/>
      </rPr>
      <t>mm</t>
    </r>
    <r>
      <rPr>
        <b/>
        <vertAlign val="superscript"/>
        <sz val="12"/>
        <color rgb="FFFF0000"/>
        <rFont val="Arial"/>
        <charset val="134"/>
      </rPr>
      <t>2</t>
    </r>
    <r>
      <rPr>
        <b/>
        <sz val="12"/>
        <color rgb="FFFF0000"/>
        <rFont val="Arial"/>
        <charset val="134"/>
      </rPr>
      <t xml:space="preserve">  =</t>
    </r>
  </si>
  <si>
    <r>
      <rPr>
        <b/>
        <sz val="12"/>
        <color rgb="FFFF0000"/>
        <rFont val="Arial"/>
        <charset val="134"/>
      </rPr>
      <t>in</t>
    </r>
    <r>
      <rPr>
        <b/>
        <vertAlign val="superscript"/>
        <sz val="12"/>
        <color rgb="FFFF0000"/>
        <rFont val="Arial"/>
        <charset val="134"/>
      </rPr>
      <t>2</t>
    </r>
  </si>
  <si>
    <r>
      <rPr>
        <b/>
        <u/>
        <sz val="10"/>
        <rFont val="Arial"/>
        <charset val="134"/>
      </rPr>
      <t>NOTES</t>
    </r>
    <r>
      <rPr>
        <b/>
        <sz val="10"/>
        <rFont val="Arial"/>
        <charset val="134"/>
      </rPr>
      <t>:</t>
    </r>
  </si>
  <si>
    <t>1.  Choose a transformer with saturation current rating higher than the max peak current limit setting (1.73A) for all operating temperatures</t>
  </si>
  <si>
    <t>2.  Appropriately derate the effective input and output capacitances for applied voltage and temperature, particularly with ceramics</t>
  </si>
  <si>
    <t>3.  Use a primary-side RC snubber from SW to VIN to dampen leakage inductance spike</t>
  </si>
  <si>
    <t>4.  Use a flyback diode RC snubber to dampen ringing if needed</t>
  </si>
  <si>
    <t>5.  Use an output zener to clamp the output at no load</t>
  </si>
  <si>
    <t xml:space="preserve"> LM5180/1 and LM25180/3/4 PSR Flyback Converter Design Tool</t>
  </si>
  <si>
    <t>LM5180EVM-S05 PCB Design, 2" x 1.4" (50mm x 35mm)</t>
  </si>
  <si>
    <t>LM5180EVM-DUAL PCB design, 2.1" x 1.5" (55mm x 38mm)</t>
  </si>
  <si>
    <t>LM25184EVM-S12 PCB design, 2.2" x 1.4" (56mm x 36mm)</t>
  </si>
  <si>
    <t>EXCEL Variables Names/Calculations</t>
  </si>
  <si>
    <t>Input from user =</t>
  </si>
  <si>
    <t>Output =</t>
  </si>
  <si>
    <t>Constant</t>
  </si>
  <si>
    <t>Variable Name</t>
  </si>
  <si>
    <t>STD Units</t>
  </si>
  <si>
    <t>Notes</t>
  </si>
  <si>
    <t>Iteration</t>
  </si>
  <si>
    <t>Step 1: Operational Specs</t>
  </si>
  <si>
    <t>VIN_min</t>
  </si>
  <si>
    <t>Minimum input voltage</t>
  </si>
  <si>
    <t>VIN_nom</t>
  </si>
  <si>
    <t>Nominal input voltage</t>
  </si>
  <si>
    <t>VIN_max</t>
  </si>
  <si>
    <t>Maximum input voltage</t>
  </si>
  <si>
    <t>LM5180</t>
  </si>
  <si>
    <t>Vout</t>
  </si>
  <si>
    <t>Output voltage</t>
  </si>
  <si>
    <t>LM5181</t>
  </si>
  <si>
    <t>Iout</t>
  </si>
  <si>
    <t>Maximum output current #1</t>
  </si>
  <si>
    <t>LM25180</t>
  </si>
  <si>
    <t>Rout</t>
  </si>
  <si>
    <t>Load resistance</t>
  </si>
  <si>
    <t>LM25183</t>
  </si>
  <si>
    <t>Pout</t>
  </si>
  <si>
    <t>Output power</t>
  </si>
  <si>
    <t>LM25184</t>
  </si>
  <si>
    <t>VARIANT</t>
  </si>
  <si>
    <t>Vout2 - absolute value</t>
  </si>
  <si>
    <t>Output voltage #2</t>
  </si>
  <si>
    <t>VIN-MAX</t>
  </si>
  <si>
    <t>Vout2 - with polarity</t>
  </si>
  <si>
    <t>VSW-MAX</t>
  </si>
  <si>
    <t>Iout2</t>
  </si>
  <si>
    <t>Maximum output current #2</t>
  </si>
  <si>
    <t>Iout2_actual</t>
  </si>
  <si>
    <t>Mode</t>
  </si>
  <si>
    <t>Rout2</t>
  </si>
  <si>
    <t>Load resistance #2</t>
  </si>
  <si>
    <t>Output #1</t>
  </si>
  <si>
    <t>Output #2</t>
  </si>
  <si>
    <t>DCM</t>
  </si>
  <si>
    <t>Pout2</t>
  </si>
  <si>
    <t>Output power #2</t>
  </si>
  <si>
    <t>BCM</t>
  </si>
  <si>
    <t xml:space="preserve">Total Output Power </t>
  </si>
  <si>
    <t>Total power</t>
  </si>
  <si>
    <t>Turns Ratio, PRI : SEC2</t>
  </si>
  <si>
    <t>TR primary-secondary2 (dual output) = Np/Nsec2</t>
  </si>
  <si>
    <t>Turns Ratio, SEC1 : SEC2</t>
  </si>
  <si>
    <t>TR sec1-sec2 (dual output) = Nsec1/Nsec2</t>
  </si>
  <si>
    <t>Transformer Turns Ratio</t>
  </si>
  <si>
    <t>Isolation Grade</t>
  </si>
  <si>
    <t>Single Output or Dual 1st Output</t>
  </si>
  <si>
    <t>SEC1 to SEC2</t>
  </si>
  <si>
    <t xml:space="preserve">Diode reverse voltage </t>
  </si>
  <si>
    <t>FUNCTIONAL</t>
  </si>
  <si>
    <t>BASIC</t>
  </si>
  <si>
    <t>Vout_ripple</t>
  </si>
  <si>
    <t>mV</t>
  </si>
  <si>
    <t>1% Vout ripple spec</t>
  </si>
  <si>
    <t>REINFORCED</t>
  </si>
  <si>
    <t>Vout_ripple2</t>
  </si>
  <si>
    <t>1% Vout2 ripple spec</t>
  </si>
  <si>
    <t>1.2 : 1</t>
  </si>
  <si>
    <t>Efficiency</t>
  </si>
  <si>
    <t>Estimate of efficiency</t>
  </si>
  <si>
    <t>1 : 1.2</t>
  </si>
  <si>
    <t>Pin</t>
  </si>
  <si>
    <t>Calculate input power assuming initial efficiency estimate</t>
  </si>
  <si>
    <t>Iin_Vinmin</t>
  </si>
  <si>
    <t>Iin_Vinnom</t>
  </si>
  <si>
    <t>Input currents at min, nom, max Vin</t>
  </si>
  <si>
    <t>Iin_Vinmax</t>
  </si>
  <si>
    <t>Max Pout at Vin-min</t>
  </si>
  <si>
    <t>Turns_Ratio</t>
  </si>
  <si>
    <t>Turns_Ratio2</t>
  </si>
  <si>
    <t>Max Iout at Vin-min</t>
  </si>
  <si>
    <t>Fsw_DCM</t>
  </si>
  <si>
    <t>Hz</t>
  </si>
  <si>
    <t>DCM switching frequency</t>
  </si>
  <si>
    <t>Vref</t>
  </si>
  <si>
    <t>Reference voltage</t>
  </si>
  <si>
    <t>Nps</t>
  </si>
  <si>
    <t>Rfb</t>
  </si>
  <si>
    <t>Feedback resistor</t>
  </si>
  <si>
    <t>Nps1</t>
  </si>
  <si>
    <t>Scale</t>
  </si>
  <si>
    <t>V_SW_max</t>
  </si>
  <si>
    <t>Schematic variable defined:</t>
  </si>
  <si>
    <t>Nsec1sec2</t>
  </si>
  <si>
    <r>
      <rPr>
        <sz val="10"/>
        <rFont val="Arial"/>
        <charset val="134"/>
      </rPr>
      <t>Internal P</t>
    </r>
    <r>
      <rPr>
        <vertAlign val="subscript"/>
        <sz val="10"/>
        <rFont val="Arial"/>
        <charset val="134"/>
      </rPr>
      <t>DISS</t>
    </r>
    <r>
      <rPr>
        <sz val="10"/>
        <rFont val="Arial"/>
        <charset val="134"/>
      </rPr>
      <t xml:space="preserve"> at Full Load</t>
    </r>
  </si>
  <si>
    <t>Power dissipation</t>
  </si>
  <si>
    <t>check…</t>
  </si>
  <si>
    <t>Nps2</t>
  </si>
  <si>
    <t>PRI : SEC1 : SEC2</t>
  </si>
  <si>
    <t>Step 2: Circuit Configuration for Single/Dual Output, Int/Adj UVLO, Int/Adj SS, Yes/No TC</t>
  </si>
  <si>
    <t>SINGLE/DUAL OUTPUT</t>
  </si>
  <si>
    <t>SINGLE</t>
  </si>
  <si>
    <t>TC YES/NO</t>
  </si>
  <si>
    <t>YES</t>
  </si>
  <si>
    <t>ILIM pin shorted if 240mA selected</t>
  </si>
  <si>
    <t>Vout&lt;=5V</t>
  </si>
  <si>
    <t>6.3V</t>
  </si>
  <si>
    <t>DUAL</t>
  </si>
  <si>
    <t>NO</t>
  </si>
  <si>
    <t>ILIM resistor needed (60/120/180mA)</t>
  </si>
  <si>
    <t>Vout&lt;=8V</t>
  </si>
  <si>
    <t>10V</t>
  </si>
  <si>
    <t>BIPOLAR</t>
  </si>
  <si>
    <t>MODE_TC</t>
  </si>
  <si>
    <t>SHORT_ILIM</t>
  </si>
  <si>
    <t>Vout&lt;=12V</t>
  </si>
  <si>
    <t>16V</t>
  </si>
  <si>
    <t>MODE</t>
  </si>
  <si>
    <t>Vout&lt;=20V</t>
  </si>
  <si>
    <t>25V</t>
  </si>
  <si>
    <t>Vout&gt;20V</t>
  </si>
  <si>
    <t>50V</t>
  </si>
  <si>
    <t>Cout Voltage Rating</t>
  </si>
  <si>
    <t>Current Limit</t>
  </si>
  <si>
    <t>UVLO</t>
  </si>
  <si>
    <t>Adjustable</t>
  </si>
  <si>
    <t>Soft Start</t>
  </si>
  <si>
    <r>
      <rPr>
        <b/>
        <sz val="10"/>
        <rFont val="Arial"/>
        <charset val="134"/>
      </rPr>
      <t>Iout</t>
    </r>
    <r>
      <rPr>
        <sz val="10"/>
        <rFont val="Arial"/>
        <charset val="134"/>
      </rPr>
      <t xml:space="preserve"> Linear Axis</t>
    </r>
  </si>
  <si>
    <t>Internal</t>
  </si>
  <si>
    <t>6ms Fixed</t>
  </si>
  <si>
    <r>
      <rPr>
        <b/>
        <sz val="10"/>
        <rFont val="Arial"/>
        <charset val="134"/>
      </rPr>
      <t>Iout</t>
    </r>
    <r>
      <rPr>
        <sz val="10"/>
        <rFont val="Arial"/>
        <charset val="134"/>
      </rPr>
      <t xml:space="preserve"> Log Axis</t>
    </r>
  </si>
  <si>
    <t>Footprint</t>
  </si>
  <si>
    <t>Area</t>
  </si>
  <si>
    <t>MODE_ILIM</t>
  </si>
  <si>
    <t>MODE_UVLO</t>
  </si>
  <si>
    <t>MODE_SS</t>
  </si>
  <si>
    <t>PLOT_TYPE</t>
  </si>
  <si>
    <t>0402</t>
  </si>
  <si>
    <t>1.0 x 0.5</t>
  </si>
  <si>
    <t>1.6 x 0.8</t>
  </si>
  <si>
    <t>0805</t>
  </si>
  <si>
    <t>2.0 x 1.25</t>
  </si>
  <si>
    <t>Step 3: Flyback Transformer</t>
  </si>
  <si>
    <t>1206</t>
  </si>
  <si>
    <t>3.2 x 1.6</t>
  </si>
  <si>
    <t>1210</t>
  </si>
  <si>
    <t>3.2 x 2.5</t>
  </si>
  <si>
    <t>Don_Vinmin</t>
  </si>
  <si>
    <t>Component Size</t>
  </si>
  <si>
    <t>Don_Vinnom</t>
  </si>
  <si>
    <t>Don_Vinmax</t>
  </si>
  <si>
    <t>6mm x 6mm</t>
  </si>
  <si>
    <t>6 x 6</t>
  </si>
  <si>
    <t>SOD523</t>
  </si>
  <si>
    <t>7mm x 7mm</t>
  </si>
  <si>
    <t>7 x 7</t>
  </si>
  <si>
    <t>SOD323</t>
  </si>
  <si>
    <t>2.5 x 1.25</t>
  </si>
  <si>
    <t>8mm x 8mm</t>
  </si>
  <si>
    <t>8 x 8</t>
  </si>
  <si>
    <t>SOD123</t>
  </si>
  <si>
    <t>3.6 x 1.8</t>
  </si>
  <si>
    <t>9mm x 9mm</t>
  </si>
  <si>
    <t>9 x 9</t>
  </si>
  <si>
    <t>SMA</t>
  </si>
  <si>
    <t>5.0 x 2.5</t>
  </si>
  <si>
    <t>10mm x 10mm</t>
  </si>
  <si>
    <t>10 x 10</t>
  </si>
  <si>
    <t>SMB</t>
  </si>
  <si>
    <t>5.0 x 3.3</t>
  </si>
  <si>
    <t>10mm x 12mm</t>
  </si>
  <si>
    <t>10 x 12</t>
  </si>
  <si>
    <t>Diode Size</t>
  </si>
  <si>
    <t>11mm x 13mm</t>
  </si>
  <si>
    <t>11 x 13</t>
  </si>
  <si>
    <r>
      <rPr>
        <sz val="10"/>
        <rFont val="Arial"/>
        <charset val="134"/>
      </rPr>
      <t>Pk-to-Pk Ripple Current at V</t>
    </r>
    <r>
      <rPr>
        <vertAlign val="subscript"/>
        <sz val="10"/>
        <rFont val="Arial"/>
        <charset val="134"/>
      </rPr>
      <t>IN(nom)</t>
    </r>
    <r>
      <rPr>
        <sz val="10"/>
        <rFont val="Arial"/>
        <charset val="134"/>
      </rPr>
      <t xml:space="preserve">, </t>
    </r>
    <r>
      <rPr>
        <sz val="10"/>
        <rFont val="Symbol"/>
        <charset val="2"/>
      </rPr>
      <t>D</t>
    </r>
    <r>
      <rPr>
        <sz val="10"/>
        <rFont val="Arial"/>
        <charset val="134"/>
      </rPr>
      <t>IL</t>
    </r>
  </si>
  <si>
    <t>Transformer Size</t>
  </si>
  <si>
    <t>Lmag</t>
  </si>
  <si>
    <t>H</t>
  </si>
  <si>
    <t>Chosen mag inductance</t>
  </si>
  <si>
    <t>Lleak</t>
  </si>
  <si>
    <t>Rdcr_pri</t>
  </si>
  <si>
    <t>Primary winding DCR</t>
  </si>
  <si>
    <t>Rdcr_sec</t>
  </si>
  <si>
    <t>Secondary winding DCR</t>
  </si>
  <si>
    <t>Rdcr_sec2</t>
  </si>
  <si>
    <t>Secondary winding #2 DCR</t>
  </si>
  <si>
    <t>Temp - Hot</t>
  </si>
  <si>
    <t>Primary winding DCR at hot</t>
  </si>
  <si>
    <t>Secondary winding DCR at hot</t>
  </si>
  <si>
    <t>Secondary winding #2 DCR at hot</t>
  </si>
  <si>
    <t>toff-max</t>
  </si>
  <si>
    <t>ns</t>
  </si>
  <si>
    <t>Lmin</t>
  </si>
  <si>
    <t>uH</t>
  </si>
  <si>
    <t>Isat</t>
  </si>
  <si>
    <t>Step 3: Output Capacitor(s)</t>
  </si>
  <si>
    <t>Icoutrms_VINmin</t>
  </si>
  <si>
    <t>Output Cap RMS current</t>
  </si>
  <si>
    <t>Icoutrms_VINnom</t>
  </si>
  <si>
    <t>Icoutrms_VINmax</t>
  </si>
  <si>
    <t>Output Ripple Spec (pk-pk)</t>
  </si>
  <si>
    <t>Vripple1_spec</t>
  </si>
  <si>
    <t>Coutmin</t>
  </si>
  <si>
    <t>Min 1uF</t>
  </si>
  <si>
    <t>Cout</t>
  </si>
  <si>
    <t>Chosen Output Capacitance</t>
  </si>
  <si>
    <t>Reported Cout ESR max</t>
  </si>
  <si>
    <r>
      <rPr>
        <sz val="10"/>
        <rFont val="Arial"/>
        <charset val="134"/>
      </rPr>
      <t>m</t>
    </r>
    <r>
      <rPr>
        <sz val="10"/>
        <rFont val="Symbol"/>
        <charset val="2"/>
      </rPr>
      <t>W</t>
    </r>
  </si>
  <si>
    <t>Max ESR before ripple exceeds Vripple1</t>
  </si>
  <si>
    <t>CoutEsr</t>
  </si>
  <si>
    <t>Chosen ESR</t>
  </si>
  <si>
    <t>Ton at Full Load, Vin-nom</t>
  </si>
  <si>
    <t>µs</t>
  </si>
  <si>
    <t>Actual Output Ripple</t>
  </si>
  <si>
    <t>mVpk-pk</t>
  </si>
  <si>
    <t>Vripple1_actual</t>
  </si>
  <si>
    <t>check Vripple variable name…</t>
  </si>
  <si>
    <t>DUAL OUTPUT</t>
  </si>
  <si>
    <t>Output Ripple Spec (pk-pk) #2</t>
  </si>
  <si>
    <t>Vripple2_spec</t>
  </si>
  <si>
    <t>Coutmin2</t>
  </si>
  <si>
    <t>Cout2</t>
  </si>
  <si>
    <t>Reported Cout ESR max #2</t>
  </si>
  <si>
    <t>check Ton for dual output…</t>
  </si>
  <si>
    <t>CoutEsr2</t>
  </si>
  <si>
    <t>Vripple2_actual</t>
  </si>
  <si>
    <t>Step 5: Input Capacitor</t>
  </si>
  <si>
    <t>Vinripple1 - Input ripple spec</t>
  </si>
  <si>
    <t>Vpk-pk</t>
  </si>
  <si>
    <t>Input voltage ripple spec (pk-pk) at Vin(nom) = 5%</t>
  </si>
  <si>
    <t>Icinrms</t>
  </si>
  <si>
    <t>mA</t>
  </si>
  <si>
    <t>Cinmin</t>
  </si>
  <si>
    <t>Reported Cinmin</t>
  </si>
  <si>
    <t>Cin</t>
  </si>
  <si>
    <t>Input capacitance</t>
  </si>
  <si>
    <t>CinEsrMax</t>
  </si>
  <si>
    <t>RCinEsr</t>
  </si>
  <si>
    <t>Input capacitance series resistance (ESR)</t>
  </si>
  <si>
    <t>Reported Cin ESR max</t>
  </si>
  <si>
    <t>mΩ</t>
  </si>
  <si>
    <t>Input current, full load, Vin(nom)</t>
  </si>
  <si>
    <t>Peak primary current, full load, Vin(nom)</t>
  </si>
  <si>
    <t>Toff, Vin(nom)</t>
  </si>
  <si>
    <t>Input voltage ripple - Vinripple2</t>
  </si>
  <si>
    <t>Vinripple2</t>
  </si>
  <si>
    <t>Step 6: Soft Start</t>
  </si>
  <si>
    <t>Tss</t>
  </si>
  <si>
    <t>s</t>
  </si>
  <si>
    <t>Soft-start time</t>
  </si>
  <si>
    <t>Iss</t>
  </si>
  <si>
    <t>Soft-start current</t>
  </si>
  <si>
    <t>Css</t>
  </si>
  <si>
    <t>F</t>
  </si>
  <si>
    <t>Required soft-start cap</t>
  </si>
  <si>
    <t>Css_u</t>
  </si>
  <si>
    <t>User selected SS cap</t>
  </si>
  <si>
    <t>Step 7: UVLO Resistors</t>
  </si>
  <si>
    <t>Rising UVLO/EN Threshold</t>
  </si>
  <si>
    <t>Falling UVLO/EN Threshold</t>
  </si>
  <si>
    <t>Voltage Hysteresis</t>
  </si>
  <si>
    <t>Current before UVLO (rising)</t>
  </si>
  <si>
    <t>Current after UVLO (rising)</t>
  </si>
  <si>
    <t>Current Hysteresis</t>
  </si>
  <si>
    <r>
      <rPr>
        <sz val="10"/>
        <rFont val="Arial"/>
        <charset val="134"/>
      </rPr>
      <t>VIN</t>
    </r>
    <r>
      <rPr>
        <vertAlign val="subscript"/>
        <sz val="10"/>
        <rFont val="Arial"/>
        <charset val="134"/>
      </rPr>
      <t>UVLO_ON</t>
    </r>
  </si>
  <si>
    <r>
      <rPr>
        <sz val="10"/>
        <rFont val="Arial"/>
        <charset val="134"/>
      </rPr>
      <t>VIN</t>
    </r>
    <r>
      <rPr>
        <vertAlign val="subscript"/>
        <sz val="10"/>
        <rFont val="Arial"/>
        <charset val="134"/>
      </rPr>
      <t>UVLO_OFF</t>
    </r>
  </si>
  <si>
    <t>kΩ</t>
  </si>
  <si>
    <r>
      <rPr>
        <sz val="10"/>
        <rFont val="Arial"/>
        <charset val="134"/>
      </rPr>
      <t>VIN</t>
    </r>
    <r>
      <rPr>
        <vertAlign val="subscript"/>
        <sz val="10"/>
        <rFont val="Arial"/>
        <charset val="134"/>
      </rPr>
      <t>UVLO_ON_ACTUAL</t>
    </r>
  </si>
  <si>
    <r>
      <rPr>
        <sz val="10"/>
        <rFont val="Arial"/>
        <charset val="134"/>
      </rPr>
      <t>VIN</t>
    </r>
    <r>
      <rPr>
        <vertAlign val="subscript"/>
        <sz val="10"/>
        <rFont val="Arial"/>
        <charset val="134"/>
      </rPr>
      <t>UVLO_OFF_ACTUAL</t>
    </r>
  </si>
  <si>
    <t>Step 8: FB and TC Resistors</t>
  </si>
  <si>
    <t>Pi</t>
  </si>
  <si>
    <t>p</t>
  </si>
  <si>
    <t>Toff_Vinmax</t>
  </si>
  <si>
    <t>sec</t>
  </si>
  <si>
    <t>Check min Ton and Toff times</t>
  </si>
  <si>
    <t>Ton_Vinmin</t>
  </si>
  <si>
    <t>Feedback Resistance - recommneded to user</t>
  </si>
  <si>
    <t>Selected Rfb</t>
  </si>
  <si>
    <t>Feedback Resistance - chosen by user</t>
  </si>
  <si>
    <t>Rfb2_u</t>
  </si>
  <si>
    <t>Std Value Lower Feedback Resistance</t>
  </si>
  <si>
    <t>Diode TC</t>
  </si>
  <si>
    <t>Standard Value RTC</t>
  </si>
  <si>
    <t>Step 8: Efficiency</t>
  </si>
  <si>
    <t>Design</t>
  </si>
  <si>
    <t>Ta</t>
  </si>
  <si>
    <t>Ambient Temperature</t>
  </si>
  <si>
    <t>Components</t>
  </si>
  <si>
    <t>LTc</t>
  </si>
  <si>
    <t>%/°C</t>
  </si>
  <si>
    <t>Transformer DCR Temp Co</t>
  </si>
  <si>
    <r>
      <rPr>
        <sz val="10"/>
        <rFont val="Calibri"/>
        <charset val="134"/>
      </rPr>
      <t>θ</t>
    </r>
    <r>
      <rPr>
        <vertAlign val="subscript"/>
        <sz val="10"/>
        <rFont val="Arial"/>
        <charset val="134"/>
      </rPr>
      <t>CA</t>
    </r>
  </si>
  <si>
    <t>Transformer Core-to-Ambient Thermal Resistance</t>
  </si>
  <si>
    <t>Input Capacitor ESR</t>
  </si>
  <si>
    <t>Part Characteristics</t>
  </si>
  <si>
    <t>Vdd</t>
  </si>
  <si>
    <t xml:space="preserve">IQ </t>
  </si>
  <si>
    <t>Quiescent Current Of Controller (Not Switching!)</t>
  </si>
  <si>
    <t>IC Power Disipation</t>
  </si>
  <si>
    <t>Units</t>
  </si>
  <si>
    <t>Power Dis</t>
  </si>
  <si>
    <t>Temp rise</t>
  </si>
  <si>
    <t>Current (switching)</t>
  </si>
  <si>
    <t>Qrr Current</t>
  </si>
  <si>
    <t>Diode Current</t>
  </si>
  <si>
    <t>Total Application Switching IQ</t>
  </si>
  <si>
    <t>SCHEMATIC LABELS</t>
  </si>
  <si>
    <t>Turns Ratio</t>
  </si>
  <si>
    <t>VIN</t>
  </si>
  <si>
    <t>VIN range</t>
  </si>
  <si>
    <t>Output Cap(s)</t>
  </si>
  <si>
    <t>Capacitance per component (Cout)</t>
  </si>
  <si>
    <t># of output caps</t>
  </si>
  <si>
    <t>Input Cap(s)</t>
  </si>
  <si>
    <t>CIN</t>
  </si>
  <si>
    <t>Capacitance per component (Cin)</t>
  </si>
  <si>
    <t># of input caps</t>
  </si>
  <si>
    <t>Diode Ref Des</t>
  </si>
  <si>
    <r>
      <rPr>
        <sz val="10"/>
        <rFont val="Arial"/>
        <charset val="134"/>
      </rPr>
      <t>D</t>
    </r>
    <r>
      <rPr>
        <vertAlign val="subscript"/>
        <sz val="10"/>
        <rFont val="Arial"/>
        <charset val="134"/>
      </rPr>
      <t>FLY1</t>
    </r>
  </si>
  <si>
    <t>FB resistor</t>
  </si>
  <si>
    <t>FB resistor ref des shown or not?</t>
  </si>
  <si>
    <t>Show Rt resistor ref des?</t>
  </si>
  <si>
    <t>Rt</t>
  </si>
  <si>
    <t>Show TC resistor ref des?</t>
  </si>
  <si>
    <t>Rtc</t>
  </si>
  <si>
    <t>Adjustable UVLO?</t>
  </si>
  <si>
    <t>BOM display</t>
  </si>
  <si>
    <t>RSET resistor</t>
  </si>
  <si>
    <t>12.1 kΩ</t>
  </si>
  <si>
    <t>12.1kΩ</t>
  </si>
  <si>
    <t>SS Cap</t>
  </si>
  <si>
    <t>Flyback Diode - forward current rating</t>
  </si>
  <si>
    <t>Flyback Diode - reverse voltage rating</t>
  </si>
  <si>
    <t>Rpgood</t>
  </si>
  <si>
    <t>100kΩ</t>
  </si>
  <si>
    <t>Full-load efficiency</t>
  </si>
  <si>
    <t>Half-load efficiency</t>
  </si>
  <si>
    <t>10% load efficiency</t>
  </si>
  <si>
    <t>linear scale only</t>
  </si>
  <si>
    <t>1% load efficiency</t>
  </si>
  <si>
    <t>log scale only</t>
  </si>
  <si>
    <t>Blank out</t>
  </si>
  <si>
    <t>n</t>
  </si>
  <si>
    <t>OUTPUT CURRENT</t>
  </si>
  <si>
    <t>OUTPUT CURRENT #2 - DUAL</t>
  </si>
  <si>
    <t>OUTPUT CURRENT #2 - BIPOLAR</t>
  </si>
  <si>
    <t>SW</t>
  </si>
  <si>
    <t>FB</t>
  </si>
  <si>
    <t>EN/UVLO</t>
  </si>
  <si>
    <t>SS/BIAS</t>
  </si>
  <si>
    <t>TC</t>
  </si>
  <si>
    <t>RSET</t>
  </si>
  <si>
    <t>GND</t>
  </si>
  <si>
    <t>Choose Mode:</t>
  </si>
  <si>
    <t>Feedback Gain &amp; EA Poles/Zeros</t>
  </si>
  <si>
    <t>Modulator</t>
  </si>
  <si>
    <t>Power Stage Poles/Zeros</t>
  </si>
  <si>
    <t>S &amp; H Expression - see Mathcad file</t>
  </si>
  <si>
    <t>Total System</t>
  </si>
  <si>
    <t>Afb</t>
  </si>
  <si>
    <t>V/V</t>
  </si>
  <si>
    <t>Acs</t>
  </si>
  <si>
    <t>A/V</t>
  </si>
  <si>
    <t>gm</t>
  </si>
  <si>
    <t>z_ESR</t>
  </si>
  <si>
    <t>Adc</t>
  </si>
  <si>
    <t>dB</t>
  </si>
  <si>
    <t>EA zero, z1</t>
  </si>
  <si>
    <t>Am</t>
  </si>
  <si>
    <t>Ro</t>
  </si>
  <si>
    <t>p_dom</t>
  </si>
  <si>
    <t>Crossover</t>
  </si>
  <si>
    <t>kHz</t>
  </si>
  <si>
    <t>EA pole, p1</t>
  </si>
  <si>
    <t>z_RHP</t>
  </si>
  <si>
    <t>Phase Margin</t>
  </si>
  <si>
    <t>°</t>
  </si>
  <si>
    <t>Aea</t>
  </si>
  <si>
    <t>radconv</t>
  </si>
  <si>
    <t>XOVER SEARCH</t>
  </si>
  <si>
    <t>EA pole, p2</t>
  </si>
  <si>
    <t>xover</t>
  </si>
  <si>
    <t>=&gt; Enter parameter</t>
  </si>
  <si>
    <t>phase margin</t>
  </si>
  <si>
    <t>=&gt; constant or calculated value</t>
  </si>
  <si>
    <t>Freq (Hz)</t>
  </si>
  <si>
    <t>Freq (kHz)</t>
  </si>
  <si>
    <t>Power Stage</t>
  </si>
  <si>
    <t>Error Amplifier</t>
  </si>
  <si>
    <t>Sampling Term</t>
  </si>
  <si>
    <t>System Response</t>
  </si>
  <si>
    <t>ERROR AMP Response</t>
  </si>
  <si>
    <t>PLANT Response</t>
  </si>
  <si>
    <t>Complex number calculations for sampling gain terms</t>
  </si>
  <si>
    <t>p1</t>
  </si>
  <si>
    <t>z1</t>
  </si>
  <si>
    <t>p2</t>
  </si>
  <si>
    <t>p3</t>
  </si>
  <si>
    <t>Gain(V/V)</t>
  </si>
  <si>
    <t>Phase(rad)</t>
  </si>
  <si>
    <t>Gain (dB)</t>
  </si>
  <si>
    <t>Phase (°)</t>
  </si>
  <si>
    <t>Phase Margin (°)</t>
  </si>
  <si>
    <t>Fsquare</t>
  </si>
  <si>
    <t>Gain(dB)</t>
  </si>
  <si>
    <t>Phase(Deg)</t>
  </si>
  <si>
    <t>Npri-sec</t>
  </si>
  <si>
    <r>
      <rPr>
        <sz val="10"/>
        <rFont val="Arial"/>
        <charset val="134"/>
      </rPr>
      <t xml:space="preserve">Pri to </t>
    </r>
    <r>
      <rPr>
        <b/>
        <sz val="10"/>
        <rFont val="Arial"/>
        <charset val="134"/>
      </rPr>
      <t>total</t>
    </r>
    <r>
      <rPr>
        <sz val="10"/>
        <rFont val="Arial"/>
        <charset val="134"/>
      </rPr>
      <t xml:space="preserve"> sec turns ratio</t>
    </r>
  </si>
  <si>
    <t>Vout_eff</t>
  </si>
  <si>
    <t>Vout1 + Vout2</t>
  </si>
  <si>
    <t>Iout_eff</t>
  </si>
  <si>
    <t>Vin</t>
  </si>
  <si>
    <t>M</t>
  </si>
  <si>
    <t>Tsw</t>
  </si>
  <si>
    <t>Rload-sec</t>
  </si>
  <si>
    <t>Rload-pri</t>
  </si>
  <si>
    <t>Cout-sec</t>
  </si>
  <si>
    <r>
      <rPr>
        <sz val="10"/>
        <rFont val="Symbol"/>
        <charset val="2"/>
      </rPr>
      <t>m</t>
    </r>
    <r>
      <rPr>
        <sz val="10"/>
        <rFont val="Arial"/>
        <charset val="134"/>
      </rPr>
      <t>F</t>
    </r>
  </si>
  <si>
    <t>ESR</t>
  </si>
  <si>
    <t>Cout-pri</t>
  </si>
  <si>
    <t>gmEA</t>
  </si>
  <si>
    <r>
      <rPr>
        <sz val="10"/>
        <rFont val="Symbol"/>
        <charset val="2"/>
      </rPr>
      <t>m</t>
    </r>
    <r>
      <rPr>
        <sz val="10"/>
        <rFont val="Arial"/>
        <charset val="134"/>
      </rPr>
      <t>S</t>
    </r>
  </si>
  <si>
    <t>S</t>
  </si>
  <si>
    <t>REAout</t>
  </si>
  <si>
    <r>
      <rPr>
        <sz val="10"/>
        <rFont val="Arial"/>
        <charset val="134"/>
      </rPr>
      <t>M</t>
    </r>
    <r>
      <rPr>
        <sz val="10"/>
        <rFont val="Symbol"/>
        <charset val="2"/>
      </rPr>
      <t>W</t>
    </r>
  </si>
  <si>
    <t>Rcs-gain</t>
  </si>
  <si>
    <t>1V/1.5A</t>
  </si>
  <si>
    <t>Rcomp</t>
  </si>
  <si>
    <t>Ccomp</t>
  </si>
  <si>
    <t>Chf</t>
  </si>
  <si>
    <t>Pole/Zero Locations for Chart</t>
  </si>
  <si>
    <t>crossover</t>
  </si>
  <si>
    <t>z2</t>
  </si>
  <si>
    <t>p4</t>
  </si>
  <si>
    <t>System</t>
  </si>
  <si>
    <t>Plant</t>
  </si>
  <si>
    <t>p-dom</t>
  </si>
  <si>
    <t>ESR zero</t>
  </si>
  <si>
    <t>EA pole</t>
  </si>
  <si>
    <t>EA zero</t>
  </si>
  <si>
    <t>p_sampling</t>
  </si>
  <si>
    <t>Calculations are performed at Vin(nom), Vin(min) and Vin(max) below</t>
  </si>
  <si>
    <t>Voltages</t>
  </si>
  <si>
    <t>Miscellaneous</t>
  </si>
  <si>
    <t>On/Off Times and Eff Duty Cycle</t>
  </si>
  <si>
    <t>Cin / Cout</t>
  </si>
  <si>
    <t>RMS Currents</t>
  </si>
  <si>
    <t>IC Loss</t>
  </si>
  <si>
    <t>Flyback Diode Loss</t>
  </si>
  <si>
    <t>Transformer Loss</t>
  </si>
  <si>
    <t>Step</t>
  </si>
  <si>
    <t>Iout (A)</t>
  </si>
  <si>
    <t>Pout (W)</t>
  </si>
  <si>
    <t>Vin (V)</t>
  </si>
  <si>
    <t>Vout-Reflected (V)</t>
  </si>
  <si>
    <t>Vsw-max (V)</t>
  </si>
  <si>
    <t>Duty Cycle</t>
  </si>
  <si>
    <t>Pout-max (W)</t>
  </si>
  <si>
    <t>Pout-actual (W)</t>
  </si>
  <si>
    <t>Iout-max (A)</t>
  </si>
  <si>
    <t>Vout-actual (V)</t>
  </si>
  <si>
    <t>Iout-actual</t>
  </si>
  <si>
    <t>Vout-calc?</t>
  </si>
  <si>
    <t>Vout-actual -?</t>
  </si>
  <si>
    <t>Isw (A)</t>
  </si>
  <si>
    <t>Ton-BCM (µs)</t>
  </si>
  <si>
    <t>Toff-BCM (µs)</t>
  </si>
  <si>
    <t>Fsw-max-BCM (kHz)</t>
  </si>
  <si>
    <t xml:space="preserve">Fsw-BCM (kHz) </t>
  </si>
  <si>
    <t>Ipri-min-BCM (A)</t>
  </si>
  <si>
    <t>Toff-min-BCM (µs)</t>
  </si>
  <si>
    <t>Iout-min-BCM (A)</t>
  </si>
  <si>
    <t>Toff-FFB (µs)</t>
  </si>
  <si>
    <t>Fsw-FFM (kHz)</t>
  </si>
  <si>
    <t>Iout-max-FFB (A)</t>
  </si>
  <si>
    <t>Ipri-DCM (A)</t>
  </si>
  <si>
    <t>Ipri (A)</t>
  </si>
  <si>
    <t>COMP (V)</t>
  </si>
  <si>
    <t>Iout (mA)</t>
  </si>
  <si>
    <t>Fsw (kHz)</t>
  </si>
  <si>
    <t>Tsw (µs)</t>
  </si>
  <si>
    <t>Ton (µs)</t>
  </si>
  <si>
    <t>Toff (µs)</t>
  </si>
  <si>
    <t>Ton-diode (µs)</t>
  </si>
  <si>
    <t>Pout actual (W)</t>
  </si>
  <si>
    <t>Iout actual (A)</t>
  </si>
  <si>
    <t>Vout actual (V)</t>
  </si>
  <si>
    <t>Cout (µF) for 1% ripple</t>
  </si>
  <si>
    <t>Output Pk-Pk Ripple (mV)</t>
  </si>
  <si>
    <t>Cin (µF) for 5% ripple</t>
  </si>
  <si>
    <t>Input Pk-Pk Ripple (mV)</t>
  </si>
  <si>
    <t>Ipri-rms (A)</t>
  </si>
  <si>
    <t>Isec-rms (A)</t>
  </si>
  <si>
    <t>P-FET-Cond (W)</t>
  </si>
  <si>
    <t>P-FET-Sw (W)</t>
  </si>
  <si>
    <t>P-FET-Qg (W)</t>
  </si>
  <si>
    <t>P-FET-Coss (W)</t>
  </si>
  <si>
    <r>
      <rPr>
        <b/>
        <sz val="10"/>
        <rFont val="Arial"/>
        <charset val="134"/>
      </rPr>
      <t>P-I</t>
    </r>
    <r>
      <rPr>
        <b/>
        <vertAlign val="subscript"/>
        <sz val="10"/>
        <rFont val="Arial"/>
        <charset val="134"/>
      </rPr>
      <t>Q</t>
    </r>
    <r>
      <rPr>
        <b/>
        <sz val="10"/>
        <rFont val="Arial"/>
        <charset val="134"/>
      </rPr>
      <t xml:space="preserve"> (W)</t>
    </r>
  </si>
  <si>
    <t>P-LDO (W)</t>
  </si>
  <si>
    <t>P-IC-Total (W)</t>
  </si>
  <si>
    <t>P-IC-Total (mW)</t>
  </si>
  <si>
    <t>P-Diode-Cond (W)</t>
  </si>
  <si>
    <t>P-Diode-Leak (W)</t>
  </si>
  <si>
    <t>P-Diode-Snubber (W)</t>
  </si>
  <si>
    <t>P-Diode-Total (mW)</t>
  </si>
  <si>
    <t>PCu-pri (W)</t>
  </si>
  <si>
    <t>PCu-sec (W)</t>
  </si>
  <si>
    <t>Core Loss (W)</t>
  </si>
  <si>
    <t>P-Transforer (W)</t>
  </si>
  <si>
    <t>P-LeakL-Clamp/Snub (W)</t>
  </si>
  <si>
    <t>P-Trans-Total (mW)</t>
  </si>
  <si>
    <t>P-Loss-Total (W)</t>
  </si>
  <si>
    <t>Efficiency (%)</t>
  </si>
  <si>
    <t>Check Fsw at  Iout-max</t>
  </si>
  <si>
    <t>Check Pout-max at  Iout-max</t>
  </si>
  <si>
    <t>VIN-min</t>
  </si>
  <si>
    <t>Fsw-FFB (kHz)</t>
  </si>
  <si>
    <t>P-Diode-Total (W)</t>
  </si>
  <si>
    <t>P-Trans-Total (W)</t>
  </si>
  <si>
    <t>VIN-max</t>
  </si>
  <si>
    <t>Rev A2</t>
  </si>
  <si>
    <t xml:space="preserve">Customer Min Load </t>
  </si>
  <si>
    <t>Iout_min</t>
  </si>
  <si>
    <t>Po-min</t>
  </si>
  <si>
    <t>Po_min</t>
  </si>
  <si>
    <t>Min On time</t>
  </si>
  <si>
    <t>Min Freq</t>
  </si>
  <si>
    <t>Required Po_min</t>
  </si>
  <si>
    <t>Required min load</t>
  </si>
  <si>
    <t>Ton Min</t>
  </si>
  <si>
    <t>Vin_max</t>
  </si>
  <si>
    <t>Fsw_min</t>
  </si>
  <si>
    <t>Po_cal</t>
  </si>
  <si>
    <t>Do you need a  Dummy Load</t>
  </si>
  <si>
    <t>Iout1 (A)</t>
  </si>
  <si>
    <t>Iout2 (A)</t>
  </si>
  <si>
    <t>Pout1 (W)</t>
  </si>
  <si>
    <t>Pout2 (W)</t>
  </si>
  <si>
    <t>Vout1-Reflected (V)</t>
  </si>
  <si>
    <t>Pout1-max (W)</t>
  </si>
  <si>
    <t>Pout2-max (W)</t>
  </si>
  <si>
    <t>Iout1-max (A)</t>
  </si>
  <si>
    <t>Iout2-max (A)</t>
  </si>
  <si>
    <t>Vout1-actual (V)</t>
  </si>
  <si>
    <t>Iout1-min-BCM (A)</t>
  </si>
  <si>
    <t>Iout1-max-FFB (A)</t>
  </si>
  <si>
    <t>Cout1 (µF) for 1% ripple</t>
  </si>
  <si>
    <t>Output #1 Pk-Pk Ripple (mV)</t>
  </si>
  <si>
    <t>Cout2 (µF) for 1% ripple</t>
  </si>
  <si>
    <t>Output #2 Pk-Pk Ripple (mV)</t>
  </si>
  <si>
    <t>Isec1-rms (A)</t>
  </si>
  <si>
    <t>Isec2-rms (A)</t>
  </si>
  <si>
    <t>P-Diode1-Cond (W)</t>
  </si>
  <si>
    <t>P-Diode2-Cond (W)</t>
  </si>
  <si>
    <t>PCu-sec1 (W)</t>
  </si>
  <si>
    <t>PCu-sec2 (W)</t>
  </si>
  <si>
    <t>P-trans (W)</t>
  </si>
  <si>
    <t>P-trans-No-TC (W)</t>
  </si>
  <si>
    <t>Iout1 (%)</t>
  </si>
  <si>
    <t>Check Iout-max</t>
  </si>
  <si>
    <t>Cin (µF) for 10% ripple</t>
  </si>
  <si>
    <t>Customer Min Load 1</t>
  </si>
  <si>
    <t>Customer Min Load 2</t>
  </si>
  <si>
    <t>Iout_min1</t>
  </si>
  <si>
    <t>Po-min1</t>
  </si>
  <si>
    <t>Iout_min2</t>
  </si>
  <si>
    <t>Po-min2</t>
  </si>
  <si>
    <t>Do you need a  Dummy Load1</t>
  </si>
  <si>
    <t>Do you need a  Dummy Load2</t>
  </si>
  <si>
    <t>Ton-BCM (us)</t>
  </si>
  <si>
    <t>Toff-BCM (us)</t>
  </si>
  <si>
    <t>Fsw-BCM (kHz) at Iout-max</t>
  </si>
  <si>
    <t>Toff-min-BCM (us)</t>
  </si>
  <si>
    <t>Toff-FFB (us)</t>
  </si>
  <si>
    <t>LM5180 Parameters</t>
  </si>
  <si>
    <t>TERMS OF USE</t>
  </si>
  <si>
    <t>Currents</t>
  </si>
  <si>
    <t>Inductor</t>
  </si>
  <si>
    <t xml:space="preserve">High-side MOSFET Losses </t>
  </si>
  <si>
    <t xml:space="preserve">Low-side MOSFET Losses </t>
  </si>
  <si>
    <t>RESULTS</t>
  </si>
  <si>
    <t>Input Parameters</t>
  </si>
  <si>
    <t>Ripple Current pk-pk (A)</t>
  </si>
  <si>
    <t>Peak Current (A)</t>
  </si>
  <si>
    <t>Valley Current (A)</t>
  </si>
  <si>
    <t>Off Time (sec)</t>
  </si>
  <si>
    <t>Pout-max (W) at Vin-nom</t>
  </si>
  <si>
    <t>Iout-max (A) at Vin-nom</t>
  </si>
  <si>
    <t>Vsw-max (V) at Vin-nom</t>
  </si>
  <si>
    <t>Switching Frequency (Hz)</t>
  </si>
  <si>
    <t>Active Mode Duration (sec)</t>
  </si>
  <si>
    <t>Sleep Mode Duration (sec)</t>
  </si>
  <si>
    <t>Operating Quiescent Current (A)</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</si>
  <si>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</si>
  <si>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</si>
  <si>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</si>
  <si>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</si>
  <si>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</si>
  <si>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</si>
  <si>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</si>
  <si>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</si>
  <si>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</si>
  <si>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</si>
  <si>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SW Rise Time (ns)</t>
  </si>
  <si>
    <t>SW Fall Time (ns)</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</si>
  <si>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</si>
  <si>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</si>
  <si>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</si>
  <si>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</si>
  <si>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</si>
  <si>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</si>
  <si>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</si>
  <si>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</si>
  <si>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</si>
  <si>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</si>
  <si>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</si>
  <si>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</si>
  <si>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</si>
  <si>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</si>
  <si>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</si>
  <si>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</si>
  <si>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</si>
  <si>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</si>
  <si>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</si>
  <si>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</si>
  <si>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</si>
  <si>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</si>
  <si>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</si>
  <si>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</si>
  <si>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</si>
  <si>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 %</t>
  </si>
  <si>
    <t>Overall Eff</t>
  </si>
  <si>
    <t>Current (mA)</t>
  </si>
  <si>
    <t>Keep for "previous" data series</t>
  </si>
  <si>
    <t>Frequency (kHz)</t>
  </si>
  <si>
    <t>Coss</t>
  </si>
  <si>
    <t>Total Power Loss in IC (mW)</t>
  </si>
  <si>
    <t>LDO + Quiescent Loss (mW)</t>
  </si>
  <si>
    <t>Total Inductor Loss (mW)</t>
  </si>
  <si>
    <t>COT / PFM Overall Eff</t>
  </si>
  <si>
    <t>COT / PFM Total Power Loss in IC (mW)</t>
  </si>
  <si>
    <t>COT / PFM LDO + Quiescent Loss (mW)</t>
  </si>
  <si>
    <t>COT / PFM Total Inductor Loss (mW)</t>
  </si>
  <si>
    <t>Input Value</t>
  </si>
  <si>
    <t>Std Units</t>
  </si>
  <si>
    <t>Iout(max)</t>
  </si>
  <si>
    <r>
      <rPr>
        <sz val="10"/>
        <rFont val="Arial"/>
        <charset val="134"/>
      </rPr>
      <t>k</t>
    </r>
    <r>
      <rPr>
        <sz val="10"/>
        <rFont val="Symbol"/>
        <charset val="2"/>
      </rPr>
      <t>W</t>
    </r>
  </si>
  <si>
    <t>Tamb</t>
  </si>
  <si>
    <t>Ambient temperature</t>
  </si>
  <si>
    <t>VDD</t>
  </si>
  <si>
    <t>Outputs</t>
  </si>
  <si>
    <t>On-Time</t>
  </si>
  <si>
    <t>On Time - fixed</t>
  </si>
  <si>
    <t>Off Time</t>
  </si>
  <si>
    <t>Off Time - depends on Vout, L, Iout, DCR, etc.</t>
  </si>
  <si>
    <r>
      <rPr>
        <sz val="10"/>
        <rFont val="Symbol"/>
        <charset val="2"/>
      </rPr>
      <t>D</t>
    </r>
    <r>
      <rPr>
        <sz val="10"/>
        <rFont val="Arial"/>
        <charset val="134"/>
      </rPr>
      <t>I</t>
    </r>
    <r>
      <rPr>
        <vertAlign val="subscript"/>
        <sz val="10"/>
        <rFont val="Arial"/>
        <charset val="134"/>
      </rPr>
      <t>L</t>
    </r>
  </si>
  <si>
    <t>Inductor pk-pk ripple current in CCM</t>
  </si>
  <si>
    <t>CCM Freq</t>
  </si>
  <si>
    <t>Frequency in CCM</t>
  </si>
  <si>
    <t>Fsw_max</t>
  </si>
  <si>
    <t>Max Fsw</t>
  </si>
  <si>
    <t>Tr</t>
  </si>
  <si>
    <t>Switch rise time</t>
  </si>
  <si>
    <t>Tf</t>
  </si>
  <si>
    <t>Switch fall time</t>
  </si>
  <si>
    <t>L</t>
  </si>
  <si>
    <t>Filter inductance</t>
  </si>
  <si>
    <t>Transformer primary winding DCR at 25°C</t>
  </si>
  <si>
    <t>Transformer secondary winding DCR at 25°C</t>
  </si>
  <si>
    <t>Kcore</t>
  </si>
  <si>
    <t>Core loss constant - consult transformer vendor</t>
  </si>
  <si>
    <t>RCinESR</t>
  </si>
  <si>
    <t>Input capacitor ESR</t>
  </si>
  <si>
    <t>Output capacitance</t>
  </si>
  <si>
    <t>RCoutESR</t>
  </si>
  <si>
    <t>Output capacitor ESR</t>
  </si>
  <si>
    <t>Converter</t>
  </si>
  <si>
    <t>Isw_max</t>
  </si>
  <si>
    <t>Peak switch current</t>
  </si>
  <si>
    <t>Isw_min</t>
  </si>
  <si>
    <t>Min peak switch current</t>
  </si>
  <si>
    <t>ILIM_delay</t>
  </si>
  <si>
    <t>Current lmit comparator delay</t>
  </si>
  <si>
    <t>Efficiency estimate</t>
  </si>
  <si>
    <t>IQ</t>
  </si>
  <si>
    <t>µA</t>
  </si>
  <si>
    <t>LM5180 quiescent current</t>
  </si>
  <si>
    <t>Flyback MOSFET</t>
  </si>
  <si>
    <t>Rdson</t>
  </si>
  <si>
    <t>Drain-source resistance of MOSFET @ VDD, 25°C</t>
  </si>
  <si>
    <t>RdsonTC</t>
  </si>
  <si>
    <t>ppm/°C</t>
  </si>
  <si>
    <t>Drain to Source Resistance Temp Co</t>
  </si>
  <si>
    <t>FOM</t>
  </si>
  <si>
    <r>
      <rPr>
        <sz val="10"/>
        <rFont val="Arial"/>
        <charset val="134"/>
      </rPr>
      <t>m</t>
    </r>
    <r>
      <rPr>
        <sz val="10"/>
        <rFont val="Times New Roman"/>
        <charset val="134"/>
      </rPr>
      <t>Ω*</t>
    </r>
    <r>
      <rPr>
        <sz val="10"/>
        <rFont val="Arial"/>
        <charset val="134"/>
      </rPr>
      <t>nC</t>
    </r>
  </si>
  <si>
    <t>Qg</t>
  </si>
  <si>
    <t>nC</t>
  </si>
  <si>
    <t>Gate charge of MOSFET @ VDD</t>
  </si>
  <si>
    <t>Capacitance (Coss)</t>
  </si>
  <si>
    <t>Csw</t>
  </si>
  <si>
    <t>Effective SW node capacitance (Ctr + Cdiode_refl)</t>
  </si>
  <si>
    <t>Flyback Diode</t>
  </si>
  <si>
    <t>Vfwd1</t>
  </si>
  <si>
    <t>Flyback diode forward voltage at no load</t>
  </si>
  <si>
    <t>Vfwd2</t>
  </si>
  <si>
    <t>Flyback diode forward voltage at full load</t>
  </si>
  <si>
    <t>BDserR</t>
  </si>
  <si>
    <t>Series resistance of the flyback diode</t>
  </si>
  <si>
    <t>Qrr_Dfly</t>
  </si>
  <si>
    <t>Reverse recovery charge of body diode at 100mA</t>
  </si>
  <si>
    <t>Trr_Dfly</t>
  </si>
  <si>
    <t>Reverse recovery time of body diode (not used)</t>
  </si>
  <si>
    <t>I_LEAK</t>
  </si>
  <si>
    <t>μA</t>
  </si>
  <si>
    <t>Leakage current of low-side device</t>
  </si>
  <si>
    <t>ThetaJA</t>
  </si>
  <si>
    <t>IC thermal impedance</t>
  </si>
  <si>
    <t>Eff (%)</t>
  </si>
  <si>
    <t>min_I</t>
  </si>
  <si>
    <t>1mA</t>
  </si>
  <si>
    <t>max_I</t>
  </si>
  <si>
    <t>100mA</t>
  </si>
  <si>
    <t>rr</t>
  </si>
  <si>
    <t>Capacitors</t>
  </si>
  <si>
    <t>Cb</t>
  </si>
  <si>
    <t>Inputs</t>
  </si>
  <si>
    <t>Resistors</t>
  </si>
  <si>
    <t>inputs</t>
  </si>
  <si>
    <t>Standard Result</t>
  </si>
  <si>
    <t>(pF)</t>
  </si>
  <si>
    <t>Rshunt</t>
  </si>
  <si>
    <t>Rc1ea</t>
  </si>
  <si>
    <t>Rfb2</t>
  </si>
  <si>
    <t>Rs</t>
  </si>
  <si>
    <t>Cslope_ideal</t>
  </si>
  <si>
    <t>Ruv1</t>
  </si>
  <si>
    <t>Ruv2</t>
  </si>
  <si>
    <t>Rhys</t>
  </si>
  <si>
    <t>Rdym</t>
  </si>
  <si>
    <t>Rdym1</t>
  </si>
  <si>
    <t>Rdym2</t>
  </si>
  <si>
    <t>min Load</t>
  </si>
  <si>
    <t>min Load1</t>
  </si>
  <si>
    <t>min Load 2</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</si>
</sst>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4" formatCode="_ &quot;￥&quot;* #,##0.00_ ;_ &quot;￥&quot;* \-#,##0.00_ ;_ &quot;￥&quot;* &quot;-&quot;??_ ;_ @_ "/>
    <numFmt numFmtId="176" formatCode="_(* #,##0.00_);_(* \(#,##0.00\);_(* &quot;-&quot;??_);_(@_)"/>
    <numFmt numFmtId="177" formatCode="0.000"/>
    <numFmt numFmtId="178" formatCode="0.0000"/>
    <numFmt numFmtId="179" formatCode="0.00000"/>
    <numFmt numFmtId="180" formatCode="0.000%"/>
    <numFmt numFmtId="181" formatCode="0.0"/>
    <numFmt numFmtId="182" formatCode="0.E+00"/>
    <numFmt numFmtId="183" formatCode="0.0E+00"/>
    <numFmt numFmtId="184" formatCode="0.000E+00"/>
    <numFmt numFmtId="185" formatCode="0.000000"/>
    <numFmt numFmtId="186" formatCode="0E+00"/>
    <numFmt numFmtId="187" formatCode="General&quot;µF&quot;"/>
    <numFmt numFmtId="188" formatCode="&quot;Capacitor, Ceramic, &quot;General&quot;-µF, 100V, X7R, 20%&quot;"/>
    <numFmt numFmtId="189" formatCode="&quot;Capacitor, Ceramic, &quot;General&quot;-µF, 16V, X7R, 20%&quot;"/>
    <numFmt numFmtId="190" formatCode="&quot;Resistor, Chip, &quot;General&quot;-kΩ, 1/16W, 1%&quot;"/>
    <numFmt numFmtId="191" formatCode="General&quot;k&quot;"/>
    <numFmt numFmtId="192" formatCode="&quot;Resistor, Chip, &quot;General&quot; kΩ, 1/16W, 1%&quot;"/>
    <numFmt numFmtId="193" formatCode="&quot;Resistor, Chip, &quot;General&quot;kΩ, 1/16W, 1%&quot;"/>
    <numFmt numFmtId="194" formatCode="General&quot;M&quot;"/>
    <numFmt numFmtId="195" formatCode="General&quot;µH&quot;"/>
    <numFmt numFmtId="196" formatCode="&quot;Inductor, &quot;General&quot;-µH, 10%&quot;"/>
    <numFmt numFmtId="197" formatCode="#0.0#"/>
  </numFmts>
  <fonts count="100">
    <font>
      <sz val="10"/>
      <name val="Arial"/>
      <charset val="134"/>
    </font>
    <font>
      <b/>
      <sz val="10"/>
      <name val="Arial"/>
      <charset val="134"/>
    </font>
    <font>
      <sz val="10"/>
      <name val="Calibri"/>
      <charset val="134"/>
    </font>
    <font>
      <sz val="18"/>
      <name val="Arial"/>
      <charset val="134"/>
    </font>
    <font>
      <sz val="10"/>
      <color indexed="8"/>
      <name val="Arial"/>
      <charset val="134"/>
    </font>
    <font>
      <b/>
      <sz val="10"/>
      <color indexed="8"/>
      <name val="Arial"/>
      <charset val="134"/>
    </font>
    <font>
      <b/>
      <sz val="28"/>
      <color indexed="44"/>
      <name val="Arial"/>
      <charset val="134"/>
    </font>
    <font>
      <b/>
      <sz val="12"/>
      <color indexed="9"/>
      <name val="Calibri"/>
      <charset val="134"/>
    </font>
    <font>
      <b/>
      <sz val="24"/>
      <color indexed="44"/>
      <name val="Arial"/>
      <charset val="134"/>
    </font>
    <font>
      <sz val="10"/>
      <color indexed="44"/>
      <name val="Arial"/>
      <charset val="134"/>
    </font>
    <font>
      <sz val="10"/>
      <name val="Symbol"/>
      <charset val="2"/>
    </font>
    <font>
      <b/>
      <sz val="10"/>
      <color indexed="44"/>
      <name val="Arial"/>
      <charset val="134"/>
    </font>
    <font>
      <sz val="10"/>
      <color rgb="FFFF0000"/>
      <name val="Arial"/>
      <charset val="134"/>
    </font>
    <font>
      <b/>
      <i/>
      <sz val="10"/>
      <name val="Arial"/>
      <charset val="134"/>
    </font>
    <font>
      <b/>
      <sz val="10"/>
      <color rgb="FFFF0000"/>
      <name val="Arial"/>
      <charset val="134"/>
    </font>
    <font>
      <sz val="10"/>
      <color rgb="FF0000FF"/>
      <name val="Arial"/>
      <charset val="134"/>
    </font>
    <font>
      <b/>
      <sz val="11"/>
      <name val="Arial"/>
      <charset val="134"/>
    </font>
    <font>
      <b/>
      <sz val="10"/>
      <name val="Symbol"/>
      <charset val="2"/>
    </font>
    <font>
      <b/>
      <sz val="22"/>
      <color indexed="44"/>
      <name val="Arial"/>
      <charset val="134"/>
    </font>
    <font>
      <b/>
      <sz val="12"/>
      <color indexed="48"/>
      <name val="Arial"/>
      <charset val="134"/>
    </font>
    <font>
      <sz val="10"/>
      <color theme="0"/>
      <name val="Arial"/>
      <charset val="134"/>
    </font>
    <font>
      <b/>
      <sz val="10"/>
      <color rgb="FF33CC33"/>
      <name val="Arial"/>
      <charset val="134"/>
    </font>
    <font>
      <b/>
      <sz val="10"/>
      <color rgb="FF0000FF"/>
      <name val="Arial"/>
      <charset val="134"/>
    </font>
    <font>
      <b/>
      <sz val="10"/>
      <color theme="6" tint="-0.249977111117893"/>
      <name val="Arial"/>
      <charset val="134"/>
    </font>
    <font>
      <b/>
      <sz val="12"/>
      <color theme="9" tint="-0.249977111117893"/>
      <name val="Arial"/>
      <charset val="134"/>
    </font>
    <font>
      <sz val="10"/>
      <color theme="1"/>
      <name val="Arial"/>
      <charset val="134"/>
    </font>
    <font>
      <b/>
      <sz val="10"/>
      <color theme="1"/>
      <name val="Arial"/>
      <charset val="134"/>
    </font>
    <font>
      <b/>
      <sz val="12"/>
      <color indexed="12"/>
      <name val="Arial"/>
      <charset val="134"/>
    </font>
    <font>
      <sz val="28"/>
      <color rgb="FFFF0000"/>
      <name val="Arial"/>
      <charset val="134"/>
    </font>
    <font>
      <sz val="16"/>
      <color theme="0"/>
      <name val="Arial"/>
      <charset val="134"/>
    </font>
    <font>
      <b/>
      <sz val="12"/>
      <color rgb="FF0000FF"/>
      <name val="Arial"/>
      <charset val="134"/>
    </font>
    <font>
      <b/>
      <sz val="16"/>
      <name val="Arial"/>
      <charset val="134"/>
    </font>
    <font>
      <b/>
      <sz val="10"/>
      <color indexed="9"/>
      <name val="Arial"/>
      <charset val="134"/>
    </font>
    <font>
      <b/>
      <sz val="12"/>
      <color rgb="FFFF0000"/>
      <name val="Arial"/>
      <charset val="134"/>
    </font>
    <font>
      <sz val="10"/>
      <color rgb="FF009900"/>
      <name val="Arial"/>
      <charset val="134"/>
    </font>
    <font>
      <b/>
      <sz val="10"/>
      <color theme="0"/>
      <name val="Arial"/>
      <charset val="134"/>
    </font>
    <font>
      <b/>
      <sz val="11"/>
      <color rgb="FFFF0000"/>
      <name val="Arial"/>
      <charset val="134"/>
    </font>
    <font>
      <sz val="34"/>
      <color theme="0"/>
      <name val="Arial"/>
      <charset val="134"/>
    </font>
    <font>
      <sz val="30"/>
      <color theme="0"/>
      <name val="Arial"/>
      <charset val="134"/>
    </font>
    <font>
      <b/>
      <sz val="22"/>
      <color indexed="9"/>
      <name val="Calibri"/>
      <charset val="134"/>
    </font>
    <font>
      <u/>
      <sz val="10"/>
      <color theme="0" tint="-0.499984740745262"/>
      <name val="Arial"/>
      <charset val="134"/>
    </font>
    <font>
      <b/>
      <sz val="12"/>
      <color rgb="FF003366"/>
      <name val="Calibri"/>
      <charset val="134"/>
    </font>
    <font>
      <b/>
      <sz val="10"/>
      <color indexed="9"/>
      <name val="Calibri"/>
      <charset val="134"/>
    </font>
    <font>
      <b/>
      <sz val="14"/>
      <color indexed="9"/>
      <name val="Calibri"/>
      <charset val="134"/>
    </font>
    <font>
      <b/>
      <i/>
      <sz val="14"/>
      <color indexed="12"/>
      <name val="Calibri"/>
      <charset val="134"/>
    </font>
    <font>
      <b/>
      <sz val="10"/>
      <name val="Calibri"/>
      <charset val="134"/>
    </font>
    <font>
      <sz val="10"/>
      <color indexed="55"/>
      <name val="Calibri"/>
      <charset val="134"/>
    </font>
    <font>
      <sz val="10"/>
      <color indexed="55"/>
      <name val="Arial"/>
      <charset val="134"/>
    </font>
    <font>
      <b/>
      <i/>
      <sz val="10"/>
      <color indexed="55"/>
      <name val="Arial"/>
      <charset val="134"/>
    </font>
    <font>
      <b/>
      <i/>
      <sz val="14"/>
      <color indexed="12"/>
      <name val="Arial"/>
      <charset val="134"/>
    </font>
    <font>
      <sz val="10"/>
      <name val="宋体"/>
      <charset val="134"/>
      <scheme val="major"/>
    </font>
    <font>
      <sz val="10"/>
      <color indexed="23"/>
      <name val="Arial"/>
      <charset val="134"/>
    </font>
    <font>
      <sz val="10"/>
      <color indexed="56"/>
      <name val="Calibri"/>
      <charset val="134"/>
    </font>
    <font>
      <b/>
      <sz val="10"/>
      <color indexed="13"/>
      <name val="Calibri"/>
      <charset val="134"/>
    </font>
    <font>
      <sz val="11"/>
      <color theme="1"/>
      <name val="宋体"/>
      <charset val="134"/>
      <scheme val="minor"/>
    </font>
    <font>
      <u/>
      <sz val="10"/>
      <color indexed="12"/>
      <name val="Arial"/>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vertAlign val="subscript"/>
      <sz val="10"/>
      <name val="Arial"/>
      <charset val="134"/>
    </font>
    <font>
      <vertAlign val="subscript"/>
      <sz val="10"/>
      <name val="Arial"/>
      <charset val="134"/>
    </font>
    <font>
      <vertAlign val="subscript"/>
      <sz val="10"/>
      <color theme="1"/>
      <name val="Arial"/>
      <charset val="134"/>
    </font>
    <font>
      <sz val="10"/>
      <name val="Times New Roman"/>
      <charset val="134"/>
    </font>
    <font>
      <b/>
      <sz val="11"/>
      <name val="Symbol"/>
      <charset val="2"/>
    </font>
    <font>
      <b/>
      <u/>
      <sz val="10"/>
      <name val="Arial"/>
      <charset val="134"/>
    </font>
    <font>
      <b/>
      <vertAlign val="subscript"/>
      <sz val="10"/>
      <color theme="1"/>
      <name val="Arial"/>
      <charset val="134"/>
    </font>
    <font>
      <b/>
      <vertAlign val="superscript"/>
      <sz val="10"/>
      <color theme="0"/>
      <name val="Arial"/>
      <charset val="134"/>
    </font>
    <font>
      <b/>
      <vertAlign val="superscript"/>
      <sz val="12"/>
      <color rgb="FFFF0000"/>
      <name val="Arial"/>
      <charset val="134"/>
    </font>
    <font>
      <b/>
      <u/>
      <sz val="11"/>
      <color indexed="10"/>
      <name val="Tahoma"/>
      <charset val="134"/>
    </font>
    <font>
      <sz val="9"/>
      <name val="Tahoma"/>
      <charset val="134"/>
    </font>
    <font>
      <b/>
      <sz val="11"/>
      <color indexed="10"/>
      <name val="Tahoma"/>
      <charset val="134"/>
    </font>
    <font>
      <b/>
      <sz val="9"/>
      <name val="Tahoma"/>
      <charset val="134"/>
    </font>
    <font>
      <b/>
      <vertAlign val="subscript"/>
      <sz val="9"/>
      <name val="Tahoma"/>
      <charset val="134"/>
    </font>
    <font>
      <sz val="11"/>
      <color indexed="10"/>
      <name val="Tahoma"/>
      <charset val="134"/>
    </font>
    <font>
      <u/>
      <sz val="9"/>
      <color indexed="12"/>
      <name val="Tahoma"/>
      <charset val="134"/>
    </font>
    <font>
      <b/>
      <u/>
      <sz val="9"/>
      <name val="Tahoma"/>
      <charset val="134"/>
    </font>
    <font>
      <b/>
      <sz val="9"/>
      <color indexed="10"/>
      <name val="Tahoma"/>
      <charset val="134"/>
    </font>
    <font>
      <sz val="9"/>
      <color indexed="8"/>
      <name val="Tahoma"/>
      <charset val="134"/>
    </font>
    <font>
      <b/>
      <i/>
      <sz val="9"/>
      <color indexed="10"/>
      <name val="Tahoma"/>
      <charset val="134"/>
    </font>
    <font>
      <b/>
      <sz val="9"/>
      <color indexed="39"/>
      <name val="Tahoma"/>
      <charset val="134"/>
    </font>
    <font>
      <b/>
      <sz val="10"/>
      <color indexed="10"/>
      <name val="Arial"/>
      <charset val="134"/>
    </font>
    <font>
      <b/>
      <sz val="9"/>
      <color indexed="8"/>
      <name val="Tahoma"/>
      <charset val="134"/>
    </font>
    <font>
      <sz val="9"/>
      <color indexed="39"/>
      <name val="Tahoma"/>
      <charset val="134"/>
    </font>
    <font>
      <sz val="11"/>
      <name val="Tahoma"/>
      <charset val="134"/>
    </font>
    <font>
      <vertAlign val="subscript"/>
      <sz val="9"/>
      <name val="Tahoma"/>
      <charset val="134"/>
    </font>
  </fonts>
  <fills count="61">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theme="0"/>
        <bgColor indexed="64"/>
      </patternFill>
    </fill>
    <fill>
      <patternFill patternType="solid">
        <fgColor indexed="8"/>
        <bgColor indexed="64"/>
      </patternFill>
    </fill>
    <fill>
      <patternFill patternType="solid">
        <fgColor rgb="FFFFC000"/>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theme="7" tint="0.399975585192419"/>
        <bgColor indexed="64"/>
      </patternFill>
    </fill>
    <fill>
      <patternFill patternType="solid">
        <fgColor theme="0" tint="-0.249977111117893"/>
        <bgColor indexed="64"/>
      </patternFill>
    </fill>
    <fill>
      <patternFill patternType="solid">
        <fgColor theme="3" tint="0.799981688894314"/>
        <bgColor indexed="64"/>
      </patternFill>
    </fill>
    <fill>
      <patternFill patternType="solid">
        <fgColor indexed="46"/>
        <bgColor indexed="64"/>
      </patternFill>
    </fill>
    <fill>
      <patternFill patternType="solid">
        <fgColor rgb="FF00B0F0"/>
        <bgColor indexed="64"/>
      </patternFill>
    </fill>
    <fill>
      <patternFill patternType="solid">
        <fgColor rgb="FFFFFF00"/>
        <bgColor indexed="64"/>
      </patternFill>
    </fill>
    <fill>
      <patternFill patternType="solid">
        <fgColor rgb="FFFF00FF"/>
        <bgColor indexed="64"/>
      </patternFill>
    </fill>
    <fill>
      <patternFill patternType="solid">
        <fgColor rgb="FF33CC33"/>
        <bgColor indexed="64"/>
      </patternFill>
    </fill>
    <fill>
      <patternFill patternType="solid">
        <fgColor rgb="FFFFFF99"/>
        <bgColor indexed="64"/>
      </patternFill>
    </fill>
    <fill>
      <patternFill patternType="solid">
        <fgColor rgb="FF00FFFF"/>
        <bgColor indexed="64"/>
      </patternFill>
    </fill>
    <fill>
      <patternFill patternType="solid">
        <fgColor rgb="FF92D050"/>
        <bgColor indexed="64"/>
      </patternFill>
    </fill>
    <fill>
      <patternFill patternType="solid">
        <fgColor rgb="FFFF9900"/>
        <bgColor indexed="64"/>
      </patternFill>
    </fill>
    <fill>
      <patternFill patternType="solid">
        <fgColor indexed="52"/>
        <bgColor indexed="64"/>
      </patternFill>
    </fill>
    <fill>
      <patternFill patternType="solid">
        <fgColor indexed="50"/>
        <bgColor indexed="64"/>
      </patternFill>
    </fill>
    <fill>
      <patternFill patternType="solid">
        <fgColor rgb="FF99CC00"/>
        <bgColor indexed="64"/>
      </patternFill>
    </fill>
    <fill>
      <patternFill patternType="solid">
        <fgColor rgb="FFC0C0C0"/>
        <bgColor indexed="64"/>
      </patternFill>
    </fill>
    <fill>
      <patternFill patternType="solid">
        <fgColor theme="1"/>
        <bgColor indexed="64"/>
      </patternFill>
    </fill>
    <fill>
      <patternFill patternType="solid">
        <fgColor indexed="9"/>
        <bgColor indexed="64"/>
      </patternFill>
    </fill>
    <fill>
      <patternFill patternType="solid">
        <fgColor indexed="43"/>
        <bgColor indexed="64"/>
      </patternFill>
    </fill>
    <fill>
      <patternFill patternType="solid">
        <fgColor rgb="FFFF0000"/>
        <bgColor indexed="64"/>
      </patternFill>
    </fill>
    <fill>
      <patternFill patternType="solid">
        <fgColor theme="0" tint="-0.49998474074526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80">
    <border>
      <left/>
      <right/>
      <top/>
      <bottom/>
      <diagonal/>
    </border>
    <border>
      <left style="medium">
        <color auto="1"/>
      </left>
      <right/>
      <top style="medium">
        <color auto="1"/>
      </top>
      <bottom/>
      <diagonal/>
    </border>
    <border>
      <left/>
      <right/>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thin">
        <color auto="1"/>
      </left>
      <right style="thin">
        <color auto="1"/>
      </right>
      <top/>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thin">
        <color auto="1"/>
      </top>
      <bottom style="medium">
        <color auto="1"/>
      </bottom>
      <diagonal/>
    </border>
    <border>
      <left/>
      <right/>
      <top/>
      <bottom style="medium">
        <color auto="1"/>
      </bottom>
      <diagonal/>
    </border>
    <border>
      <left style="medium">
        <color auto="1"/>
      </left>
      <right/>
      <top/>
      <bottom/>
      <diagonal/>
    </border>
    <border>
      <left style="medium">
        <color auto="1"/>
      </left>
      <right/>
      <top/>
      <bottom style="thin">
        <color auto="1"/>
      </bottom>
      <diagonal/>
    </border>
    <border>
      <left style="medium">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medium">
        <color indexed="55"/>
      </left>
      <right/>
      <top/>
      <bottom/>
      <diagonal/>
    </border>
    <border>
      <left style="medium">
        <color indexed="55"/>
      </left>
      <right/>
      <top style="medium">
        <color indexed="55"/>
      </top>
      <bottom/>
      <diagonal/>
    </border>
    <border>
      <left/>
      <right/>
      <top style="medium">
        <color indexed="55"/>
      </top>
      <bottom/>
      <diagonal/>
    </border>
    <border>
      <left/>
      <right style="medium">
        <color indexed="55"/>
      </right>
      <top style="medium">
        <color indexed="55"/>
      </top>
      <bottom/>
      <diagonal/>
    </border>
    <border>
      <left/>
      <right style="medium">
        <color indexed="55"/>
      </right>
      <top/>
      <bottom/>
      <diagonal/>
    </border>
    <border>
      <left style="medium">
        <color indexed="55"/>
      </left>
      <right/>
      <top/>
      <bottom style="medium">
        <color indexed="55"/>
      </bottom>
      <diagonal/>
    </border>
    <border>
      <left/>
      <right/>
      <top/>
      <bottom style="medium">
        <color indexed="55"/>
      </bottom>
      <diagonal/>
    </border>
    <border>
      <left/>
      <right style="medium">
        <color indexed="55"/>
      </right>
      <top/>
      <bottom style="medium">
        <color indexed="55"/>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double">
        <color auto="1"/>
      </left>
      <right style="thin">
        <color auto="1"/>
      </right>
      <top style="medium">
        <color auto="1"/>
      </top>
      <bottom style="thin">
        <color auto="1"/>
      </bottom>
      <diagonal/>
    </border>
    <border>
      <left style="double">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xf numFmtId="176" fontId="0" fillId="0" borderId="0" applyFont="0" applyFill="0" applyBorder="0" applyAlignment="0" applyProtection="0"/>
    <xf numFmtId="44" fontId="54" fillId="0" borderId="0" applyFont="0" applyFill="0" applyBorder="0" applyAlignment="0" applyProtection="0">
      <alignment vertical="center"/>
    </xf>
    <xf numFmtId="9" fontId="0" fillId="0" borderId="0" applyFont="0" applyFill="0" applyBorder="0" applyAlignment="0" applyProtection="0"/>
    <xf numFmtId="41" fontId="54" fillId="0" borderId="0" applyFont="0" applyFill="0" applyBorder="0" applyAlignment="0" applyProtection="0">
      <alignment vertical="center"/>
    </xf>
    <xf numFmtId="42" fontId="54" fillId="0" borderId="0" applyFont="0" applyFill="0" applyBorder="0" applyAlignment="0" applyProtection="0">
      <alignment vertical="center"/>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alignment vertical="center"/>
    </xf>
    <xf numFmtId="0" fontId="54" fillId="31" borderId="72"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73" applyNumberFormat="0" applyFill="0" applyAlignment="0" applyProtection="0">
      <alignment vertical="center"/>
    </xf>
    <xf numFmtId="0" fontId="61" fillId="0" borderId="73" applyNumberFormat="0" applyFill="0" applyAlignment="0" applyProtection="0">
      <alignment vertical="center"/>
    </xf>
    <xf numFmtId="0" fontId="62" fillId="0" borderId="74" applyNumberFormat="0" applyFill="0" applyAlignment="0" applyProtection="0">
      <alignment vertical="center"/>
    </xf>
    <xf numFmtId="0" fontId="62" fillId="0" borderId="0" applyNumberFormat="0" applyFill="0" applyBorder="0" applyAlignment="0" applyProtection="0">
      <alignment vertical="center"/>
    </xf>
    <xf numFmtId="0" fontId="63" fillId="32" borderId="75" applyNumberFormat="0" applyAlignment="0" applyProtection="0">
      <alignment vertical="center"/>
    </xf>
    <xf numFmtId="0" fontId="64" fillId="33" borderId="76" applyNumberFormat="0" applyAlignment="0" applyProtection="0">
      <alignment vertical="center"/>
    </xf>
    <xf numFmtId="0" fontId="65" fillId="33" borderId="75" applyNumberFormat="0" applyAlignment="0" applyProtection="0">
      <alignment vertical="center"/>
    </xf>
    <xf numFmtId="0" fontId="66" fillId="34" borderId="77" applyNumberFormat="0" applyAlignment="0" applyProtection="0">
      <alignment vertical="center"/>
    </xf>
    <xf numFmtId="0" fontId="67" fillId="0" borderId="78" applyNumberFormat="0" applyFill="0" applyAlignment="0" applyProtection="0">
      <alignment vertical="center"/>
    </xf>
    <xf numFmtId="0" fontId="68" fillId="0" borderId="79" applyNumberFormat="0" applyFill="0" applyAlignment="0" applyProtection="0">
      <alignment vertical="center"/>
    </xf>
    <xf numFmtId="0" fontId="69" fillId="35" borderId="0" applyNumberFormat="0" applyBorder="0" applyAlignment="0" applyProtection="0">
      <alignment vertical="center"/>
    </xf>
    <xf numFmtId="0" fontId="70" fillId="36" borderId="0" applyNumberFormat="0" applyBorder="0" applyAlignment="0" applyProtection="0">
      <alignment vertical="center"/>
    </xf>
    <xf numFmtId="0" fontId="71" fillId="37" borderId="0" applyNumberFormat="0" applyBorder="0" applyAlignment="0" applyProtection="0">
      <alignment vertical="center"/>
    </xf>
    <xf numFmtId="0" fontId="72" fillId="38" borderId="0" applyNumberFormat="0" applyBorder="0" applyAlignment="0" applyProtection="0">
      <alignment vertical="center"/>
    </xf>
    <xf numFmtId="0" fontId="73" fillId="39" borderId="0" applyNumberFormat="0" applyBorder="0" applyAlignment="0" applyProtection="0">
      <alignment vertical="center"/>
    </xf>
    <xf numFmtId="0" fontId="73" fillId="40" borderId="0" applyNumberFormat="0" applyBorder="0" applyAlignment="0" applyProtection="0">
      <alignment vertical="center"/>
    </xf>
    <xf numFmtId="0" fontId="72" fillId="41" borderId="0" applyNumberFormat="0" applyBorder="0" applyAlignment="0" applyProtection="0">
      <alignment vertical="center"/>
    </xf>
    <xf numFmtId="0" fontId="72" fillId="42" borderId="0" applyNumberFormat="0" applyBorder="0" applyAlignment="0" applyProtection="0">
      <alignment vertical="center"/>
    </xf>
    <xf numFmtId="0" fontId="73" fillId="43" borderId="0" applyNumberFormat="0" applyBorder="0" applyAlignment="0" applyProtection="0">
      <alignment vertical="center"/>
    </xf>
    <xf numFmtId="0" fontId="73" fillId="44" borderId="0" applyNumberFormat="0" applyBorder="0" applyAlignment="0" applyProtection="0">
      <alignment vertical="center"/>
    </xf>
    <xf numFmtId="0" fontId="72" fillId="45" borderId="0" applyNumberFormat="0" applyBorder="0" applyAlignment="0" applyProtection="0">
      <alignment vertical="center"/>
    </xf>
    <xf numFmtId="0" fontId="72" fillId="46" borderId="0" applyNumberFormat="0" applyBorder="0" applyAlignment="0" applyProtection="0">
      <alignment vertical="center"/>
    </xf>
    <xf numFmtId="0" fontId="73" fillId="47" borderId="0" applyNumberFormat="0" applyBorder="0" applyAlignment="0" applyProtection="0">
      <alignment vertical="center"/>
    </xf>
    <xf numFmtId="0" fontId="73" fillId="48" borderId="0" applyNumberFormat="0" applyBorder="0" applyAlignment="0" applyProtection="0">
      <alignment vertical="center"/>
    </xf>
    <xf numFmtId="0" fontId="72" fillId="49" borderId="0" applyNumberFormat="0" applyBorder="0" applyAlignment="0" applyProtection="0">
      <alignment vertical="center"/>
    </xf>
    <xf numFmtId="0" fontId="72" fillId="50" borderId="0" applyNumberFormat="0" applyBorder="0" applyAlignment="0" applyProtection="0">
      <alignment vertical="center"/>
    </xf>
    <xf numFmtId="0" fontId="73" fillId="51" borderId="0" applyNumberFormat="0" applyBorder="0" applyAlignment="0" applyProtection="0">
      <alignment vertical="center"/>
    </xf>
    <xf numFmtId="0" fontId="73" fillId="52" borderId="0" applyNumberFormat="0" applyBorder="0" applyAlignment="0" applyProtection="0">
      <alignment vertical="center"/>
    </xf>
    <xf numFmtId="0" fontId="72" fillId="10" borderId="0" applyNumberFormat="0" applyBorder="0" applyAlignment="0" applyProtection="0">
      <alignment vertical="center"/>
    </xf>
    <xf numFmtId="0" fontId="72" fillId="53" borderId="0" applyNumberFormat="0" applyBorder="0" applyAlignment="0" applyProtection="0">
      <alignment vertical="center"/>
    </xf>
    <xf numFmtId="0" fontId="73" fillId="54" borderId="0" applyNumberFormat="0" applyBorder="0" applyAlignment="0" applyProtection="0">
      <alignment vertical="center"/>
    </xf>
    <xf numFmtId="0" fontId="73" fillId="55" borderId="0" applyNumberFormat="0" applyBorder="0" applyAlignment="0" applyProtection="0">
      <alignment vertical="center"/>
    </xf>
    <xf numFmtId="0" fontId="72" fillId="56" borderId="0" applyNumberFormat="0" applyBorder="0" applyAlignment="0" applyProtection="0">
      <alignment vertical="center"/>
    </xf>
    <xf numFmtId="0" fontId="72" fillId="57" borderId="0" applyNumberFormat="0" applyBorder="0" applyAlignment="0" applyProtection="0">
      <alignment vertical="center"/>
    </xf>
    <xf numFmtId="0" fontId="73" fillId="58" borderId="0" applyNumberFormat="0" applyBorder="0" applyAlignment="0" applyProtection="0">
      <alignment vertical="center"/>
    </xf>
    <xf numFmtId="0" fontId="73" fillId="59" borderId="0" applyNumberFormat="0" applyBorder="0" applyAlignment="0" applyProtection="0">
      <alignment vertical="center"/>
    </xf>
    <xf numFmtId="0" fontId="72" fillId="60" borderId="0" applyNumberFormat="0" applyBorder="0" applyAlignment="0" applyProtection="0">
      <alignment vertical="center"/>
    </xf>
    <xf numFmtId="176" fontId="54" fillId="0" borderId="0" applyFont="0" applyFill="0" applyBorder="0" applyAlignment="0" applyProtection="0"/>
    <xf numFmtId="0" fontId="0" fillId="0" borderId="0"/>
    <xf numFmtId="0" fontId="54" fillId="0" borderId="0"/>
    <xf numFmtId="0" fontId="1" fillId="0" borderId="0" applyNumberFormat="0" applyFill="0" applyBorder="0" applyAlignment="0" applyProtection="0"/>
  </cellStyleXfs>
  <cellXfs count="808">
    <xf numFmtId="0" fontId="0" fillId="0" borderId="0" xfId="0"/>
    <xf numFmtId="0" fontId="1" fillId="2" borderId="0" xfId="0" applyFont="1" applyFill="1"/>
    <xf numFmtId="0" fontId="0" fillId="0" borderId="0" xfId="0" applyFont="1"/>
    <xf numFmtId="0" fontId="1" fillId="0" borderId="0" xfId="0" applyFont="1"/>
    <xf numFmtId="0" fontId="2" fillId="0" borderId="0" xfId="0" applyFont="1"/>
    <xf numFmtId="177" fontId="0" fillId="0" borderId="0" xfId="0" applyNumberFormat="1"/>
    <xf numFmtId="0" fontId="0" fillId="3" borderId="0" xfId="0" applyFill="1"/>
    <xf numFmtId="0" fontId="0" fillId="4" borderId="0" xfId="0" applyFill="1"/>
    <xf numFmtId="0" fontId="0" fillId="0" borderId="0" xfId="0" applyFill="1"/>
    <xf numFmtId="0" fontId="0" fillId="0" borderId="0" xfId="0" applyBorder="1"/>
    <xf numFmtId="0" fontId="0" fillId="4" borderId="0" xfId="0" applyFill="1" applyBorder="1"/>
    <xf numFmtId="0" fontId="0" fillId="0" borderId="0" xfId="0" applyFill="1" applyBorder="1"/>
    <xf numFmtId="0" fontId="0" fillId="4" borderId="0" xfId="0" applyFont="1" applyFill="1" applyBorder="1"/>
    <xf numFmtId="0" fontId="0" fillId="0" borderId="0" xfId="0" applyFont="1" applyFill="1" applyBorder="1"/>
    <xf numFmtId="0" fontId="3" fillId="0" borderId="0" xfId="0" applyFont="1" applyFill="1"/>
    <xf numFmtId="0" fontId="0" fillId="4" borderId="0" xfId="0" applyFill="1" applyAlignment="1"/>
    <xf numFmtId="0" fontId="0" fillId="0" borderId="0" xfId="0" applyAlignment="1"/>
    <xf numFmtId="0" fontId="0" fillId="0" borderId="0" xfId="0" applyFill="1" applyAlignment="1"/>
    <xf numFmtId="0" fontId="4" fillId="0" borderId="0" xfId="0" applyFont="1" applyFill="1" applyBorder="1"/>
    <xf numFmtId="0" fontId="4" fillId="0" borderId="0" xfId="0" applyFont="1" applyFill="1"/>
    <xf numFmtId="0" fontId="5" fillId="0" borderId="0" xfId="52" applyFont="1" applyFill="1"/>
    <xf numFmtId="0" fontId="1" fillId="0" borderId="0" xfId="0" applyFont="1" applyFill="1" applyBorder="1"/>
    <xf numFmtId="0" fontId="0" fillId="0" borderId="0" xfId="50"/>
    <xf numFmtId="178" fontId="0" fillId="0" borderId="0" xfId="50" applyNumberFormat="1"/>
    <xf numFmtId="1" fontId="0" fillId="0" borderId="0" xfId="50" applyNumberFormat="1"/>
    <xf numFmtId="177" fontId="0" fillId="0" borderId="0" xfId="50" applyNumberFormat="1"/>
    <xf numFmtId="179" fontId="0" fillId="0" borderId="0" xfId="50" applyNumberFormat="1"/>
    <xf numFmtId="2" fontId="0" fillId="0" borderId="0" xfId="50" applyNumberFormat="1"/>
    <xf numFmtId="180" fontId="0" fillId="0" borderId="0" xfId="50" applyNumberFormat="1"/>
    <xf numFmtId="0" fontId="6" fillId="5" borderId="0" xfId="50" applyFont="1" applyFill="1" applyAlignment="1">
      <alignment horizontal="left" vertical="center"/>
    </xf>
    <xf numFmtId="0" fontId="7" fillId="6" borderId="0" xfId="50" applyFont="1" applyFill="1" applyBorder="1" applyAlignment="1" applyProtection="1">
      <alignment horizontal="center" vertical="center"/>
    </xf>
    <xf numFmtId="0" fontId="1" fillId="0" borderId="0" xfId="50" applyFont="1" applyAlignment="1">
      <alignment horizontal="left" vertical="center" wrapText="1"/>
    </xf>
    <xf numFmtId="0" fontId="1" fillId="7" borderId="1" xfId="50" applyFont="1" applyFill="1" applyBorder="1" applyAlignment="1"/>
    <xf numFmtId="0" fontId="8" fillId="5" borderId="2" xfId="50" applyFont="1" applyFill="1" applyBorder="1" applyAlignment="1">
      <alignment vertical="center"/>
    </xf>
    <xf numFmtId="0" fontId="8" fillId="5" borderId="2" xfId="50" applyFont="1" applyFill="1" applyBorder="1" applyAlignment="1"/>
    <xf numFmtId="0" fontId="9" fillId="5" borderId="0" xfId="50" applyFont="1" applyFill="1"/>
    <xf numFmtId="0" fontId="0" fillId="5" borderId="0" xfId="50" applyFill="1"/>
    <xf numFmtId="0" fontId="0" fillId="0" borderId="0" xfId="50" applyFont="1"/>
    <xf numFmtId="0" fontId="1" fillId="2" borderId="3" xfId="50" applyFont="1" applyFill="1" applyBorder="1" applyAlignment="1">
      <alignment horizontal="center" vertical="center" wrapText="1"/>
    </xf>
    <xf numFmtId="0" fontId="1" fillId="8" borderId="4" xfId="50" applyFont="1" applyFill="1" applyBorder="1" applyAlignment="1"/>
    <xf numFmtId="0" fontId="1" fillId="8" borderId="5" xfId="50" applyFont="1" applyFill="1" applyBorder="1" applyAlignment="1"/>
    <xf numFmtId="0" fontId="1" fillId="8" borderId="6" xfId="50" applyFont="1" applyFill="1" applyBorder="1" applyAlignment="1"/>
    <xf numFmtId="0" fontId="1" fillId="8" borderId="6" xfId="50" applyFont="1" applyFill="1" applyBorder="1"/>
    <xf numFmtId="0" fontId="1" fillId="8" borderId="7" xfId="50" applyFont="1" applyFill="1" applyBorder="1"/>
    <xf numFmtId="0" fontId="1" fillId="0" borderId="0" xfId="50" applyFont="1" applyFill="1" applyBorder="1"/>
    <xf numFmtId="0" fontId="1" fillId="8" borderId="8" xfId="50" applyFont="1" applyFill="1" applyBorder="1" applyAlignment="1"/>
    <xf numFmtId="0" fontId="1" fillId="9" borderId="9" xfId="50" applyFont="1" applyFill="1" applyBorder="1"/>
    <xf numFmtId="0" fontId="0" fillId="2" borderId="7" xfId="50" applyFont="1" applyFill="1" applyBorder="1" applyProtection="1">
      <protection locked="0"/>
    </xf>
    <xf numFmtId="0" fontId="0" fillId="0" borderId="7" xfId="50" applyFont="1" applyBorder="1"/>
    <xf numFmtId="0" fontId="0" fillId="0" borderId="4" xfId="50" applyBorder="1"/>
    <xf numFmtId="0" fontId="0" fillId="0" borderId="7" xfId="50" applyFill="1" applyBorder="1"/>
    <xf numFmtId="0" fontId="1" fillId="9" borderId="7" xfId="50" applyFont="1" applyFill="1" applyBorder="1"/>
    <xf numFmtId="0" fontId="0" fillId="0" borderId="7" xfId="50" applyFont="1" applyFill="1" applyBorder="1"/>
    <xf numFmtId="181" fontId="0" fillId="2" borderId="7" xfId="50" applyNumberFormat="1" applyFont="1" applyFill="1" applyBorder="1" applyProtection="1">
      <protection locked="0"/>
    </xf>
    <xf numFmtId="0" fontId="10" fillId="0" borderId="7" xfId="50" applyFont="1" applyBorder="1"/>
    <xf numFmtId="1" fontId="0" fillId="0" borderId="4" xfId="50" applyNumberFormat="1" applyBorder="1"/>
    <xf numFmtId="0" fontId="0" fillId="7" borderId="7" xfId="50" applyFont="1" applyFill="1" applyBorder="1"/>
    <xf numFmtId="0" fontId="0" fillId="7" borderId="7" xfId="50" applyFont="1" applyFill="1" applyBorder="1" applyProtection="1">
      <protection locked="0"/>
    </xf>
    <xf numFmtId="0" fontId="11" fillId="5" borderId="0" xfId="50" applyFont="1" applyFill="1"/>
    <xf numFmtId="0" fontId="1" fillId="8" borderId="4" xfId="50" applyFont="1" applyFill="1" applyBorder="1"/>
    <xf numFmtId="0" fontId="1" fillId="8" borderId="5" xfId="50" applyFont="1" applyFill="1" applyBorder="1"/>
    <xf numFmtId="0" fontId="1" fillId="8" borderId="10" xfId="50" applyFont="1" applyFill="1" applyBorder="1"/>
    <xf numFmtId="0" fontId="0" fillId="7" borderId="7" xfId="50" applyFill="1" applyBorder="1"/>
    <xf numFmtId="177" fontId="4" fillId="10" borderId="7" xfId="50" applyNumberFormat="1" applyFont="1" applyFill="1" applyBorder="1"/>
    <xf numFmtId="0" fontId="0" fillId="0" borderId="10" xfId="50" applyFont="1" applyBorder="1"/>
    <xf numFmtId="11" fontId="0" fillId="0" borderId="4" xfId="50" applyNumberFormat="1" applyBorder="1"/>
    <xf numFmtId="11" fontId="0" fillId="0" borderId="7" xfId="50" applyNumberFormat="1" applyBorder="1"/>
    <xf numFmtId="1" fontId="4" fillId="10" borderId="7" xfId="50" applyNumberFormat="1" applyFont="1" applyFill="1" applyBorder="1"/>
    <xf numFmtId="177" fontId="0" fillId="0" borderId="7" xfId="50" applyNumberFormat="1" applyBorder="1"/>
    <xf numFmtId="1" fontId="5" fillId="10" borderId="7" xfId="50" applyNumberFormat="1" applyFont="1" applyFill="1" applyBorder="1"/>
    <xf numFmtId="178" fontId="1" fillId="0" borderId="0" xfId="50" applyNumberFormat="1" applyFont="1" applyFill="1" applyBorder="1"/>
    <xf numFmtId="0" fontId="0" fillId="11" borderId="7" xfId="50" applyFill="1" applyBorder="1"/>
    <xf numFmtId="1" fontId="4" fillId="10" borderId="7" xfId="50" applyNumberFormat="1" applyFont="1" applyFill="1" applyBorder="1" applyProtection="1">
      <protection locked="0"/>
    </xf>
    <xf numFmtId="182" fontId="0" fillId="0" borderId="7" xfId="50" applyNumberFormat="1" applyBorder="1"/>
    <xf numFmtId="0" fontId="1" fillId="9" borderId="4" xfId="50" applyFont="1" applyFill="1" applyBorder="1"/>
    <xf numFmtId="0" fontId="1" fillId="0" borderId="0" xfId="50" applyFont="1" applyFill="1" applyBorder="1" applyAlignment="1">
      <alignment horizontal="right"/>
    </xf>
    <xf numFmtId="0" fontId="0" fillId="9" borderId="4" xfId="50" applyFill="1" applyBorder="1"/>
    <xf numFmtId="0" fontId="0" fillId="0" borderId="11" xfId="50" applyFont="1" applyFill="1" applyBorder="1"/>
    <xf numFmtId="0" fontId="10" fillId="0" borderId="10" xfId="50" applyFont="1" applyBorder="1"/>
    <xf numFmtId="0" fontId="0" fillId="9" borderId="4" xfId="50" applyFont="1" applyFill="1" applyBorder="1"/>
    <xf numFmtId="183" fontId="0" fillId="0" borderId="11" xfId="50" applyNumberFormat="1" applyFont="1" applyFill="1" applyBorder="1"/>
    <xf numFmtId="182" fontId="0" fillId="0" borderId="7" xfId="50" applyNumberFormat="1" applyFont="1" applyFill="1" applyBorder="1"/>
    <xf numFmtId="0" fontId="1" fillId="0" borderId="7" xfId="50" applyFont="1" applyFill="1" applyBorder="1"/>
    <xf numFmtId="0" fontId="1" fillId="9" borderId="8" xfId="50" applyFont="1" applyFill="1" applyBorder="1"/>
    <xf numFmtId="0" fontId="0" fillId="0" borderId="12" xfId="50" applyFont="1" applyBorder="1"/>
    <xf numFmtId="11" fontId="0" fillId="0" borderId="8" xfId="50" applyNumberFormat="1" applyBorder="1"/>
    <xf numFmtId="0" fontId="0" fillId="0" borderId="9" xfId="50" applyFont="1" applyFill="1" applyBorder="1"/>
    <xf numFmtId="1" fontId="0" fillId="0" borderId="11" xfId="50" applyNumberFormat="1" applyFont="1" applyFill="1" applyBorder="1"/>
    <xf numFmtId="0" fontId="1" fillId="8" borderId="0" xfId="50" applyFont="1" applyFill="1"/>
    <xf numFmtId="0" fontId="1" fillId="8" borderId="0" xfId="50" applyFont="1" applyFill="1" applyBorder="1"/>
    <xf numFmtId="0" fontId="1" fillId="8" borderId="13" xfId="50" applyFont="1" applyFill="1" applyBorder="1"/>
    <xf numFmtId="0" fontId="0" fillId="0" borderId="7" xfId="50" applyFont="1" applyFill="1" applyBorder="1" applyProtection="1">
      <protection locked="0"/>
    </xf>
    <xf numFmtId="2" fontId="0" fillId="0" borderId="7" xfId="50" applyNumberFormat="1" applyBorder="1"/>
    <xf numFmtId="0" fontId="0" fillId="6" borderId="0" xfId="50" applyFill="1"/>
    <xf numFmtId="0" fontId="0" fillId="9" borderId="5" xfId="50" applyFill="1" applyBorder="1"/>
    <xf numFmtId="9" fontId="0" fillId="0" borderId="11" xfId="50" applyNumberFormat="1" applyFont="1" applyFill="1" applyBorder="1" applyProtection="1">
      <protection locked="0"/>
    </xf>
    <xf numFmtId="0" fontId="0" fillId="0" borderId="11" xfId="50" applyFont="1" applyFill="1" applyBorder="1" applyProtection="1">
      <protection locked="0"/>
    </xf>
    <xf numFmtId="0" fontId="1" fillId="8" borderId="2" xfId="50" applyFont="1" applyFill="1" applyBorder="1" applyAlignment="1"/>
    <xf numFmtId="0" fontId="1" fillId="8" borderId="9" xfId="50" applyFont="1" applyFill="1" applyBorder="1"/>
    <xf numFmtId="0" fontId="0" fillId="9" borderId="7" xfId="50" applyFill="1" applyBorder="1"/>
    <xf numFmtId="0" fontId="0" fillId="0" borderId="14" xfId="50" applyFont="1" applyFill="1" applyBorder="1" applyProtection="1">
      <protection locked="0"/>
    </xf>
    <xf numFmtId="0" fontId="0" fillId="0" borderId="7" xfId="50" applyBorder="1"/>
    <xf numFmtId="0" fontId="0" fillId="0" borderId="7" xfId="0" applyFont="1" applyBorder="1"/>
    <xf numFmtId="0" fontId="0" fillId="0" borderId="7" xfId="0" applyFill="1" applyBorder="1"/>
    <xf numFmtId="0" fontId="0" fillId="6" borderId="14" xfId="50" applyFont="1" applyFill="1" applyBorder="1" applyProtection="1">
      <protection locked="0"/>
    </xf>
    <xf numFmtId="0" fontId="0" fillId="0" borderId="0" xfId="50" applyFont="1" applyFill="1" applyBorder="1"/>
    <xf numFmtId="183" fontId="0" fillId="0" borderId="7" xfId="50" applyNumberFormat="1" applyBorder="1"/>
    <xf numFmtId="0" fontId="0" fillId="9" borderId="7" xfId="50" applyFont="1" applyFill="1" applyBorder="1"/>
    <xf numFmtId="0" fontId="1" fillId="8" borderId="0" xfId="50" applyFont="1" applyFill="1" applyBorder="1" applyAlignment="1" applyProtection="1">
      <protection locked="0"/>
    </xf>
    <xf numFmtId="0" fontId="1" fillId="8" borderId="15" xfId="50" applyFont="1" applyFill="1" applyBorder="1"/>
    <xf numFmtId="0" fontId="1" fillId="0" borderId="0" xfId="50" applyFont="1" applyAlignment="1">
      <alignment horizontal="right"/>
    </xf>
    <xf numFmtId="181" fontId="12" fillId="0" borderId="0" xfId="50" applyNumberFormat="1" applyFont="1"/>
    <xf numFmtId="0" fontId="12" fillId="0" borderId="0" xfId="50" applyFont="1"/>
    <xf numFmtId="0" fontId="13" fillId="7" borderId="16" xfId="50" applyFont="1" applyFill="1" applyBorder="1" applyAlignment="1"/>
    <xf numFmtId="178" fontId="0" fillId="7" borderId="17" xfId="50" applyNumberFormat="1" applyFill="1" applyBorder="1"/>
    <xf numFmtId="0" fontId="1" fillId="7" borderId="18" xfId="50" applyFont="1" applyFill="1" applyBorder="1" applyAlignment="1">
      <alignment horizontal="left"/>
    </xf>
    <xf numFmtId="0" fontId="1" fillId="7" borderId="19" xfId="50" applyFont="1" applyFill="1" applyBorder="1" applyAlignment="1">
      <alignment horizontal="left"/>
    </xf>
    <xf numFmtId="0" fontId="1" fillId="2" borderId="20" xfId="50" applyFont="1" applyFill="1" applyBorder="1" applyAlignment="1">
      <alignment horizontal="center" vertical="center" wrapText="1"/>
    </xf>
    <xf numFmtId="178" fontId="1" fillId="2" borderId="21" xfId="50" applyNumberFormat="1" applyFont="1" applyFill="1" applyBorder="1" applyAlignment="1">
      <alignment horizontal="center" vertical="center" wrapText="1"/>
    </xf>
    <xf numFmtId="178" fontId="1" fillId="2" borderId="22" xfId="50" applyNumberFormat="1" applyFont="1" applyFill="1" applyBorder="1" applyAlignment="1">
      <alignment horizontal="center" vertical="center" wrapText="1"/>
    </xf>
    <xf numFmtId="178" fontId="1" fillId="2" borderId="20" xfId="50" applyNumberFormat="1" applyFont="1" applyFill="1" applyBorder="1" applyAlignment="1">
      <alignment horizontal="center" vertical="center" wrapText="1"/>
    </xf>
    <xf numFmtId="0" fontId="1" fillId="2" borderId="23" xfId="50" applyFont="1" applyFill="1" applyBorder="1" applyAlignment="1">
      <alignment horizontal="center" vertical="center" wrapText="1"/>
    </xf>
    <xf numFmtId="178" fontId="0" fillId="12" borderId="0" xfId="50" applyNumberFormat="1" applyFill="1" applyAlignment="1">
      <alignment horizontal="center" vertical="center" wrapText="1"/>
    </xf>
    <xf numFmtId="179" fontId="0" fillId="0" borderId="0" xfId="3" applyNumberFormat="1" applyFont="1"/>
    <xf numFmtId="184" fontId="0" fillId="0" borderId="0" xfId="50" applyNumberFormat="1"/>
    <xf numFmtId="0" fontId="1" fillId="7" borderId="24" xfId="50" applyFont="1" applyFill="1" applyBorder="1" applyAlignment="1">
      <alignment horizontal="left"/>
    </xf>
    <xf numFmtId="178" fontId="1" fillId="7" borderId="1" xfId="50" applyNumberFormat="1" applyFont="1" applyFill="1" applyBorder="1" applyAlignment="1"/>
    <xf numFmtId="178" fontId="13" fillId="7" borderId="16" xfId="50" applyNumberFormat="1" applyFont="1" applyFill="1" applyBorder="1" applyAlignment="1"/>
    <xf numFmtId="1" fontId="1" fillId="2" borderId="25" xfId="50" applyNumberFormat="1" applyFont="1" applyFill="1" applyBorder="1" applyAlignment="1">
      <alignment horizontal="center" vertical="center" wrapText="1"/>
    </xf>
    <xf numFmtId="1" fontId="1" fillId="2" borderId="20" xfId="50" applyNumberFormat="1" applyFont="1" applyFill="1" applyBorder="1" applyAlignment="1">
      <alignment horizontal="center" vertical="center" wrapText="1"/>
    </xf>
    <xf numFmtId="178" fontId="1" fillId="2" borderId="3" xfId="50" applyNumberFormat="1" applyFont="1" applyFill="1" applyBorder="1" applyAlignment="1">
      <alignment horizontal="center" vertical="center" wrapText="1"/>
    </xf>
    <xf numFmtId="181" fontId="0" fillId="0" borderId="0" xfId="50" applyNumberFormat="1"/>
    <xf numFmtId="11" fontId="0" fillId="0" borderId="0" xfId="50" applyNumberFormat="1"/>
    <xf numFmtId="178" fontId="4" fillId="7" borderId="17" xfId="50" applyNumberFormat="1" applyFont="1" applyFill="1" applyBorder="1"/>
    <xf numFmtId="177" fontId="1" fillId="7" borderId="16" xfId="50" applyNumberFormat="1" applyFont="1" applyFill="1" applyBorder="1" applyAlignment="1">
      <alignment horizontal="left"/>
    </xf>
    <xf numFmtId="178" fontId="13" fillId="7" borderId="16" xfId="50" applyNumberFormat="1" applyFont="1" applyFill="1" applyBorder="1" applyAlignment="1">
      <alignment horizontal="center"/>
    </xf>
    <xf numFmtId="178" fontId="1" fillId="7" borderId="1" xfId="50" applyNumberFormat="1" applyFont="1" applyFill="1" applyBorder="1"/>
    <xf numFmtId="179" fontId="0" fillId="7" borderId="16" xfId="50" applyNumberFormat="1" applyFill="1" applyBorder="1"/>
    <xf numFmtId="179" fontId="0" fillId="7" borderId="17" xfId="50" applyNumberFormat="1" applyFill="1" applyBorder="1"/>
    <xf numFmtId="177" fontId="1" fillId="2" borderId="23" xfId="50" applyNumberFormat="1" applyFont="1" applyFill="1" applyBorder="1" applyAlignment="1">
      <alignment horizontal="center" vertical="center" wrapText="1"/>
    </xf>
    <xf numFmtId="179" fontId="1" fillId="2" borderId="20" xfId="50" applyNumberFormat="1" applyFont="1" applyFill="1" applyBorder="1" applyAlignment="1">
      <alignment horizontal="center" vertical="center" wrapText="1"/>
    </xf>
    <xf numFmtId="179" fontId="1" fillId="2" borderId="21" xfId="50" applyNumberFormat="1" applyFont="1" applyFill="1" applyBorder="1" applyAlignment="1">
      <alignment horizontal="center" vertical="center" wrapText="1"/>
    </xf>
    <xf numFmtId="178" fontId="1" fillId="7" borderId="26" xfId="50" applyNumberFormat="1" applyFont="1" applyFill="1" applyBorder="1"/>
    <xf numFmtId="178" fontId="1" fillId="2" borderId="27" xfId="50" applyNumberFormat="1" applyFont="1" applyFill="1" applyBorder="1" applyAlignment="1">
      <alignment horizontal="center" vertical="center" wrapText="1"/>
    </xf>
    <xf numFmtId="178" fontId="0" fillId="7" borderId="28" xfId="50" applyNumberFormat="1" applyFill="1" applyBorder="1"/>
    <xf numFmtId="178" fontId="1" fillId="7" borderId="26" xfId="50" applyNumberFormat="1" applyFont="1" applyFill="1" applyBorder="1" applyAlignment="1"/>
    <xf numFmtId="178" fontId="1" fillId="7" borderId="26" xfId="50" applyNumberFormat="1" applyFont="1" applyFill="1" applyBorder="1" applyAlignment="1">
      <alignment horizontal="left"/>
    </xf>
    <xf numFmtId="178" fontId="1" fillId="7" borderId="28" xfId="50" applyNumberFormat="1" applyFont="1" applyFill="1" applyBorder="1" applyAlignment="1">
      <alignment horizontal="left"/>
    </xf>
    <xf numFmtId="178" fontId="1" fillId="2" borderId="29" xfId="50" applyNumberFormat="1" applyFont="1" applyFill="1" applyBorder="1" applyAlignment="1">
      <alignment horizontal="center" vertical="center" wrapText="1"/>
    </xf>
    <xf numFmtId="178" fontId="1" fillId="2" borderId="30" xfId="50" applyNumberFormat="1" applyFont="1" applyFill="1" applyBorder="1" applyAlignment="1">
      <alignment horizontal="center" vertical="center" wrapText="1"/>
    </xf>
    <xf numFmtId="178" fontId="0" fillId="7" borderId="31" xfId="50" applyNumberFormat="1" applyFill="1" applyBorder="1"/>
    <xf numFmtId="180" fontId="13" fillId="7" borderId="16" xfId="50" applyNumberFormat="1" applyFont="1" applyFill="1" applyBorder="1" applyAlignment="1"/>
    <xf numFmtId="178" fontId="1" fillId="2" borderId="32" xfId="50" applyNumberFormat="1" applyFont="1" applyFill="1" applyBorder="1" applyAlignment="1">
      <alignment horizontal="center" vertical="center" wrapText="1"/>
    </xf>
    <xf numFmtId="2" fontId="1" fillId="13" borderId="13" xfId="50" applyNumberFormat="1" applyFont="1" applyFill="1" applyBorder="1" applyAlignment="1">
      <alignment horizontal="center" vertical="center" wrapText="1"/>
    </xf>
    <xf numFmtId="180" fontId="1" fillId="2" borderId="20" xfId="50" applyNumberFormat="1" applyFont="1" applyFill="1" applyBorder="1" applyAlignment="1">
      <alignment horizontal="center" vertical="center" wrapText="1"/>
    </xf>
    <xf numFmtId="180" fontId="1" fillId="2" borderId="22" xfId="50" applyNumberFormat="1" applyFont="1" applyFill="1" applyBorder="1" applyAlignment="1">
      <alignment horizontal="center" vertical="center" wrapText="1"/>
    </xf>
    <xf numFmtId="180" fontId="1" fillId="2" borderId="26" xfId="50" applyNumberFormat="1" applyFont="1" applyFill="1" applyBorder="1" applyAlignment="1">
      <alignment horizontal="center" vertical="center" wrapText="1"/>
    </xf>
    <xf numFmtId="180" fontId="1" fillId="2" borderId="33" xfId="50" applyNumberFormat="1" applyFont="1" applyFill="1" applyBorder="1" applyAlignment="1">
      <alignment horizontal="center" vertical="center" wrapText="1"/>
    </xf>
    <xf numFmtId="180" fontId="1" fillId="2" borderId="28" xfId="50" applyNumberFormat="1" applyFont="1" applyFill="1" applyBorder="1" applyAlignment="1">
      <alignment horizontal="center" vertical="center" wrapText="1"/>
    </xf>
    <xf numFmtId="10" fontId="0" fillId="0" borderId="0" xfId="50" applyNumberFormat="1"/>
    <xf numFmtId="2" fontId="13" fillId="7" borderId="16" xfId="50" applyNumberFormat="1" applyFont="1" applyFill="1" applyBorder="1" applyAlignment="1"/>
    <xf numFmtId="177" fontId="13" fillId="7" borderId="16" xfId="50" applyNumberFormat="1" applyFont="1" applyFill="1" applyBorder="1" applyAlignment="1"/>
    <xf numFmtId="2" fontId="13" fillId="7" borderId="17" xfId="50" applyNumberFormat="1" applyFont="1" applyFill="1" applyBorder="1" applyAlignment="1"/>
    <xf numFmtId="2" fontId="13" fillId="7" borderId="26" xfId="50" applyNumberFormat="1" applyFont="1" applyFill="1" applyBorder="1" applyAlignment="1"/>
    <xf numFmtId="2" fontId="13" fillId="7" borderId="28" xfId="50" applyNumberFormat="1" applyFont="1" applyFill="1" applyBorder="1" applyAlignment="1"/>
    <xf numFmtId="2" fontId="1" fillId="2" borderId="33" xfId="50" applyNumberFormat="1" applyFont="1" applyFill="1" applyBorder="1" applyAlignment="1">
      <alignment horizontal="center" vertical="center" wrapText="1"/>
    </xf>
    <xf numFmtId="177" fontId="1" fillId="2" borderId="28" xfId="50" applyNumberFormat="1" applyFont="1" applyFill="1" applyBorder="1" applyAlignment="1">
      <alignment horizontal="center" vertical="center" wrapText="1"/>
    </xf>
    <xf numFmtId="0" fontId="1" fillId="2" borderId="33" xfId="50" applyFont="1" applyFill="1" applyBorder="1" applyAlignment="1">
      <alignment horizontal="center" vertical="center" wrapText="1"/>
    </xf>
    <xf numFmtId="2" fontId="1" fillId="2" borderId="34" xfId="50" applyNumberFormat="1" applyFont="1" applyFill="1" applyBorder="1" applyAlignment="1">
      <alignment horizontal="center" vertical="center" wrapText="1"/>
    </xf>
    <xf numFmtId="1" fontId="1" fillId="2" borderId="0" xfId="50" applyNumberFormat="1" applyFont="1" applyFill="1" applyBorder="1" applyAlignment="1">
      <alignment horizontal="center" vertical="center" wrapText="1"/>
    </xf>
    <xf numFmtId="0" fontId="1" fillId="2" borderId="0" xfId="50" applyFont="1" applyFill="1" applyBorder="1" applyAlignment="1">
      <alignment horizontal="center" vertical="center" wrapText="1"/>
    </xf>
    <xf numFmtId="1" fontId="0" fillId="0" borderId="0" xfId="50" applyNumberFormat="1" applyFont="1" applyProtection="1">
      <protection locked="0"/>
    </xf>
    <xf numFmtId="10" fontId="0" fillId="0" borderId="0" xfId="50" applyNumberFormat="1" applyFont="1" applyProtection="1">
      <protection locked="0"/>
    </xf>
    <xf numFmtId="10" fontId="0" fillId="0" borderId="0" xfId="50" applyNumberFormat="1" applyProtection="1">
      <protection locked="0"/>
    </xf>
    <xf numFmtId="2" fontId="1" fillId="2" borderId="32" xfId="50" applyNumberFormat="1" applyFont="1" applyFill="1" applyBorder="1" applyAlignment="1">
      <alignment horizontal="center" vertical="center" wrapText="1"/>
    </xf>
    <xf numFmtId="2" fontId="1" fillId="2" borderId="27" xfId="50" applyNumberFormat="1" applyFont="1" applyFill="1" applyBorder="1" applyAlignment="1">
      <alignment horizontal="center" vertical="center" wrapText="1"/>
    </xf>
    <xf numFmtId="2" fontId="1" fillId="2" borderId="30" xfId="50" applyNumberFormat="1" applyFont="1" applyFill="1" applyBorder="1" applyAlignment="1">
      <alignment horizontal="center" vertical="center" wrapText="1"/>
    </xf>
    <xf numFmtId="2" fontId="1" fillId="2" borderId="29" xfId="50" applyNumberFormat="1" applyFont="1" applyFill="1" applyBorder="1" applyAlignment="1">
      <alignment horizontal="center" vertical="center" wrapText="1"/>
    </xf>
    <xf numFmtId="2" fontId="13" fillId="7" borderId="34" xfId="50" applyNumberFormat="1" applyFont="1" applyFill="1" applyBorder="1" applyAlignment="1"/>
    <xf numFmtId="0" fontId="14" fillId="0" borderId="0" xfId="50" applyNumberFormat="1" applyFont="1"/>
    <xf numFmtId="0" fontId="1" fillId="0" borderId="0" xfId="50" applyNumberFormat="1" applyFont="1"/>
    <xf numFmtId="177" fontId="0" fillId="0" borderId="0" xfId="50" applyNumberFormat="1" applyFont="1"/>
    <xf numFmtId="178" fontId="0" fillId="0" borderId="0" xfId="50" applyNumberFormat="1" applyFont="1"/>
    <xf numFmtId="178" fontId="14" fillId="0" borderId="0" xfId="50" applyNumberFormat="1" applyFont="1"/>
    <xf numFmtId="0" fontId="0" fillId="0" borderId="0" xfId="50" applyNumberFormat="1"/>
    <xf numFmtId="1" fontId="1" fillId="0" borderId="0" xfId="50" applyNumberFormat="1" applyFont="1"/>
    <xf numFmtId="178" fontId="1" fillId="0" borderId="0" xfId="50" applyNumberFormat="1" applyFont="1"/>
    <xf numFmtId="1" fontId="1" fillId="0" borderId="0" xfId="50" applyNumberFormat="1" applyFont="1" applyBorder="1"/>
    <xf numFmtId="2" fontId="1" fillId="0" borderId="0" xfId="50" applyNumberFormat="1" applyFont="1"/>
    <xf numFmtId="180" fontId="1" fillId="0" borderId="0" xfId="50" applyNumberFormat="1" applyFont="1"/>
    <xf numFmtId="178" fontId="1" fillId="14" borderId="0" xfId="50" applyNumberFormat="1" applyFont="1" applyFill="1" applyAlignment="1">
      <alignment horizontal="center" vertical="center" wrapText="1"/>
    </xf>
    <xf numFmtId="2" fontId="0" fillId="0" borderId="0" xfId="3" applyNumberFormat="1" applyFont="1"/>
    <xf numFmtId="2" fontId="0" fillId="0" borderId="0" xfId="0" applyNumberFormat="1"/>
    <xf numFmtId="2" fontId="0" fillId="0" borderId="0" xfId="0" applyNumberFormat="1" applyFont="1"/>
    <xf numFmtId="181" fontId="0" fillId="0" borderId="0" xfId="50" applyNumberFormat="1" applyFont="1"/>
    <xf numFmtId="2" fontId="0" fillId="0" borderId="0" xfId="50" applyNumberFormat="1" applyFont="1"/>
    <xf numFmtId="0" fontId="1" fillId="0" borderId="0" xfId="50" applyFont="1"/>
    <xf numFmtId="2" fontId="1" fillId="0" borderId="0" xfId="0" applyNumberFormat="1" applyFont="1"/>
    <xf numFmtId="181" fontId="1" fillId="0" borderId="0" xfId="50" applyNumberFormat="1" applyFont="1"/>
    <xf numFmtId="177" fontId="1" fillId="0" borderId="0" xfId="50" applyNumberFormat="1" applyFont="1"/>
    <xf numFmtId="0" fontId="1" fillId="7" borderId="0" xfId="50" applyFont="1" applyFill="1" applyBorder="1" applyAlignment="1">
      <alignment horizontal="left"/>
    </xf>
    <xf numFmtId="1" fontId="0" fillId="0" borderId="0" xfId="50" applyNumberFormat="1" applyFont="1"/>
    <xf numFmtId="177" fontId="0" fillId="0" borderId="0" xfId="0" applyNumberFormat="1" applyFont="1"/>
    <xf numFmtId="177" fontId="1" fillId="0" borderId="0" xfId="0" applyNumberFormat="1" applyFont="1"/>
    <xf numFmtId="0" fontId="14" fillId="0" borderId="0" xfId="0" applyFont="1"/>
    <xf numFmtId="0" fontId="1" fillId="7" borderId="16" xfId="50" applyFont="1" applyFill="1" applyBorder="1" applyAlignment="1"/>
    <xf numFmtId="0" fontId="1" fillId="2" borderId="22" xfId="50" applyFont="1" applyFill="1" applyBorder="1" applyAlignment="1">
      <alignment horizontal="center" vertical="center" wrapText="1"/>
    </xf>
    <xf numFmtId="178" fontId="1" fillId="14" borderId="22" xfId="50" applyNumberFormat="1" applyFont="1" applyFill="1" applyBorder="1" applyAlignment="1">
      <alignment horizontal="center" vertical="center" wrapText="1"/>
    </xf>
    <xf numFmtId="178" fontId="0" fillId="7" borderId="16" xfId="50" applyNumberFormat="1" applyFill="1" applyBorder="1"/>
    <xf numFmtId="178" fontId="1" fillId="14" borderId="23" xfId="50" applyNumberFormat="1" applyFont="1" applyFill="1" applyBorder="1" applyAlignment="1">
      <alignment horizontal="center" vertical="center" wrapText="1"/>
    </xf>
    <xf numFmtId="178" fontId="1" fillId="14" borderId="35" xfId="50" applyNumberFormat="1" applyFont="1" applyFill="1" applyBorder="1" applyAlignment="1">
      <alignment horizontal="center" vertical="center" wrapText="1"/>
    </xf>
    <xf numFmtId="178" fontId="1" fillId="14" borderId="36" xfId="50" applyNumberFormat="1" applyFont="1" applyFill="1" applyBorder="1" applyAlignment="1">
      <alignment horizontal="center" vertical="center" wrapText="1"/>
    </xf>
    <xf numFmtId="181" fontId="0" fillId="0" borderId="0" xfId="3" applyNumberFormat="1" applyFont="1"/>
    <xf numFmtId="1" fontId="1" fillId="15" borderId="25" xfId="50" applyNumberFormat="1" applyFont="1" applyFill="1" applyBorder="1" applyAlignment="1">
      <alignment horizontal="center" vertical="center" wrapText="1"/>
    </xf>
    <xf numFmtId="1" fontId="1" fillId="15" borderId="20" xfId="50" applyNumberFormat="1" applyFont="1" applyFill="1" applyBorder="1" applyAlignment="1">
      <alignment horizontal="center" vertical="center" wrapText="1"/>
    </xf>
    <xf numFmtId="1" fontId="1" fillId="0" borderId="25" xfId="50" applyNumberFormat="1" applyFont="1" applyFill="1" applyBorder="1" applyAlignment="1">
      <alignment horizontal="center" vertical="center" wrapText="1"/>
    </xf>
    <xf numFmtId="1" fontId="0" fillId="0" borderId="0" xfId="0" applyNumberFormat="1"/>
    <xf numFmtId="178" fontId="0" fillId="0" borderId="0" xfId="0" applyNumberFormat="1"/>
    <xf numFmtId="1" fontId="1" fillId="16" borderId="25" xfId="50" applyNumberFormat="1" applyFont="1" applyFill="1" applyBorder="1" applyAlignment="1">
      <alignment horizontal="center" vertical="center" wrapText="1"/>
    </xf>
    <xf numFmtId="1" fontId="1" fillId="17" borderId="25" xfId="50" applyNumberFormat="1" applyFont="1" applyFill="1" applyBorder="1" applyAlignment="1">
      <alignment horizontal="center" vertical="center" wrapText="1"/>
    </xf>
    <xf numFmtId="181" fontId="0" fillId="0" borderId="0" xfId="0" applyNumberFormat="1"/>
    <xf numFmtId="1" fontId="1" fillId="4" borderId="25" xfId="50" applyNumberFormat="1" applyFont="1" applyFill="1" applyBorder="1" applyAlignment="1">
      <alignment horizontal="center" vertical="center" wrapText="1"/>
    </xf>
    <xf numFmtId="0" fontId="1" fillId="7" borderId="37" xfId="50" applyFont="1" applyFill="1" applyBorder="1" applyAlignment="1">
      <alignment horizontal="left"/>
    </xf>
    <xf numFmtId="1" fontId="1" fillId="2" borderId="35" xfId="50" applyNumberFormat="1" applyFont="1" applyFill="1" applyBorder="1" applyAlignment="1">
      <alignment horizontal="center" vertical="center" wrapText="1"/>
    </xf>
    <xf numFmtId="0" fontId="1" fillId="7" borderId="38" xfId="50" applyFont="1" applyFill="1" applyBorder="1" applyAlignment="1">
      <alignment horizontal="left"/>
    </xf>
    <xf numFmtId="179" fontId="0" fillId="0" borderId="0" xfId="0" applyNumberFormat="1"/>
    <xf numFmtId="0" fontId="15" fillId="0" borderId="0" xfId="0" applyFont="1" applyAlignment="1">
      <alignment vertical="center" wrapText="1"/>
    </xf>
    <xf numFmtId="0" fontId="0" fillId="0" borderId="0" xfId="0" applyNumberFormat="1" applyFont="1"/>
    <xf numFmtId="1" fontId="1" fillId="18" borderId="25" xfId="50" applyNumberFormat="1" applyFont="1" applyFill="1" applyBorder="1" applyAlignment="1">
      <alignment horizontal="center" vertical="center" wrapText="1"/>
    </xf>
    <xf numFmtId="1" fontId="1" fillId="18" borderId="20" xfId="50" applyNumberFormat="1" applyFont="1" applyFill="1" applyBorder="1" applyAlignment="1">
      <alignment horizontal="center" vertical="center" wrapText="1"/>
    </xf>
    <xf numFmtId="1" fontId="0" fillId="0" borderId="0" xfId="0" applyNumberFormat="1" applyFont="1"/>
    <xf numFmtId="181" fontId="0" fillId="0" borderId="0" xfId="0" applyNumberFormat="1" applyFont="1"/>
    <xf numFmtId="177" fontId="0" fillId="19" borderId="0" xfId="0" applyNumberFormat="1" applyFill="1"/>
    <xf numFmtId="11" fontId="0" fillId="0" borderId="0" xfId="0" applyNumberFormat="1"/>
    <xf numFmtId="178" fontId="0" fillId="0" borderId="0" xfId="0" applyNumberFormat="1" applyFont="1"/>
    <xf numFmtId="0" fontId="0" fillId="0" borderId="0" xfId="50" applyFill="1"/>
    <xf numFmtId="177" fontId="0" fillId="0" borderId="0" xfId="50" applyNumberFormat="1" applyFill="1"/>
    <xf numFmtId="0" fontId="14" fillId="0" borderId="0" xfId="50" applyFont="1"/>
    <xf numFmtId="0" fontId="1" fillId="0" borderId="18" xfId="50" applyFont="1" applyBorder="1" applyAlignment="1">
      <alignment horizontal="center"/>
    </xf>
    <xf numFmtId="0" fontId="1" fillId="0" borderId="19" xfId="50" applyFont="1" applyBorder="1" applyAlignment="1">
      <alignment horizontal="center"/>
    </xf>
    <xf numFmtId="0" fontId="0" fillId="0" borderId="39" xfId="50" applyBorder="1" applyAlignment="1">
      <alignment horizontal="left"/>
    </xf>
    <xf numFmtId="0" fontId="0" fillId="0" borderId="39" xfId="50" applyFont="1" applyBorder="1" applyAlignment="1">
      <alignment horizontal="left"/>
    </xf>
    <xf numFmtId="0" fontId="0" fillId="0" borderId="27" xfId="50" applyFill="1" applyBorder="1" applyAlignment="1">
      <alignment horizontal="left"/>
    </xf>
    <xf numFmtId="0" fontId="0" fillId="0" borderId="0" xfId="50" applyFill="1" applyBorder="1" applyAlignment="1">
      <alignment horizontal="left"/>
    </xf>
    <xf numFmtId="0" fontId="0" fillId="20" borderId="0" xfId="50" applyFill="1"/>
    <xf numFmtId="0" fontId="0" fillId="21" borderId="0" xfId="50" applyFill="1"/>
    <xf numFmtId="0" fontId="16" fillId="7" borderId="40" xfId="50" applyFont="1" applyFill="1" applyBorder="1" applyAlignment="1">
      <alignment horizontal="center" vertical="top" shrinkToFit="1"/>
    </xf>
    <xf numFmtId="0" fontId="16" fillId="7" borderId="40" xfId="50" applyFont="1" applyFill="1" applyBorder="1" applyAlignment="1">
      <alignment horizontal="center" vertical="top"/>
    </xf>
    <xf numFmtId="0" fontId="0" fillId="7" borderId="41" xfId="50" applyFill="1" applyBorder="1" applyAlignment="1">
      <alignment horizontal="center" vertical="top" shrinkToFit="1"/>
    </xf>
    <xf numFmtId="0" fontId="16" fillId="7" borderId="42" xfId="50" applyFont="1" applyFill="1" applyBorder="1" applyAlignment="1">
      <alignment horizontal="center" vertical="top"/>
    </xf>
    <xf numFmtId="0" fontId="0" fillId="0" borderId="0" xfId="50" applyBorder="1"/>
    <xf numFmtId="0" fontId="0" fillId="0" borderId="43" xfId="50" applyBorder="1"/>
    <xf numFmtId="0" fontId="0" fillId="7" borderId="44" xfId="50" applyFill="1" applyBorder="1" applyAlignment="1">
      <alignment horizontal="center" vertical="top" shrinkToFit="1"/>
    </xf>
    <xf numFmtId="0" fontId="0" fillId="7" borderId="35" xfId="50" applyFill="1" applyBorder="1" applyAlignment="1">
      <alignment vertical="center"/>
    </xf>
    <xf numFmtId="2" fontId="0" fillId="20" borderId="0" xfId="50" applyNumberFormat="1" applyFill="1"/>
    <xf numFmtId="0" fontId="0" fillId="0" borderId="42" xfId="50" applyBorder="1" applyAlignment="1">
      <alignment horizontal="center"/>
    </xf>
    <xf numFmtId="0" fontId="0" fillId="0" borderId="38" xfId="50" applyBorder="1" applyAlignment="1">
      <alignment horizontal="center"/>
    </xf>
    <xf numFmtId="0" fontId="0" fillId="0" borderId="45" xfId="50" applyBorder="1" applyAlignment="1">
      <alignment horizontal="center"/>
    </xf>
    <xf numFmtId="177" fontId="0" fillId="21" borderId="0" xfId="50" applyNumberFormat="1" applyFill="1"/>
    <xf numFmtId="181" fontId="0" fillId="21" borderId="0" xfId="50" applyNumberFormat="1" applyFill="1"/>
    <xf numFmtId="0" fontId="10" fillId="0" borderId="0" xfId="50" applyFont="1"/>
    <xf numFmtId="183" fontId="0" fillId="0" borderId="0" xfId="50" applyNumberFormat="1"/>
    <xf numFmtId="184" fontId="0" fillId="0" borderId="0" xfId="50" applyNumberFormat="1" applyFont="1"/>
    <xf numFmtId="2" fontId="0" fillId="21" borderId="0" xfId="50" applyNumberFormat="1" applyFill="1"/>
    <xf numFmtId="11" fontId="0" fillId="0" borderId="0" xfId="50" applyNumberFormat="1" applyFont="1"/>
    <xf numFmtId="0" fontId="0" fillId="0" borderId="19" xfId="50" applyFont="1" applyBorder="1" applyAlignment="1">
      <alignment horizontal="center"/>
    </xf>
    <xf numFmtId="0" fontId="0" fillId="0" borderId="24" xfId="50" applyFont="1" applyBorder="1" applyAlignment="1">
      <alignment horizontal="center"/>
    </xf>
    <xf numFmtId="0" fontId="1" fillId="0" borderId="24" xfId="50" applyFont="1" applyBorder="1" applyAlignment="1">
      <alignment horizontal="center"/>
    </xf>
    <xf numFmtId="0" fontId="0" fillId="0" borderId="46" xfId="50" applyBorder="1"/>
    <xf numFmtId="0" fontId="0" fillId="0" borderId="39" xfId="50" applyFont="1" applyBorder="1"/>
    <xf numFmtId="0" fontId="0" fillId="0" borderId="4" xfId="50" applyBorder="1" applyAlignment="1">
      <alignment horizontal="left"/>
    </xf>
    <xf numFmtId="0" fontId="0" fillId="0" borderId="39" xfId="50" applyBorder="1"/>
    <xf numFmtId="1" fontId="0" fillId="0" borderId="7" xfId="50" applyNumberFormat="1" applyBorder="1"/>
    <xf numFmtId="181" fontId="0" fillId="0" borderId="4" xfId="50" applyNumberFormat="1" applyBorder="1"/>
    <xf numFmtId="1" fontId="0" fillId="0" borderId="4" xfId="50" applyNumberFormat="1" applyBorder="1" applyAlignment="1">
      <alignment horizontal="left"/>
    </xf>
    <xf numFmtId="0" fontId="0" fillId="0" borderId="39" xfId="50" applyFill="1" applyBorder="1"/>
    <xf numFmtId="177" fontId="0" fillId="0" borderId="7" xfId="50" applyNumberFormat="1" applyFill="1" applyBorder="1"/>
    <xf numFmtId="0" fontId="0" fillId="0" borderId="4" xfId="50" applyFill="1" applyBorder="1"/>
    <xf numFmtId="0" fontId="0" fillId="0" borderId="47" xfId="50" applyFill="1" applyBorder="1"/>
    <xf numFmtId="0" fontId="0" fillId="0" borderId="46" xfId="50" applyFill="1" applyBorder="1"/>
    <xf numFmtId="1" fontId="0" fillId="0" borderId="36" xfId="50" applyNumberFormat="1" applyBorder="1"/>
    <xf numFmtId="0" fontId="0" fillId="0" borderId="48" xfId="50" applyBorder="1"/>
    <xf numFmtId="0" fontId="0" fillId="0" borderId="36" xfId="50" applyBorder="1"/>
    <xf numFmtId="177" fontId="0" fillId="0" borderId="36" xfId="50" applyNumberFormat="1" applyBorder="1"/>
    <xf numFmtId="177" fontId="0" fillId="0" borderId="49" xfId="50" applyNumberFormat="1" applyBorder="1"/>
    <xf numFmtId="1" fontId="0" fillId="0" borderId="0" xfId="50" applyNumberFormat="1" applyBorder="1"/>
    <xf numFmtId="177" fontId="0" fillId="0" borderId="0" xfId="50" applyNumberFormat="1" applyBorder="1"/>
    <xf numFmtId="0" fontId="16" fillId="7" borderId="18" xfId="50" applyFont="1" applyFill="1" applyBorder="1" applyAlignment="1">
      <alignment horizontal="center"/>
    </xf>
    <xf numFmtId="0" fontId="16" fillId="7" borderId="19" xfId="50" applyFont="1" applyFill="1" applyBorder="1" applyAlignment="1">
      <alignment horizontal="center"/>
    </xf>
    <xf numFmtId="0" fontId="16" fillId="7" borderId="24" xfId="50" applyFont="1" applyFill="1" applyBorder="1" applyAlignment="1">
      <alignment horizontal="center"/>
    </xf>
    <xf numFmtId="0" fontId="1" fillId="0" borderId="39" xfId="50" applyFont="1" applyBorder="1" applyAlignment="1">
      <alignment horizontal="center"/>
    </xf>
    <xf numFmtId="0" fontId="1" fillId="0" borderId="7" xfId="50" applyFont="1" applyBorder="1" applyAlignment="1">
      <alignment horizontal="center"/>
    </xf>
    <xf numFmtId="0" fontId="1" fillId="0" borderId="46" xfId="50" applyFont="1" applyBorder="1" applyAlignment="1">
      <alignment horizontal="center"/>
    </xf>
    <xf numFmtId="0" fontId="1" fillId="0" borderId="47" xfId="50" applyFont="1" applyBorder="1" applyAlignment="1">
      <alignment horizontal="center"/>
    </xf>
    <xf numFmtId="0" fontId="1" fillId="0" borderId="50" xfId="50" applyFont="1" applyBorder="1" applyAlignment="1">
      <alignment horizontal="center"/>
    </xf>
    <xf numFmtId="0" fontId="13" fillId="0" borderId="3" xfId="50" applyFont="1" applyBorder="1" applyAlignment="1">
      <alignment horizontal="center"/>
    </xf>
    <xf numFmtId="0" fontId="13" fillId="0" borderId="20" xfId="50" applyFont="1" applyBorder="1" applyAlignment="1">
      <alignment horizontal="center"/>
    </xf>
    <xf numFmtId="0" fontId="13" fillId="0" borderId="21" xfId="50" applyFont="1" applyBorder="1" applyAlignment="1">
      <alignment horizontal="center"/>
    </xf>
    <xf numFmtId="178" fontId="0" fillId="0" borderId="51" xfId="50" applyNumberFormat="1" applyBorder="1" applyAlignment="1">
      <alignment horizontal="center"/>
    </xf>
    <xf numFmtId="178" fontId="0" fillId="0" borderId="9" xfId="50" applyNumberFormat="1" applyBorder="1" applyAlignment="1">
      <alignment horizontal="center"/>
    </xf>
    <xf numFmtId="178" fontId="0" fillId="0" borderId="52" xfId="50" applyNumberFormat="1" applyBorder="1" applyAlignment="1">
      <alignment horizontal="center"/>
    </xf>
    <xf numFmtId="178" fontId="0" fillId="0" borderId="8" xfId="50" applyNumberFormat="1" applyBorder="1" applyAlignment="1">
      <alignment horizontal="center"/>
    </xf>
    <xf numFmtId="0" fontId="0" fillId="0" borderId="10" xfId="50" applyBorder="1"/>
    <xf numFmtId="11" fontId="0" fillId="0" borderId="7" xfId="50" applyNumberFormat="1" applyFill="1" applyBorder="1"/>
    <xf numFmtId="0" fontId="14" fillId="0" borderId="10" xfId="50" applyFont="1" applyFill="1" applyBorder="1"/>
    <xf numFmtId="2" fontId="1" fillId="0" borderId="7" xfId="50" applyNumberFormat="1" applyFont="1" applyFill="1" applyBorder="1"/>
    <xf numFmtId="0" fontId="1" fillId="0" borderId="46" xfId="50" applyFont="1" applyBorder="1"/>
    <xf numFmtId="1" fontId="0" fillId="0" borderId="7" xfId="50" applyNumberFormat="1" applyFill="1" applyBorder="1"/>
    <xf numFmtId="181" fontId="1" fillId="0" borderId="7" xfId="50" applyNumberFormat="1" applyFont="1" applyFill="1" applyBorder="1"/>
    <xf numFmtId="0" fontId="17" fillId="0" borderId="46" xfId="50" applyFont="1" applyBorder="1"/>
    <xf numFmtId="0" fontId="0" fillId="0" borderId="10" xfId="50" applyFill="1" applyBorder="1"/>
    <xf numFmtId="0" fontId="16" fillId="7" borderId="53" xfId="50" applyFont="1" applyFill="1" applyBorder="1" applyAlignment="1">
      <alignment horizontal="center"/>
    </xf>
    <xf numFmtId="0" fontId="16" fillId="7" borderId="54" xfId="50" applyFont="1" applyFill="1" applyBorder="1" applyAlignment="1">
      <alignment horizontal="center"/>
    </xf>
    <xf numFmtId="0" fontId="0" fillId="7" borderId="11" xfId="50" applyFill="1" applyBorder="1" applyAlignment="1">
      <alignment horizontal="center"/>
    </xf>
    <xf numFmtId="0" fontId="13" fillId="0" borderId="3" xfId="50" applyFont="1" applyFill="1" applyBorder="1" applyAlignment="1">
      <alignment horizontal="center"/>
    </xf>
    <xf numFmtId="0" fontId="13" fillId="0" borderId="20" xfId="50" applyFont="1" applyFill="1" applyBorder="1" applyAlignment="1">
      <alignment horizontal="center"/>
    </xf>
    <xf numFmtId="185" fontId="0" fillId="0" borderId="51" xfId="50" applyNumberFormat="1" applyBorder="1" applyAlignment="1">
      <alignment horizontal="center"/>
    </xf>
    <xf numFmtId="185" fontId="0" fillId="0" borderId="52" xfId="50" applyNumberFormat="1" applyBorder="1" applyAlignment="1">
      <alignment horizontal="center"/>
    </xf>
    <xf numFmtId="2" fontId="0" fillId="0" borderId="51" xfId="50" applyNumberFormat="1" applyBorder="1" applyAlignment="1">
      <alignment horizontal="center"/>
    </xf>
    <xf numFmtId="2" fontId="0" fillId="0" borderId="9" xfId="50" applyNumberFormat="1" applyBorder="1" applyAlignment="1">
      <alignment horizontal="center"/>
    </xf>
    <xf numFmtId="178" fontId="0" fillId="0" borderId="7" xfId="50" applyNumberFormat="1" applyBorder="1" applyAlignment="1">
      <alignment horizontal="center"/>
    </xf>
    <xf numFmtId="178" fontId="0" fillId="0" borderId="46" xfId="50" applyNumberFormat="1" applyBorder="1" applyAlignment="1">
      <alignment horizontal="center"/>
    </xf>
    <xf numFmtId="0" fontId="0" fillId="7" borderId="54" xfId="50" applyFill="1" applyBorder="1" applyAlignment="1">
      <alignment horizontal="center"/>
    </xf>
    <xf numFmtId="0" fontId="1" fillId="7" borderId="53" xfId="50" applyFont="1" applyFill="1" applyBorder="1" applyAlignment="1"/>
    <xf numFmtId="0" fontId="1" fillId="7" borderId="54" xfId="50" applyFont="1" applyFill="1" applyBorder="1" applyAlignment="1"/>
    <xf numFmtId="2" fontId="0" fillId="0" borderId="46" xfId="50" applyNumberFormat="1" applyBorder="1"/>
    <xf numFmtId="2" fontId="13" fillId="0" borderId="21" xfId="50" applyNumberFormat="1" applyFont="1" applyFill="1" applyBorder="1" applyAlignment="1">
      <alignment horizontal="center"/>
    </xf>
    <xf numFmtId="0" fontId="13" fillId="0" borderId="0" xfId="50" applyFont="1" applyFill="1" applyBorder="1" applyAlignment="1">
      <alignment horizontal="center"/>
    </xf>
    <xf numFmtId="0" fontId="13" fillId="0" borderId="39" xfId="50" applyFont="1" applyBorder="1"/>
    <xf numFmtId="0" fontId="13" fillId="0" borderId="46" xfId="50" applyFont="1" applyBorder="1"/>
    <xf numFmtId="2" fontId="0" fillId="0" borderId="52" xfId="50" applyNumberFormat="1" applyBorder="1" applyAlignment="1">
      <alignment horizontal="center"/>
    </xf>
    <xf numFmtId="2" fontId="0" fillId="0" borderId="39" xfId="50" applyNumberFormat="1" applyBorder="1" applyAlignment="1">
      <alignment horizontal="center"/>
    </xf>
    <xf numFmtId="2" fontId="0" fillId="0" borderId="46" xfId="50" applyNumberFormat="1" applyBorder="1" applyAlignment="1">
      <alignment horizontal="center"/>
    </xf>
    <xf numFmtId="0" fontId="0" fillId="2" borderId="0" xfId="50" applyFill="1"/>
    <xf numFmtId="0" fontId="0" fillId="0" borderId="0" xfId="50" applyAlignment="1">
      <alignment horizontal="center"/>
    </xf>
    <xf numFmtId="0" fontId="0" fillId="0" borderId="0" xfId="50" applyBorder="1" applyAlignment="1">
      <alignment horizontal="center"/>
    </xf>
    <xf numFmtId="0" fontId="0" fillId="0" borderId="0" xfId="50" applyFill="1" applyBorder="1" applyAlignment="1">
      <alignment horizontal="right"/>
    </xf>
    <xf numFmtId="1" fontId="0" fillId="0" borderId="0" xfId="50" applyNumberFormat="1" applyAlignment="1">
      <alignment horizontal="right"/>
    </xf>
    <xf numFmtId="0" fontId="0" fillId="0" borderId="0" xfId="50" applyAlignment="1">
      <alignment horizontal="right"/>
    </xf>
    <xf numFmtId="178" fontId="0" fillId="0" borderId="0" xfId="50" applyNumberFormat="1" applyBorder="1" applyAlignment="1">
      <alignment horizontal="center"/>
    </xf>
    <xf numFmtId="178" fontId="0" fillId="0" borderId="39" xfId="50" applyNumberFormat="1" applyBorder="1" applyAlignment="1">
      <alignment horizontal="center"/>
    </xf>
    <xf numFmtId="178" fontId="0" fillId="0" borderId="4" xfId="50" applyNumberFormat="1" applyBorder="1" applyAlignment="1">
      <alignment horizontal="center"/>
    </xf>
    <xf numFmtId="185" fontId="0" fillId="0" borderId="0" xfId="50" applyNumberFormat="1" applyBorder="1" applyAlignment="1">
      <alignment horizontal="center"/>
    </xf>
    <xf numFmtId="2" fontId="0" fillId="0" borderId="55" xfId="50" applyNumberFormat="1" applyBorder="1" applyAlignment="1">
      <alignment horizontal="center"/>
    </xf>
    <xf numFmtId="2" fontId="0" fillId="0" borderId="0" xfId="50" applyNumberFormat="1" applyBorder="1" applyAlignment="1">
      <alignment horizontal="center"/>
    </xf>
    <xf numFmtId="185" fontId="0" fillId="0" borderId="46" xfId="50" applyNumberFormat="1" applyBorder="1" applyAlignment="1">
      <alignment horizontal="center"/>
    </xf>
    <xf numFmtId="2" fontId="0" fillId="0" borderId="0" xfId="50" applyNumberFormat="1" applyAlignment="1">
      <alignment horizontal="center"/>
    </xf>
    <xf numFmtId="2" fontId="0" fillId="0" borderId="3" xfId="50" applyNumberFormat="1" applyBorder="1" applyAlignment="1">
      <alignment horizontal="center"/>
    </xf>
    <xf numFmtId="2" fontId="0" fillId="0" borderId="21" xfId="50" applyNumberFormat="1" applyBorder="1" applyAlignment="1">
      <alignment horizontal="center"/>
    </xf>
    <xf numFmtId="0" fontId="18" fillId="5" borderId="0" xfId="0" applyFont="1" applyFill="1" applyAlignment="1">
      <alignment horizontal="left"/>
    </xf>
    <xf numFmtId="0" fontId="1" fillId="0" borderId="0" xfId="0" applyFont="1" applyFill="1" applyAlignment="1">
      <alignment horizontal="center"/>
    </xf>
    <xf numFmtId="0" fontId="1" fillId="7" borderId="0" xfId="0" applyFont="1" applyFill="1" applyAlignment="1">
      <alignment horizontal="center"/>
    </xf>
    <xf numFmtId="0" fontId="1" fillId="22" borderId="0" xfId="0" applyFont="1" applyFill="1" applyAlignment="1">
      <alignment horizontal="center"/>
    </xf>
    <xf numFmtId="0" fontId="1" fillId="23" borderId="0" xfId="0" applyFont="1" applyFill="1" applyAlignment="1">
      <alignment horizontal="center"/>
    </xf>
    <xf numFmtId="0" fontId="1" fillId="0" borderId="0" xfId="0" applyFont="1" applyAlignment="1">
      <alignment horizontal="center"/>
    </xf>
    <xf numFmtId="0" fontId="19" fillId="0" borderId="0" xfId="0" applyFont="1" applyBorder="1"/>
    <xf numFmtId="0" fontId="1" fillId="0" borderId="0" xfId="0" applyFont="1" applyBorder="1"/>
    <xf numFmtId="0" fontId="1" fillId="0" borderId="0" xfId="0" applyFont="1" applyBorder="1" applyAlignment="1">
      <alignment horizontal="center"/>
    </xf>
    <xf numFmtId="0" fontId="0" fillId="0" borderId="1" xfId="0" applyFont="1" applyBorder="1"/>
    <xf numFmtId="0" fontId="0" fillId="7" borderId="16" xfId="0" applyFill="1" applyBorder="1"/>
    <xf numFmtId="0" fontId="0" fillId="0" borderId="16" xfId="0" applyBorder="1"/>
    <xf numFmtId="0" fontId="0" fillId="0" borderId="16" xfId="0" applyFont="1" applyBorder="1"/>
    <xf numFmtId="0" fontId="0" fillId="0" borderId="37" xfId="0" applyFont="1" applyBorder="1"/>
    <xf numFmtId="0" fontId="0" fillId="7" borderId="0" xfId="0" applyFill="1" applyBorder="1"/>
    <xf numFmtId="0" fontId="1" fillId="0" borderId="0" xfId="0" applyFont="1" applyAlignment="1">
      <alignment horizontal="left"/>
    </xf>
    <xf numFmtId="0" fontId="0" fillId="0" borderId="0" xfId="0" applyFont="1" applyBorder="1"/>
    <xf numFmtId="0" fontId="20" fillId="0" borderId="0" xfId="0" applyFont="1" applyFill="1" applyBorder="1"/>
    <xf numFmtId="0" fontId="0" fillId="0" borderId="37" xfId="0" applyBorder="1"/>
    <xf numFmtId="0" fontId="0" fillId="7" borderId="0" xfId="0" applyNumberFormat="1" applyFill="1" applyBorder="1"/>
    <xf numFmtId="0" fontId="0" fillId="21" borderId="0" xfId="0" applyFill="1" applyBorder="1"/>
    <xf numFmtId="0" fontId="10" fillId="0" borderId="0" xfId="0" applyFont="1" applyBorder="1"/>
    <xf numFmtId="0" fontId="0" fillId="21" borderId="0" xfId="0" applyNumberFormat="1" applyFill="1" applyBorder="1"/>
    <xf numFmtId="2" fontId="0" fillId="0" borderId="0" xfId="0" applyNumberFormat="1" applyFill="1" applyBorder="1"/>
    <xf numFmtId="0" fontId="0" fillId="11" borderId="0" xfId="0" applyNumberFormat="1" applyFill="1" applyBorder="1"/>
    <xf numFmtId="0" fontId="0" fillId="11" borderId="0" xfId="0" applyNumberFormat="1" applyFont="1" applyFill="1" applyBorder="1"/>
    <xf numFmtId="0" fontId="1" fillId="0" borderId="37" xfId="0" applyFont="1" applyBorder="1"/>
    <xf numFmtId="2" fontId="0" fillId="0" borderId="0" xfId="0" applyNumberFormat="1" applyFill="1" applyBorder="1" applyAlignment="1">
      <alignment horizontal="right"/>
    </xf>
    <xf numFmtId="177" fontId="0" fillId="0" borderId="0" xfId="0" applyNumberFormat="1" applyAlignment="1">
      <alignment horizontal="right"/>
    </xf>
    <xf numFmtId="1" fontId="0" fillId="0" borderId="0" xfId="0" applyNumberFormat="1" applyFill="1" applyBorder="1"/>
    <xf numFmtId="9" fontId="0" fillId="24" borderId="0" xfId="0" applyNumberFormat="1" applyFill="1" applyBorder="1"/>
    <xf numFmtId="177" fontId="0" fillId="21" borderId="0" xfId="0" applyNumberFormat="1" applyFill="1" applyBorder="1"/>
    <xf numFmtId="2" fontId="0" fillId="21" borderId="0" xfId="0" applyNumberFormat="1" applyFill="1" applyBorder="1"/>
    <xf numFmtId="177" fontId="0" fillId="0" borderId="0" xfId="0" applyNumberFormat="1" applyFill="1" applyBorder="1"/>
    <xf numFmtId="1" fontId="0" fillId="7" borderId="0" xfId="0" applyNumberFormat="1" applyFill="1" applyBorder="1"/>
    <xf numFmtId="0" fontId="0" fillId="23" borderId="0" xfId="0" applyFill="1" applyBorder="1"/>
    <xf numFmtId="1" fontId="0" fillId="22" borderId="0" xfId="0" applyNumberFormat="1" applyFill="1" applyBorder="1"/>
    <xf numFmtId="0" fontId="14" fillId="0" borderId="0" xfId="0" applyFont="1" applyBorder="1"/>
    <xf numFmtId="0" fontId="0" fillId="0" borderId="49" xfId="0" applyBorder="1"/>
    <xf numFmtId="0" fontId="0" fillId="0" borderId="36" xfId="0" applyBorder="1"/>
    <xf numFmtId="0" fontId="0" fillId="0" borderId="36" xfId="0" applyFont="1" applyBorder="1"/>
    <xf numFmtId="0" fontId="19" fillId="0" borderId="1" xfId="0" applyFont="1" applyBorder="1"/>
    <xf numFmtId="0" fontId="1" fillId="0" borderId="16" xfId="0" applyFont="1" applyBorder="1"/>
    <xf numFmtId="0" fontId="1" fillId="0" borderId="0" xfId="0" applyFont="1" applyBorder="1" applyAlignment="1">
      <alignment horizontal="right"/>
    </xf>
    <xf numFmtId="0" fontId="1" fillId="0" borderId="0" xfId="50" applyFont="1" applyBorder="1" applyAlignment="1">
      <alignment horizontal="left"/>
    </xf>
    <xf numFmtId="0" fontId="1" fillId="0" borderId="0" xfId="0" applyFont="1" applyBorder="1" applyAlignment="1">
      <alignment horizontal="left"/>
    </xf>
    <xf numFmtId="0" fontId="0" fillId="0" borderId="37" xfId="0" applyBorder="1" applyAlignment="1">
      <alignment horizontal="right"/>
    </xf>
    <xf numFmtId="0" fontId="0" fillId="0" borderId="0" xfId="0" applyBorder="1" applyAlignment="1">
      <alignment horizontal="right"/>
    </xf>
    <xf numFmtId="0" fontId="21" fillId="0" borderId="0" xfId="0" applyFont="1" applyBorder="1" applyAlignment="1">
      <alignment horizontal="right"/>
    </xf>
    <xf numFmtId="0" fontId="14" fillId="0" borderId="0" xfId="0" applyFont="1" applyBorder="1" applyAlignment="1">
      <alignment horizontal="center"/>
    </xf>
    <xf numFmtId="0" fontId="14" fillId="0" borderId="0" xfId="0" applyFont="1" applyBorder="1" applyAlignment="1">
      <alignment horizontal="left"/>
    </xf>
    <xf numFmtId="0" fontId="21" fillId="0" borderId="0" xfId="50" applyFont="1" applyBorder="1" applyAlignment="1">
      <alignment horizontal="right"/>
    </xf>
    <xf numFmtId="0" fontId="14" fillId="0" borderId="0" xfId="50" applyFont="1" applyBorder="1" applyAlignment="1">
      <alignment horizontal="center"/>
    </xf>
    <xf numFmtId="0" fontId="14" fillId="0" borderId="0" xfId="50" applyFont="1" applyBorder="1" applyAlignment="1">
      <alignment horizontal="left"/>
    </xf>
    <xf numFmtId="0" fontId="0" fillId="0" borderId="0" xfId="0" applyBorder="1" applyAlignment="1">
      <alignment horizontal="left"/>
    </xf>
    <xf numFmtId="0" fontId="1" fillId="0" borderId="37" xfId="50" applyFont="1" applyBorder="1" applyAlignment="1">
      <alignment horizontal="right"/>
    </xf>
    <xf numFmtId="0" fontId="1" fillId="0" borderId="0" xfId="0" applyFont="1" applyAlignment="1">
      <alignment horizontal="right"/>
    </xf>
    <xf numFmtId="0" fontId="0" fillId="0" borderId="0" xfId="0" applyFont="1" applyAlignment="1">
      <alignment horizontal="left"/>
    </xf>
    <xf numFmtId="0" fontId="0" fillId="0" borderId="37" xfId="50" applyBorder="1" applyAlignment="1">
      <alignment horizontal="right"/>
    </xf>
    <xf numFmtId="0" fontId="21" fillId="0" borderId="37" xfId="50" applyFont="1" applyBorder="1" applyAlignment="1">
      <alignment horizontal="right"/>
    </xf>
    <xf numFmtId="0" fontId="21" fillId="0" borderId="0" xfId="0" applyFont="1" applyAlignment="1">
      <alignment horizontal="right"/>
    </xf>
    <xf numFmtId="0" fontId="14" fillId="0" borderId="0" xfId="0" applyFont="1" applyAlignment="1">
      <alignment horizontal="center"/>
    </xf>
    <xf numFmtId="0" fontId="0" fillId="0" borderId="17" xfId="0" applyBorder="1"/>
    <xf numFmtId="0" fontId="0" fillId="0" borderId="43" xfId="0" applyBorder="1"/>
    <xf numFmtId="0" fontId="0" fillId="0" borderId="0" xfId="0" applyFont="1" applyBorder="1" applyAlignment="1">
      <alignment horizontal="right"/>
    </xf>
    <xf numFmtId="0" fontId="0" fillId="0" borderId="0" xfId="0" applyFont="1" applyAlignment="1">
      <alignment horizontal="right"/>
    </xf>
    <xf numFmtId="0" fontId="14" fillId="0" borderId="0" xfId="0" applyFont="1" applyAlignment="1">
      <alignment horizontal="left"/>
    </xf>
    <xf numFmtId="0" fontId="1" fillId="0" borderId="0" xfId="0" applyNumberFormat="1" applyFont="1" applyAlignment="1">
      <alignment horizontal="right"/>
    </xf>
    <xf numFmtId="0" fontId="22" fillId="0" borderId="0" xfId="0" applyFont="1"/>
    <xf numFmtId="0" fontId="0" fillId="0" borderId="48" xfId="0" applyBorder="1"/>
    <xf numFmtId="0" fontId="14" fillId="0" borderId="0" xfId="0" applyFont="1" applyBorder="1" applyAlignment="1">
      <alignment horizontal="right"/>
    </xf>
    <xf numFmtId="20" fontId="0" fillId="0" borderId="0" xfId="0" applyNumberFormat="1"/>
    <xf numFmtId="0" fontId="23" fillId="0" borderId="0" xfId="0" applyFont="1" applyAlignment="1">
      <alignment horizontal="right"/>
    </xf>
    <xf numFmtId="177" fontId="14" fillId="0" borderId="0" xfId="0" applyNumberFormat="1" applyFont="1" applyAlignment="1">
      <alignment horizontal="left"/>
    </xf>
    <xf numFmtId="177" fontId="1" fillId="0" borderId="0" xfId="0" applyNumberFormat="1" applyFont="1" applyAlignment="1">
      <alignment horizontal="right"/>
    </xf>
    <xf numFmtId="2" fontId="14" fillId="0" borderId="0" xfId="0" applyNumberFormat="1" applyFont="1" applyAlignment="1">
      <alignment horizontal="left"/>
    </xf>
    <xf numFmtId="2" fontId="14" fillId="0" borderId="0" xfId="0" applyNumberFormat="1" applyFont="1" applyAlignment="1">
      <alignment horizontal="right"/>
    </xf>
    <xf numFmtId="0" fontId="0" fillId="0" borderId="0" xfId="0" applyAlignment="1">
      <alignment horizontal="left"/>
    </xf>
    <xf numFmtId="0" fontId="14" fillId="0" borderId="0" xfId="0" applyFont="1" applyAlignment="1">
      <alignment horizontal="right"/>
    </xf>
    <xf numFmtId="0" fontId="1" fillId="0" borderId="36" xfId="0" applyFont="1" applyBorder="1"/>
    <xf numFmtId="2" fontId="13" fillId="0" borderId="16" xfId="0" applyNumberFormat="1" applyFont="1" applyFill="1" applyBorder="1"/>
    <xf numFmtId="177" fontId="1" fillId="0" borderId="16" xfId="0" applyNumberFormat="1" applyFont="1" applyFill="1" applyBorder="1"/>
    <xf numFmtId="177" fontId="13" fillId="22" borderId="0" xfId="0" applyNumberFormat="1" applyFont="1" applyFill="1" applyBorder="1"/>
    <xf numFmtId="184" fontId="13" fillId="0" borderId="0" xfId="0" applyNumberFormat="1" applyFont="1" applyFill="1" applyBorder="1"/>
    <xf numFmtId="11" fontId="13" fillId="0" borderId="0" xfId="0" applyNumberFormat="1" applyFont="1" applyFill="1" applyBorder="1"/>
    <xf numFmtId="11" fontId="0" fillId="7" borderId="0" xfId="0" applyNumberFormat="1" applyFill="1" applyBorder="1"/>
    <xf numFmtId="0" fontId="0" fillId="24" borderId="0" xfId="0" applyFill="1" applyBorder="1"/>
    <xf numFmtId="178" fontId="13" fillId="22" borderId="0" xfId="0" applyNumberFormat="1" applyFont="1" applyFill="1" applyBorder="1"/>
    <xf numFmtId="181" fontId="13" fillId="22" borderId="0" xfId="0" applyNumberFormat="1" applyFont="1" applyFill="1" applyBorder="1"/>
    <xf numFmtId="0" fontId="0" fillId="0" borderId="49" xfId="0" applyFont="1" applyBorder="1"/>
    <xf numFmtId="0" fontId="1" fillId="0" borderId="36" xfId="0" applyFont="1" applyFill="1" applyBorder="1"/>
    <xf numFmtId="0" fontId="13" fillId="0" borderId="0" xfId="0" applyFont="1" applyBorder="1"/>
    <xf numFmtId="177" fontId="0" fillId="22" borderId="16" xfId="0" applyNumberFormat="1" applyFill="1" applyBorder="1"/>
    <xf numFmtId="0" fontId="0" fillId="0" borderId="16" xfId="0" applyFont="1" applyFill="1" applyBorder="1"/>
    <xf numFmtId="181" fontId="0" fillId="0" borderId="0" xfId="0" applyNumberFormat="1" applyFill="1" applyBorder="1"/>
    <xf numFmtId="1" fontId="0" fillId="25" borderId="0" xfId="0" applyNumberFormat="1" applyFont="1" applyFill="1" applyBorder="1"/>
    <xf numFmtId="0" fontId="14" fillId="0" borderId="37" xfId="0" applyFont="1" applyBorder="1"/>
    <xf numFmtId="181" fontId="0" fillId="0" borderId="0" xfId="0" applyNumberFormat="1" applyFont="1" applyFill="1" applyBorder="1"/>
    <xf numFmtId="0" fontId="4" fillId="0" borderId="0" xfId="0" applyFont="1" applyBorder="1"/>
    <xf numFmtId="1" fontId="0" fillId="7" borderId="0" xfId="0" applyNumberFormat="1" applyFont="1" applyFill="1" applyBorder="1"/>
    <xf numFmtId="0" fontId="4" fillId="0" borderId="56" xfId="0" applyFont="1" applyBorder="1"/>
    <xf numFmtId="181" fontId="4" fillId="21" borderId="0" xfId="0" applyNumberFormat="1" applyFont="1" applyFill="1" applyBorder="1" applyAlignment="1">
      <alignment horizontal="right"/>
    </xf>
    <xf numFmtId="0" fontId="0" fillId="25" borderId="0" xfId="0" applyFont="1" applyFill="1" applyBorder="1"/>
    <xf numFmtId="2" fontId="0" fillId="0" borderId="0" xfId="0" applyNumberFormat="1" applyFont="1" applyFill="1" applyBorder="1"/>
    <xf numFmtId="181" fontId="0" fillId="21" borderId="0" xfId="0" applyNumberFormat="1" applyFont="1" applyFill="1" applyBorder="1" applyAlignment="1"/>
    <xf numFmtId="0" fontId="24" fillId="0" borderId="37" xfId="0" applyFont="1" applyBorder="1"/>
    <xf numFmtId="2" fontId="0" fillId="21" borderId="0" xfId="0" applyNumberFormat="1" applyFont="1" applyFill="1" applyBorder="1"/>
    <xf numFmtId="0" fontId="19" fillId="0" borderId="57" xfId="0" applyFont="1" applyBorder="1"/>
    <xf numFmtId="0" fontId="0" fillId="0" borderId="58" xfId="0" applyBorder="1"/>
    <xf numFmtId="0" fontId="1" fillId="0" borderId="58" xfId="0" applyFont="1" applyFill="1" applyBorder="1"/>
    <xf numFmtId="0" fontId="0" fillId="0" borderId="56" xfId="0" applyFont="1" applyBorder="1"/>
    <xf numFmtId="177" fontId="0" fillId="8" borderId="0" xfId="0" applyNumberFormat="1" applyFont="1" applyFill="1" applyBorder="1"/>
    <xf numFmtId="177" fontId="4" fillId="22" borderId="0" xfId="0" applyNumberFormat="1" applyFont="1" applyFill="1" applyBorder="1"/>
    <xf numFmtId="177" fontId="4" fillId="21" borderId="0" xfId="0" applyNumberFormat="1" applyFont="1" applyFill="1" applyBorder="1"/>
    <xf numFmtId="0" fontId="4" fillId="21" borderId="0" xfId="0" applyNumberFormat="1" applyFont="1" applyFill="1" applyBorder="1" applyAlignment="1">
      <alignment horizontal="right"/>
    </xf>
    <xf numFmtId="181" fontId="4" fillId="7" borderId="0" xfId="0" applyNumberFormat="1" applyFont="1" applyFill="1" applyBorder="1"/>
    <xf numFmtId="0" fontId="0" fillId="0" borderId="59" xfId="0" applyBorder="1"/>
    <xf numFmtId="0" fontId="0" fillId="0" borderId="60" xfId="0" applyBorder="1"/>
    <xf numFmtId="183" fontId="4" fillId="0" borderId="0" xfId="0" applyNumberFormat="1" applyFont="1" applyFill="1" applyBorder="1"/>
    <xf numFmtId="0" fontId="4" fillId="0" borderId="56" xfId="0" applyFont="1" applyFill="1" applyBorder="1"/>
    <xf numFmtId="0" fontId="4" fillId="7" borderId="0" xfId="0" applyFont="1" applyFill="1" applyBorder="1"/>
    <xf numFmtId="1" fontId="4" fillId="7" borderId="0" xfId="0" applyNumberFormat="1" applyFont="1" applyFill="1" applyBorder="1" applyAlignment="1">
      <alignment horizontal="right"/>
    </xf>
    <xf numFmtId="177" fontId="4" fillId="0" borderId="0" xfId="0" applyNumberFormat="1" applyFont="1" applyFill="1" applyBorder="1"/>
    <xf numFmtId="178" fontId="4" fillId="0" borderId="0" xfId="0" applyNumberFormat="1" applyFont="1" applyFill="1" applyBorder="1"/>
    <xf numFmtId="0" fontId="4" fillId="0" borderId="61" xfId="0" applyFont="1" applyBorder="1"/>
    <xf numFmtId="0" fontId="4" fillId="0" borderId="62" xfId="0" applyFont="1" applyBorder="1"/>
    <xf numFmtId="0" fontId="0" fillId="0" borderId="62" xfId="0" applyBorder="1"/>
    <xf numFmtId="0" fontId="0" fillId="0" borderId="1" xfId="0" applyBorder="1"/>
    <xf numFmtId="183" fontId="0" fillId="22" borderId="0" xfId="0" applyNumberFormat="1" applyFill="1" applyBorder="1"/>
    <xf numFmtId="183" fontId="0" fillId="7" borderId="36" xfId="0" applyNumberFormat="1" applyFill="1" applyBorder="1"/>
    <xf numFmtId="0" fontId="0" fillId="0" borderId="16" xfId="0" applyBorder="1" applyAlignment="1">
      <alignment horizontal="right"/>
    </xf>
    <xf numFmtId="0" fontId="1" fillId="0" borderId="16" xfId="0" applyFont="1" applyBorder="1" applyAlignment="1">
      <alignment horizontal="right"/>
    </xf>
    <xf numFmtId="0" fontId="0" fillId="24" borderId="0" xfId="0" applyFill="1" applyBorder="1" applyAlignment="1">
      <alignment horizontal="right"/>
    </xf>
    <xf numFmtId="186" fontId="0" fillId="0" borderId="0" xfId="0" applyNumberFormat="1" applyBorder="1" applyAlignment="1">
      <alignment horizontal="right"/>
    </xf>
    <xf numFmtId="186" fontId="0" fillId="24" borderId="0" xfId="0" applyNumberFormat="1" applyFill="1" applyBorder="1" applyAlignment="1">
      <alignment horizontal="right"/>
    </xf>
    <xf numFmtId="0" fontId="0" fillId="25" borderId="0" xfId="0" applyFill="1" applyBorder="1" applyAlignment="1">
      <alignment horizontal="right"/>
    </xf>
    <xf numFmtId="0" fontId="0" fillId="21" borderId="0" xfId="0" applyNumberFormat="1" applyFill="1"/>
    <xf numFmtId="2" fontId="0" fillId="21" borderId="0" xfId="0" applyNumberFormat="1" applyFill="1" applyBorder="1" applyAlignment="1">
      <alignment horizontal="right"/>
    </xf>
    <xf numFmtId="2" fontId="0" fillId="0" borderId="0" xfId="0" applyNumberFormat="1" applyBorder="1" applyAlignment="1">
      <alignment horizontal="right"/>
    </xf>
    <xf numFmtId="2" fontId="1" fillId="0" borderId="0" xfId="0" applyNumberFormat="1" applyFont="1" applyBorder="1" applyAlignment="1">
      <alignment horizontal="right"/>
    </xf>
    <xf numFmtId="0" fontId="0" fillId="0" borderId="36" xfId="0" applyBorder="1" applyAlignment="1">
      <alignment horizontal="right"/>
    </xf>
    <xf numFmtId="0" fontId="1" fillId="0" borderId="36" xfId="0" applyFont="1" applyBorder="1" applyAlignment="1">
      <alignment horizontal="right"/>
    </xf>
    <xf numFmtId="0" fontId="0" fillId="0" borderId="0" xfId="0" applyAlignment="1">
      <alignment horizontal="right"/>
    </xf>
    <xf numFmtId="177" fontId="0" fillId="0" borderId="16" xfId="0" applyNumberFormat="1" applyFont="1" applyFill="1" applyBorder="1"/>
    <xf numFmtId="11" fontId="13" fillId="0" borderId="16" xfId="0" applyNumberFormat="1" applyFont="1" applyBorder="1"/>
    <xf numFmtId="0" fontId="10" fillId="0" borderId="16" xfId="0" applyFont="1" applyBorder="1"/>
    <xf numFmtId="11" fontId="25" fillId="0" borderId="0" xfId="0" applyNumberFormat="1" applyFont="1"/>
    <xf numFmtId="0" fontId="25" fillId="0" borderId="0" xfId="0" applyFont="1"/>
    <xf numFmtId="0" fontId="26" fillId="0" borderId="0" xfId="0" applyFont="1"/>
    <xf numFmtId="0" fontId="0" fillId="25" borderId="0" xfId="0" applyFill="1" applyBorder="1"/>
    <xf numFmtId="1" fontId="13" fillId="22" borderId="0" xfId="0" applyNumberFormat="1" applyFont="1" applyFill="1" applyBorder="1"/>
    <xf numFmtId="0" fontId="0" fillId="22" borderId="0" xfId="0" applyFill="1" applyBorder="1"/>
    <xf numFmtId="2" fontId="1" fillId="0" borderId="0" xfId="0" applyNumberFormat="1" applyFont="1" applyFill="1" applyBorder="1"/>
    <xf numFmtId="11" fontId="13" fillId="0" borderId="36" xfId="0" applyNumberFormat="1" applyFont="1" applyBorder="1"/>
    <xf numFmtId="0" fontId="13" fillId="0" borderId="0" xfId="0" applyFont="1"/>
    <xf numFmtId="11" fontId="13" fillId="0" borderId="0" xfId="0" applyNumberFormat="1" applyFont="1"/>
    <xf numFmtId="0" fontId="27" fillId="0" borderId="0" xfId="0" applyFont="1" applyBorder="1"/>
    <xf numFmtId="0" fontId="13" fillId="0" borderId="37" xfId="0" applyFont="1" applyBorder="1"/>
    <xf numFmtId="0" fontId="14" fillId="0" borderId="0" xfId="0" applyFont="1" applyFill="1" applyBorder="1"/>
    <xf numFmtId="11" fontId="0" fillId="23" borderId="0" xfId="0" applyNumberFormat="1" applyFill="1" applyBorder="1"/>
    <xf numFmtId="0" fontId="1" fillId="0" borderId="37" xfId="0" applyFont="1" applyFill="1" applyBorder="1"/>
    <xf numFmtId="0" fontId="1" fillId="0" borderId="0" xfId="0" applyFont="1" applyFill="1" applyBorder="1" applyAlignment="1"/>
    <xf numFmtId="0" fontId="0" fillId="0" borderId="63" xfId="0" applyBorder="1"/>
    <xf numFmtId="0" fontId="0" fillId="0" borderId="37" xfId="0" applyFont="1" applyFill="1" applyBorder="1"/>
    <xf numFmtId="0" fontId="0" fillId="0" borderId="0" xfId="0" applyFont="1" applyFill="1" applyBorder="1" applyAlignment="1"/>
    <xf numFmtId="0" fontId="0" fillId="0" borderId="16" xfId="0" applyBorder="1" applyAlignment="1"/>
    <xf numFmtId="0" fontId="0" fillId="0" borderId="0" xfId="0" applyBorder="1" applyAlignment="1"/>
    <xf numFmtId="0" fontId="0" fillId="0" borderId="0" xfId="0" applyNumberFormat="1" applyBorder="1"/>
    <xf numFmtId="0" fontId="22" fillId="0" borderId="37" xfId="0" applyFont="1" applyBorder="1"/>
    <xf numFmtId="49" fontId="0" fillId="0" borderId="0" xfId="0" applyNumberFormat="1" applyFont="1" applyBorder="1" applyAlignment="1">
      <alignment horizontal="left"/>
    </xf>
    <xf numFmtId="0" fontId="0" fillId="0" borderId="0" xfId="0" applyFont="1" applyBorder="1" applyAlignment="1">
      <alignment horizontal="left"/>
    </xf>
    <xf numFmtId="0" fontId="0" fillId="0" borderId="37" xfId="0" applyBorder="1" applyAlignment="1">
      <alignment horizontal="left"/>
    </xf>
    <xf numFmtId="2" fontId="0" fillId="0" borderId="0" xfId="0" applyNumberFormat="1" applyBorder="1"/>
    <xf numFmtId="0" fontId="0" fillId="15" borderId="0" xfId="0" applyFont="1" applyFill="1" applyBorder="1"/>
    <xf numFmtId="0" fontId="0" fillId="0" borderId="0" xfId="0" applyNumberFormat="1" applyBorder="1" applyAlignment="1">
      <alignment horizontal="left"/>
    </xf>
    <xf numFmtId="0" fontId="0" fillId="0" borderId="49" xfId="0" applyFont="1" applyFill="1" applyBorder="1"/>
    <xf numFmtId="0" fontId="2" fillId="4" borderId="0" xfId="0" applyFont="1" applyFill="1" applyProtection="1"/>
    <xf numFmtId="0" fontId="0" fillId="26" borderId="0" xfId="0" applyFill="1"/>
    <xf numFmtId="0" fontId="28" fillId="4" borderId="37" xfId="0" applyFont="1" applyFill="1" applyBorder="1" applyAlignment="1" applyProtection="1">
      <alignment horizontal="left" vertical="center"/>
    </xf>
    <xf numFmtId="0" fontId="28" fillId="4" borderId="0" xfId="0" applyFont="1" applyFill="1" applyBorder="1" applyAlignment="1" applyProtection="1">
      <alignment horizontal="left" vertical="center"/>
    </xf>
    <xf numFmtId="0" fontId="29" fillId="26" borderId="0" xfId="0" applyFont="1" applyFill="1"/>
    <xf numFmtId="0" fontId="2" fillId="4" borderId="0" xfId="0" applyFont="1" applyFill="1" applyBorder="1" applyProtection="1"/>
    <xf numFmtId="0" fontId="0" fillId="4" borderId="0" xfId="50" applyFill="1"/>
    <xf numFmtId="0" fontId="0" fillId="27" borderId="0" xfId="50" applyFill="1" applyAlignment="1">
      <alignment vertical="center"/>
    </xf>
    <xf numFmtId="0" fontId="0" fillId="4" borderId="0" xfId="50" applyFill="1" applyAlignment="1">
      <alignment vertical="center"/>
    </xf>
    <xf numFmtId="0" fontId="0" fillId="27" borderId="0" xfId="50" applyFill="1"/>
    <xf numFmtId="49" fontId="0" fillId="27" borderId="0" xfId="50" applyNumberFormat="1" applyFill="1" applyAlignment="1">
      <alignment horizontal="left"/>
    </xf>
    <xf numFmtId="0" fontId="0" fillId="27" borderId="0" xfId="50" applyFill="1" applyAlignment="1">
      <alignment horizontal="left"/>
    </xf>
    <xf numFmtId="0" fontId="30" fillId="4" borderId="0" xfId="0" applyFont="1" applyFill="1" applyAlignment="1"/>
    <xf numFmtId="0" fontId="31" fillId="27" borderId="0" xfId="50" applyFont="1" applyFill="1" applyAlignment="1">
      <alignment vertical="center"/>
    </xf>
    <xf numFmtId="0" fontId="32" fillId="5" borderId="53" xfId="50" applyFont="1" applyFill="1" applyBorder="1" applyAlignment="1">
      <alignment horizontal="center" vertical="center"/>
    </xf>
    <xf numFmtId="0" fontId="32" fillId="5" borderId="11" xfId="50" applyFont="1" applyFill="1" applyBorder="1" applyAlignment="1">
      <alignment horizontal="center" vertical="center"/>
    </xf>
    <xf numFmtId="0" fontId="32" fillId="5" borderId="64" xfId="50" applyFont="1" applyFill="1" applyBorder="1" applyAlignment="1">
      <alignment horizontal="center" vertical="center"/>
    </xf>
    <xf numFmtId="0" fontId="32" fillId="5" borderId="19" xfId="50" applyFont="1" applyFill="1" applyBorder="1" applyAlignment="1">
      <alignment horizontal="center" vertical="center"/>
    </xf>
    <xf numFmtId="0" fontId="32" fillId="5" borderId="65" xfId="50" applyFont="1" applyFill="1" applyBorder="1" applyAlignment="1">
      <alignment horizontal="center" vertical="center"/>
    </xf>
    <xf numFmtId="0" fontId="0" fillId="28" borderId="39" xfId="50" applyFill="1" applyBorder="1" applyAlignment="1">
      <alignment horizontal="center" vertical="center"/>
    </xf>
    <xf numFmtId="0" fontId="0" fillId="28" borderId="7" xfId="50" applyFill="1" applyBorder="1" applyAlignment="1">
      <alignment vertical="center" wrapText="1"/>
    </xf>
    <xf numFmtId="187" fontId="0" fillId="28" borderId="7" xfId="50" applyNumberFormat="1" applyFill="1" applyBorder="1" applyAlignment="1">
      <alignment horizontal="center" vertical="center"/>
    </xf>
    <xf numFmtId="188" fontId="0" fillId="28" borderId="4" xfId="50" applyNumberFormat="1" applyFill="1" applyBorder="1" applyAlignment="1">
      <alignment horizontal="left" vertical="center"/>
    </xf>
    <xf numFmtId="188" fontId="0" fillId="28" borderId="5" xfId="50" applyNumberFormat="1" applyFill="1" applyBorder="1" applyAlignment="1">
      <alignment horizontal="left" vertical="center"/>
    </xf>
    <xf numFmtId="0" fontId="0" fillId="28" borderId="7" xfId="50" applyFill="1" applyBorder="1" applyAlignment="1">
      <alignment horizontal="left" vertical="center"/>
    </xf>
    <xf numFmtId="189" fontId="0" fillId="28" borderId="4" xfId="50" applyNumberFormat="1" applyFill="1" applyBorder="1" applyAlignment="1">
      <alignment horizontal="left" vertical="center"/>
    </xf>
    <xf numFmtId="189" fontId="0" fillId="28" borderId="5" xfId="50" applyNumberFormat="1" applyFill="1" applyBorder="1" applyAlignment="1">
      <alignment horizontal="left" vertical="center"/>
    </xf>
    <xf numFmtId="0" fontId="0" fillId="18" borderId="39" xfId="50" applyFill="1" applyBorder="1" applyAlignment="1">
      <alignment horizontal="center" vertical="center"/>
    </xf>
    <xf numFmtId="0" fontId="0" fillId="18" borderId="7" xfId="50" applyFill="1" applyBorder="1" applyAlignment="1">
      <alignment vertical="center" wrapText="1"/>
    </xf>
    <xf numFmtId="0" fontId="0" fillId="18" borderId="7" xfId="50" applyNumberFormat="1" applyFill="1" applyBorder="1" applyAlignment="1">
      <alignment horizontal="center" vertical="center"/>
    </xf>
    <xf numFmtId="190" fontId="0" fillId="18" borderId="4" xfId="50" applyNumberFormat="1" applyFill="1" applyBorder="1" applyAlignment="1">
      <alignment horizontal="left" vertical="center"/>
    </xf>
    <xf numFmtId="190" fontId="0" fillId="18" borderId="5" xfId="50" applyNumberFormat="1" applyFill="1" applyBorder="1" applyAlignment="1">
      <alignment horizontal="left" vertical="center"/>
    </xf>
    <xf numFmtId="0" fontId="0" fillId="18" borderId="7" xfId="50" applyFill="1" applyBorder="1" applyAlignment="1">
      <alignment horizontal="left" vertical="center"/>
    </xf>
    <xf numFmtId="0" fontId="0" fillId="4" borderId="39" xfId="50" applyFill="1" applyBorder="1" applyAlignment="1">
      <alignment horizontal="center" vertical="center"/>
    </xf>
    <xf numFmtId="0" fontId="0" fillId="4" borderId="7" xfId="50" applyFill="1" applyBorder="1" applyAlignment="1">
      <alignment vertical="center" wrapText="1"/>
    </xf>
    <xf numFmtId="191" fontId="0" fillId="4" borderId="7" xfId="50" applyNumberFormat="1" applyFill="1" applyBorder="1" applyAlignment="1">
      <alignment horizontal="center" vertical="center"/>
    </xf>
    <xf numFmtId="190" fontId="0" fillId="4" borderId="4" xfId="50" applyNumberFormat="1" applyFill="1" applyBorder="1" applyAlignment="1">
      <alignment horizontal="left" vertical="center"/>
    </xf>
    <xf numFmtId="190" fontId="0" fillId="4" borderId="5" xfId="50" applyNumberFormat="1" applyFill="1" applyBorder="1" applyAlignment="1">
      <alignment horizontal="left" vertical="center"/>
    </xf>
    <xf numFmtId="0" fontId="0" fillId="4" borderId="7" xfId="50" applyFill="1" applyBorder="1" applyAlignment="1">
      <alignment horizontal="left" vertical="center"/>
    </xf>
    <xf numFmtId="192" fontId="0" fillId="4" borderId="4" xfId="50" applyNumberFormat="1" applyFill="1" applyBorder="1" applyAlignment="1">
      <alignment horizontal="left" vertical="center"/>
    </xf>
    <xf numFmtId="192" fontId="0" fillId="4" borderId="5" xfId="50" applyNumberFormat="1" applyFill="1" applyBorder="1" applyAlignment="1">
      <alignment horizontal="left" vertical="center"/>
    </xf>
    <xf numFmtId="191" fontId="0" fillId="18" borderId="7" xfId="50" applyNumberFormat="1" applyFill="1" applyBorder="1" applyAlignment="1">
      <alignment horizontal="center" vertical="center"/>
    </xf>
    <xf numFmtId="193" fontId="0" fillId="18" borderId="4" xfId="50" applyNumberFormat="1" applyFill="1" applyBorder="1" applyAlignment="1">
      <alignment horizontal="left" vertical="center"/>
    </xf>
    <xf numFmtId="193" fontId="0" fillId="18" borderId="5" xfId="50" applyNumberFormat="1" applyFill="1" applyBorder="1" applyAlignment="1">
      <alignment horizontal="left" vertical="center"/>
    </xf>
    <xf numFmtId="194" fontId="0" fillId="18" borderId="7" xfId="50" applyNumberFormat="1" applyFill="1" applyBorder="1" applyAlignment="1">
      <alignment horizontal="center" vertical="center"/>
    </xf>
    <xf numFmtId="192" fontId="0" fillId="18" borderId="4" xfId="50" applyNumberFormat="1" applyFill="1" applyBorder="1" applyAlignment="1">
      <alignment horizontal="left" vertical="center"/>
    </xf>
    <xf numFmtId="192" fontId="0" fillId="18" borderId="5" xfId="50" applyNumberFormat="1" applyFill="1" applyBorder="1" applyAlignment="1">
      <alignment horizontal="left" vertical="center"/>
    </xf>
    <xf numFmtId="195" fontId="0" fillId="4" borderId="7" xfId="50" applyNumberFormat="1" applyFill="1" applyBorder="1" applyAlignment="1">
      <alignment horizontal="center" vertical="center"/>
    </xf>
    <xf numFmtId="196" fontId="0" fillId="4" borderId="4" xfId="50" applyNumberFormat="1" applyFill="1" applyBorder="1" applyAlignment="1">
      <alignment horizontal="left" vertical="center" wrapText="1"/>
    </xf>
    <xf numFmtId="196" fontId="0" fillId="4" borderId="5" xfId="50" applyNumberFormat="1" applyFill="1" applyBorder="1" applyAlignment="1">
      <alignment horizontal="left" vertical="center" wrapText="1"/>
    </xf>
    <xf numFmtId="196" fontId="0" fillId="4" borderId="10" xfId="50" applyNumberFormat="1" applyFill="1" applyBorder="1" applyAlignment="1">
      <alignment horizontal="left" vertical="center" wrapText="1"/>
    </xf>
    <xf numFmtId="0" fontId="1" fillId="27" borderId="7" xfId="50" applyFont="1" applyFill="1" applyBorder="1" applyAlignment="1">
      <alignment horizontal="center" vertical="center"/>
    </xf>
    <xf numFmtId="0" fontId="1" fillId="27" borderId="7" xfId="50" applyFont="1" applyFill="1" applyBorder="1" applyAlignment="1">
      <alignment vertical="center" wrapText="1"/>
    </xf>
    <xf numFmtId="0" fontId="14" fillId="27" borderId="7" xfId="50" applyFont="1" applyFill="1" applyBorder="1" applyAlignment="1">
      <alignment horizontal="center" vertical="center"/>
    </xf>
    <xf numFmtId="0" fontId="1" fillId="27" borderId="4" xfId="50" applyFont="1" applyFill="1" applyBorder="1" applyAlignment="1">
      <alignment vertical="center"/>
    </xf>
    <xf numFmtId="0" fontId="1" fillId="27" borderId="5" xfId="50" applyFont="1" applyFill="1" applyBorder="1" applyAlignment="1">
      <alignment vertical="center"/>
    </xf>
    <xf numFmtId="0" fontId="1" fillId="27" borderId="10" xfId="50" applyFont="1" applyFill="1" applyBorder="1" applyAlignment="1">
      <alignment vertical="center"/>
    </xf>
    <xf numFmtId="0" fontId="1" fillId="27" borderId="7" xfId="50" applyFont="1" applyFill="1" applyBorder="1" applyAlignment="1">
      <alignment vertical="center"/>
    </xf>
    <xf numFmtId="0" fontId="33" fillId="27" borderId="0" xfId="50" applyFont="1" applyFill="1" applyAlignment="1">
      <alignment horizontal="right" wrapText="1"/>
    </xf>
    <xf numFmtId="0" fontId="1" fillId="27" borderId="0" xfId="50" applyFont="1" applyFill="1" applyAlignment="1">
      <alignment vertical="center"/>
    </xf>
    <xf numFmtId="49" fontId="0" fillId="4" borderId="0" xfId="50" applyNumberFormat="1" applyFill="1" applyAlignment="1">
      <alignment horizontal="left"/>
    </xf>
    <xf numFmtId="0" fontId="0" fillId="4" borderId="0" xfId="50" applyFill="1" applyAlignment="1">
      <alignment horizontal="left"/>
    </xf>
    <xf numFmtId="0" fontId="34" fillId="4" borderId="0" xfId="50" applyFont="1" applyFill="1"/>
    <xf numFmtId="0" fontId="34" fillId="27" borderId="0" xfId="50" applyFont="1" applyFill="1"/>
    <xf numFmtId="49" fontId="35" fillId="26" borderId="66" xfId="50" applyNumberFormat="1" applyFont="1" applyFill="1" applyBorder="1" applyAlignment="1">
      <alignment horizontal="center" vertical="center"/>
    </xf>
    <xf numFmtId="0" fontId="35" fillId="26" borderId="11" xfId="50" applyFont="1" applyFill="1" applyBorder="1" applyAlignment="1">
      <alignment horizontal="center" vertical="center"/>
    </xf>
    <xf numFmtId="0" fontId="0" fillId="27" borderId="0" xfId="50" applyFill="1" applyAlignment="1">
      <alignment horizontal="left" vertical="center"/>
    </xf>
    <xf numFmtId="0" fontId="0" fillId="28" borderId="4" xfId="50" applyFill="1" applyBorder="1" applyAlignment="1">
      <alignment horizontal="left" vertical="center"/>
    </xf>
    <xf numFmtId="0" fontId="0" fillId="18" borderId="67" xfId="50" applyFill="1" applyBorder="1" applyAlignment="1">
      <alignment horizontal="center" vertical="center"/>
    </xf>
    <xf numFmtId="181" fontId="0" fillId="18" borderId="7" xfId="50" applyNumberFormat="1" applyFill="1" applyBorder="1" applyAlignment="1">
      <alignment horizontal="center" vertical="center"/>
    </xf>
    <xf numFmtId="0" fontId="20" fillId="27" borderId="0" xfId="50" applyFont="1" applyFill="1" applyAlignment="1">
      <alignment horizontal="left" vertical="center"/>
    </xf>
    <xf numFmtId="0" fontId="34" fillId="27" borderId="0" xfId="50" applyFont="1" applyFill="1" applyAlignment="1">
      <alignment vertical="center"/>
    </xf>
    <xf numFmtId="0" fontId="20" fillId="27" borderId="0" xfId="50" applyFont="1" applyFill="1" applyAlignment="1">
      <alignment vertical="center"/>
    </xf>
    <xf numFmtId="0" fontId="0" fillId="18" borderId="4" xfId="50" applyFill="1" applyBorder="1" applyAlignment="1">
      <alignment horizontal="left" vertical="center"/>
    </xf>
    <xf numFmtId="0" fontId="0" fillId="4" borderId="4" xfId="50" applyFill="1" applyBorder="1" applyAlignment="1">
      <alignment horizontal="left" vertical="center"/>
    </xf>
    <xf numFmtId="0" fontId="0" fillId="4" borderId="67" xfId="50" applyFill="1" applyBorder="1" applyAlignment="1">
      <alignment horizontal="center" vertical="center"/>
    </xf>
    <xf numFmtId="181" fontId="0" fillId="4" borderId="7" xfId="50" applyNumberFormat="1" applyFill="1" applyBorder="1" applyAlignment="1">
      <alignment horizontal="center" vertical="center"/>
    </xf>
    <xf numFmtId="1" fontId="0" fillId="4" borderId="7" xfId="50" applyNumberFormat="1" applyFill="1" applyBorder="1" applyAlignment="1">
      <alignment horizontal="center" vertical="center"/>
    </xf>
    <xf numFmtId="0" fontId="20" fillId="4" borderId="0" xfId="50" applyFont="1" applyFill="1" applyAlignment="1">
      <alignment horizontal="left" vertical="center"/>
    </xf>
    <xf numFmtId="0" fontId="34" fillId="4" borderId="0" xfId="50" applyFont="1" applyFill="1" applyAlignment="1">
      <alignment vertical="center"/>
    </xf>
    <xf numFmtId="0" fontId="20" fillId="4" borderId="0" xfId="50" applyFont="1" applyFill="1" applyAlignment="1">
      <alignment vertical="center"/>
    </xf>
    <xf numFmtId="0" fontId="0" fillId="27" borderId="67" xfId="50" applyFill="1" applyBorder="1" applyAlignment="1">
      <alignment horizontal="center" vertical="center"/>
    </xf>
    <xf numFmtId="181" fontId="0" fillId="27" borderId="7" xfId="50" applyNumberFormat="1" applyFill="1" applyBorder="1" applyAlignment="1">
      <alignment horizontal="center" vertical="center"/>
    </xf>
    <xf numFmtId="181" fontId="0" fillId="27" borderId="0" xfId="50" applyNumberFormat="1" applyFill="1" applyAlignment="1">
      <alignment horizontal="right" vertical="center"/>
    </xf>
    <xf numFmtId="181" fontId="33" fillId="0" borderId="0" xfId="50" applyNumberFormat="1" applyFont="1" applyFill="1" applyAlignment="1">
      <alignment horizontal="right" vertical="center"/>
    </xf>
    <xf numFmtId="0" fontId="33" fillId="27" borderId="0" xfId="50" applyFont="1" applyFill="1" applyAlignment="1">
      <alignment horizontal="left"/>
    </xf>
    <xf numFmtId="178" fontId="33" fillId="27" borderId="0" xfId="50" applyNumberFormat="1" applyFont="1" applyFill="1" applyAlignment="1">
      <alignment vertical="center"/>
    </xf>
    <xf numFmtId="0" fontId="36" fillId="27" borderId="0" xfId="50" applyFont="1" applyFill="1"/>
    <xf numFmtId="181" fontId="36" fillId="27" borderId="0" xfId="50" applyNumberFormat="1" applyFont="1" applyFill="1" applyAlignment="1">
      <alignment horizontal="right"/>
    </xf>
    <xf numFmtId="0" fontId="36" fillId="27" borderId="0" xfId="50" applyFont="1" applyFill="1" applyAlignment="1">
      <alignment horizontal="left" vertical="center"/>
    </xf>
    <xf numFmtId="178" fontId="36" fillId="27" borderId="0" xfId="50" applyNumberFormat="1" applyFont="1" applyFill="1"/>
    <xf numFmtId="181" fontId="0" fillId="27" borderId="0" xfId="50" applyNumberFormat="1" applyFill="1" applyAlignment="1">
      <alignment horizontal="left"/>
    </xf>
    <xf numFmtId="0" fontId="34" fillId="27" borderId="0" xfId="50" applyFont="1" applyFill="1" applyAlignment="1" applyProtection="1">
      <alignment vertical="center"/>
      <protection locked="0" hidden="1"/>
    </xf>
    <xf numFmtId="49" fontId="20" fillId="27" borderId="0" xfId="50" applyNumberFormat="1" applyFont="1" applyFill="1" applyAlignment="1" applyProtection="1">
      <alignment horizontal="left" vertical="center"/>
      <protection locked="0" hidden="1"/>
    </xf>
    <xf numFmtId="0" fontId="20" fillId="27" borderId="0" xfId="50" applyFont="1" applyFill="1" applyAlignment="1" applyProtection="1">
      <alignment horizontal="left" vertical="center"/>
      <protection locked="0" hidden="1"/>
    </xf>
    <xf numFmtId="0" fontId="20" fillId="4" borderId="0" xfId="50" applyFont="1" applyFill="1" applyAlignment="1" applyProtection="1">
      <alignment horizontal="left" vertical="center"/>
      <protection locked="0" hidden="1"/>
    </xf>
    <xf numFmtId="0" fontId="20" fillId="27" borderId="0" xfId="50" applyFont="1" applyFill="1"/>
    <xf numFmtId="0" fontId="2" fillId="5" borderId="37" xfId="0" applyFont="1" applyFill="1" applyBorder="1" applyProtection="1"/>
    <xf numFmtId="0" fontId="2" fillId="5" borderId="0" xfId="0" applyFont="1" applyFill="1" applyProtection="1"/>
    <xf numFmtId="0" fontId="37" fillId="29" borderId="1" xfId="0" applyFont="1" applyFill="1" applyBorder="1" applyAlignment="1" applyProtection="1">
      <alignment vertical="center"/>
    </xf>
    <xf numFmtId="0" fontId="38" fillId="29" borderId="16" xfId="0" applyFont="1" applyFill="1" applyBorder="1" applyAlignment="1" applyProtection="1">
      <alignment vertical="center"/>
    </xf>
    <xf numFmtId="0" fontId="39" fillId="30" borderId="37" xfId="0" applyFont="1" applyFill="1" applyBorder="1" applyAlignment="1" applyProtection="1">
      <alignment horizontal="left"/>
    </xf>
    <xf numFmtId="0" fontId="39" fillId="30" borderId="0" xfId="0" applyFont="1" applyFill="1" applyBorder="1" applyAlignment="1" applyProtection="1">
      <alignment horizontal="left"/>
    </xf>
    <xf numFmtId="0" fontId="7" fillId="30" borderId="37" xfId="0" applyFont="1" applyFill="1" applyBorder="1" applyAlignment="1" applyProtection="1">
      <alignment horizontal="left" vertical="center"/>
    </xf>
    <xf numFmtId="0" fontId="7" fillId="30" borderId="0" xfId="0" applyFont="1" applyFill="1" applyBorder="1" applyAlignment="1" applyProtection="1">
      <alignment horizontal="left" vertical="center"/>
    </xf>
    <xf numFmtId="0" fontId="40" fillId="30" borderId="0" xfId="6" applyFont="1" applyFill="1" applyBorder="1" applyAlignment="1" applyProtection="1">
      <alignment horizontal="left" vertical="center"/>
    </xf>
    <xf numFmtId="0" fontId="41" fillId="30" borderId="0" xfId="0" applyFont="1" applyFill="1" applyBorder="1" applyAlignment="1" applyProtection="1">
      <alignment horizontal="left" vertical="center"/>
    </xf>
    <xf numFmtId="0" fontId="42" fillId="15" borderId="0" xfId="0" applyFont="1" applyFill="1" applyBorder="1" applyAlignment="1" applyProtection="1">
      <alignment vertical="center"/>
    </xf>
    <xf numFmtId="0" fontId="7" fillId="30" borderId="0" xfId="0" applyFont="1" applyFill="1" applyBorder="1" applyAlignment="1" applyProtection="1">
      <alignment vertical="center"/>
    </xf>
    <xf numFmtId="0" fontId="42" fillId="30" borderId="0" xfId="0" applyFont="1" applyFill="1" applyBorder="1" applyAlignment="1" applyProtection="1">
      <alignment vertical="center"/>
    </xf>
    <xf numFmtId="0" fontId="43" fillId="30" borderId="49" xfId="0" applyFont="1" applyFill="1" applyBorder="1" applyProtection="1"/>
    <xf numFmtId="0" fontId="43" fillId="30" borderId="36" xfId="0" applyFont="1" applyFill="1" applyBorder="1" applyProtection="1"/>
    <xf numFmtId="0" fontId="42" fillId="30" borderId="36" xfId="0" applyFont="1" applyFill="1" applyBorder="1" applyProtection="1"/>
    <xf numFmtId="0" fontId="27" fillId="27" borderId="37" xfId="0" applyFont="1" applyFill="1" applyBorder="1" applyAlignment="1" applyProtection="1">
      <alignment vertical="center"/>
    </xf>
    <xf numFmtId="0" fontId="44" fillId="27" borderId="0" xfId="0" applyFont="1" applyFill="1" applyBorder="1" applyAlignment="1" applyProtection="1"/>
    <xf numFmtId="0" fontId="45" fillId="27" borderId="0" xfId="0" applyFont="1" applyFill="1" applyBorder="1" applyAlignment="1" applyProtection="1"/>
    <xf numFmtId="0" fontId="45" fillId="27" borderId="0" xfId="0" applyFont="1" applyFill="1" applyBorder="1" applyAlignment="1" applyProtection="1">
      <alignment horizontal="right"/>
    </xf>
    <xf numFmtId="0" fontId="46" fillId="27" borderId="0" xfId="0" applyFont="1" applyFill="1" applyBorder="1" applyProtection="1"/>
    <xf numFmtId="0" fontId="27" fillId="27" borderId="28" xfId="0" applyFont="1" applyFill="1" applyBorder="1" applyAlignment="1" applyProtection="1">
      <alignment vertical="center"/>
    </xf>
    <xf numFmtId="0" fontId="0" fillId="27" borderId="1" xfId="0" applyFont="1" applyFill="1" applyBorder="1" applyAlignment="1" applyProtection="1">
      <alignment vertical="center"/>
    </xf>
    <xf numFmtId="0" fontId="0" fillId="27" borderId="16" xfId="0" applyFont="1" applyFill="1" applyBorder="1" applyAlignment="1" applyProtection="1">
      <alignment vertical="center"/>
    </xf>
    <xf numFmtId="0" fontId="0" fillId="27" borderId="16" xfId="0" applyFont="1" applyFill="1" applyBorder="1" applyAlignment="1" applyProtection="1">
      <alignment horizontal="right" vertical="center"/>
    </xf>
    <xf numFmtId="0" fontId="26" fillId="27" borderId="16" xfId="0" applyFont="1" applyFill="1" applyBorder="1" applyAlignment="1" applyProtection="1">
      <alignment horizontal="right" vertical="center"/>
    </xf>
    <xf numFmtId="0" fontId="1" fillId="15" borderId="16" xfId="0" applyNumberFormat="1" applyFont="1" applyFill="1" applyBorder="1" applyAlignment="1" applyProtection="1">
      <alignment vertical="center"/>
      <protection locked="0"/>
    </xf>
    <xf numFmtId="0" fontId="26" fillId="4" borderId="17" xfId="0" applyNumberFormat="1" applyFont="1" applyFill="1" applyBorder="1" applyAlignment="1" applyProtection="1">
      <alignment vertical="center"/>
    </xf>
    <xf numFmtId="0" fontId="47" fillId="27" borderId="0" xfId="0" applyFont="1" applyFill="1" applyBorder="1" applyProtection="1"/>
    <xf numFmtId="0" fontId="0" fillId="27" borderId="37" xfId="0" applyFont="1" applyFill="1" applyBorder="1" applyAlignment="1" applyProtection="1">
      <alignment vertical="center"/>
    </xf>
    <xf numFmtId="0" fontId="0" fillId="27" borderId="0" xfId="0" applyFont="1" applyFill="1" applyBorder="1" applyAlignment="1" applyProtection="1">
      <alignment vertical="center"/>
    </xf>
    <xf numFmtId="0" fontId="0" fillId="27" borderId="0" xfId="0" applyFont="1" applyFill="1" applyBorder="1" applyAlignment="1" applyProtection="1">
      <alignment horizontal="right" vertical="center"/>
    </xf>
    <xf numFmtId="0" fontId="26" fillId="27" borderId="0" xfId="0" applyFont="1" applyFill="1" applyBorder="1" applyAlignment="1" applyProtection="1">
      <alignment horizontal="right" vertical="center"/>
    </xf>
    <xf numFmtId="0" fontId="1" fillId="15" borderId="0" xfId="0" applyNumberFormat="1" applyFont="1" applyFill="1" applyBorder="1" applyAlignment="1" applyProtection="1">
      <alignment vertical="center"/>
      <protection locked="0"/>
    </xf>
    <xf numFmtId="0" fontId="1" fillId="4" borderId="43" xfId="0" applyNumberFormat="1" applyFont="1" applyFill="1" applyBorder="1" applyAlignment="1" applyProtection="1">
      <alignment vertical="center"/>
    </xf>
    <xf numFmtId="0" fontId="0" fillId="27" borderId="37" xfId="0" applyFont="1" applyFill="1" applyBorder="1" applyProtection="1"/>
    <xf numFmtId="1" fontId="22" fillId="0" borderId="0" xfId="0" applyNumberFormat="1" applyFont="1" applyFill="1" applyBorder="1" applyAlignment="1" applyProtection="1">
      <alignment horizontal="right" vertical="center"/>
    </xf>
    <xf numFmtId="0" fontId="1" fillId="27" borderId="43" xfId="0" applyFont="1" applyFill="1" applyBorder="1" applyAlignment="1" applyProtection="1">
      <alignment vertical="center"/>
    </xf>
    <xf numFmtId="0" fontId="0" fillId="27" borderId="49" xfId="0" applyFont="1" applyFill="1" applyBorder="1" applyAlignment="1" applyProtection="1">
      <alignment vertical="center"/>
    </xf>
    <xf numFmtId="0" fontId="0" fillId="27" borderId="36" xfId="0" applyFont="1" applyFill="1" applyBorder="1" applyAlignment="1" applyProtection="1">
      <alignment vertical="center"/>
    </xf>
    <xf numFmtId="0" fontId="0" fillId="27" borderId="36" xfId="0" applyFont="1" applyFill="1" applyBorder="1" applyAlignment="1" applyProtection="1">
      <alignment horizontal="right" vertical="center"/>
    </xf>
    <xf numFmtId="0" fontId="26" fillId="27" borderId="36" xfId="0" applyFont="1" applyFill="1" applyBorder="1" applyAlignment="1" applyProtection="1">
      <alignment horizontal="right" vertical="center"/>
    </xf>
    <xf numFmtId="0" fontId="1" fillId="15" borderId="36" xfId="0" applyNumberFormat="1" applyFont="1" applyFill="1" applyBorder="1" applyAlignment="1" applyProtection="1">
      <alignment vertical="center"/>
      <protection locked="0"/>
    </xf>
    <xf numFmtId="0" fontId="1" fillId="4" borderId="48" xfId="0" applyNumberFormat="1" applyFont="1" applyFill="1" applyBorder="1" applyAlignment="1" applyProtection="1">
      <alignment vertical="center"/>
    </xf>
    <xf numFmtId="0" fontId="0" fillId="27" borderId="0" xfId="0" applyFont="1" applyFill="1" applyBorder="1" applyAlignment="1" applyProtection="1">
      <alignment horizontal="left"/>
    </xf>
    <xf numFmtId="0" fontId="2" fillId="4" borderId="37" xfId="0" applyFont="1" applyFill="1" applyBorder="1" applyProtection="1"/>
    <xf numFmtId="0" fontId="48" fillId="27" borderId="0" xfId="0" applyFont="1" applyFill="1" applyBorder="1" applyProtection="1"/>
    <xf numFmtId="0" fontId="49" fillId="27" borderId="0" xfId="0" applyFont="1" applyFill="1" applyBorder="1" applyAlignment="1" applyProtection="1"/>
    <xf numFmtId="0" fontId="1" fillId="27" borderId="0" xfId="0" applyFont="1" applyFill="1" applyBorder="1" applyAlignment="1" applyProtection="1"/>
    <xf numFmtId="181" fontId="1" fillId="27" borderId="0" xfId="0" applyNumberFormat="1" applyFont="1" applyFill="1" applyBorder="1" applyAlignment="1" applyProtection="1"/>
    <xf numFmtId="0" fontId="0" fillId="27" borderId="37" xfId="0" applyFont="1" applyFill="1" applyBorder="1" applyAlignment="1" applyProtection="1">
      <alignment horizontal="right"/>
    </xf>
    <xf numFmtId="0" fontId="0" fillId="4" borderId="1" xfId="0" applyFont="1" applyFill="1" applyBorder="1" applyProtection="1"/>
    <xf numFmtId="0" fontId="1" fillId="27" borderId="16" xfId="0" applyFont="1" applyFill="1" applyBorder="1" applyProtection="1"/>
    <xf numFmtId="0" fontId="0" fillId="27" borderId="16" xfId="0" applyFont="1" applyFill="1" applyBorder="1" applyProtection="1"/>
    <xf numFmtId="181" fontId="0" fillId="27" borderId="16" xfId="0" applyNumberFormat="1" applyFont="1" applyFill="1" applyBorder="1" applyAlignment="1" applyProtection="1">
      <alignment horizontal="right" vertical="center"/>
    </xf>
    <xf numFmtId="1" fontId="0" fillId="0" borderId="17" xfId="0" applyNumberFormat="1" applyFont="1" applyFill="1" applyBorder="1" applyAlignment="1" applyProtection="1">
      <alignment vertical="center"/>
    </xf>
    <xf numFmtId="0" fontId="2" fillId="27" borderId="16" xfId="0" applyFont="1" applyFill="1" applyBorder="1" applyProtection="1"/>
    <xf numFmtId="0" fontId="1" fillId="27" borderId="37" xfId="0" applyFont="1" applyFill="1" applyBorder="1" applyProtection="1"/>
    <xf numFmtId="0" fontId="0" fillId="27" borderId="0" xfId="0" applyFont="1" applyFill="1" applyBorder="1" applyProtection="1"/>
    <xf numFmtId="0" fontId="1" fillId="27" borderId="0" xfId="0" applyFont="1" applyFill="1" applyBorder="1" applyProtection="1"/>
    <xf numFmtId="0" fontId="26" fillId="27" borderId="0" xfId="0" applyFont="1" applyFill="1" applyBorder="1" applyAlignment="1" applyProtection="1">
      <alignment horizontal="right"/>
    </xf>
    <xf numFmtId="0" fontId="1" fillId="15" borderId="0" xfId="0" applyFont="1" applyFill="1" applyBorder="1" applyProtection="1">
      <protection locked="0"/>
    </xf>
    <xf numFmtId="0" fontId="1" fillId="4" borderId="43" xfId="0" applyFont="1" applyFill="1" applyBorder="1" applyProtection="1"/>
    <xf numFmtId="0" fontId="1" fillId="27" borderId="0" xfId="0" applyFont="1" applyFill="1" applyBorder="1" applyAlignment="1" applyProtection="1">
      <alignment vertical="center"/>
    </xf>
    <xf numFmtId="0" fontId="1" fillId="15" borderId="0" xfId="0" applyFont="1" applyFill="1" applyBorder="1" applyAlignment="1" applyProtection="1">
      <alignment vertical="center"/>
      <protection locked="0"/>
    </xf>
    <xf numFmtId="0" fontId="1" fillId="4" borderId="43" xfId="0" applyFont="1" applyFill="1" applyBorder="1" applyAlignment="1" applyProtection="1">
      <alignment vertical="center"/>
    </xf>
    <xf numFmtId="0" fontId="0" fillId="27" borderId="49" xfId="0" applyFont="1" applyFill="1" applyBorder="1" applyProtection="1"/>
    <xf numFmtId="0" fontId="0" fillId="27" borderId="36" xfId="0" applyFont="1" applyFill="1" applyBorder="1" applyProtection="1"/>
    <xf numFmtId="0" fontId="1" fillId="27" borderId="36" xfId="0" applyFont="1" applyFill="1" applyBorder="1" applyProtection="1"/>
    <xf numFmtId="0" fontId="0" fillId="27" borderId="36" xfId="0" applyFont="1" applyFill="1" applyBorder="1" applyAlignment="1" applyProtection="1">
      <alignment horizontal="right"/>
    </xf>
    <xf numFmtId="1" fontId="0" fillId="27" borderId="36" xfId="0" applyNumberFormat="1" applyFont="1" applyFill="1" applyBorder="1" applyProtection="1"/>
    <xf numFmtId="0" fontId="0" fillId="27" borderId="48" xfId="0" applyFont="1" applyFill="1" applyBorder="1" applyProtection="1"/>
    <xf numFmtId="0" fontId="0" fillId="27" borderId="1" xfId="0" applyFont="1" applyFill="1" applyBorder="1" applyProtection="1"/>
    <xf numFmtId="0" fontId="0" fillId="27" borderId="16" xfId="0" applyFont="1" applyFill="1" applyBorder="1" applyAlignment="1" applyProtection="1">
      <alignment horizontal="right"/>
    </xf>
    <xf numFmtId="1" fontId="0" fillId="27" borderId="16" xfId="0" applyNumberFormat="1" applyFont="1" applyFill="1" applyBorder="1" applyAlignment="1" applyProtection="1">
      <alignment horizontal="right" vertical="center"/>
    </xf>
    <xf numFmtId="0" fontId="47" fillId="27" borderId="41" xfId="0" applyFont="1" applyFill="1" applyBorder="1" applyProtection="1"/>
    <xf numFmtId="0" fontId="1" fillId="27" borderId="0" xfId="0" applyFont="1" applyFill="1" applyBorder="1" applyAlignment="1" applyProtection="1">
      <alignment horizontal="right" vertical="center"/>
    </xf>
    <xf numFmtId="0" fontId="47" fillId="27" borderId="40" xfId="0" applyFont="1" applyFill="1" applyBorder="1" applyProtection="1"/>
    <xf numFmtId="0" fontId="47" fillId="27" borderId="44" xfId="0" applyFont="1" applyFill="1" applyBorder="1" applyProtection="1"/>
    <xf numFmtId="0" fontId="49" fillId="27" borderId="0" xfId="0" applyFont="1" applyFill="1" applyBorder="1" applyProtection="1"/>
    <xf numFmtId="0" fontId="0" fillId="27" borderId="0" xfId="0" applyFont="1" applyFill="1" applyBorder="1" applyAlignment="1" applyProtection="1">
      <alignment horizontal="right"/>
    </xf>
    <xf numFmtId="181" fontId="25" fillId="4" borderId="16" xfId="0" applyNumberFormat="1" applyFont="1" applyFill="1" applyBorder="1" applyAlignment="1" applyProtection="1">
      <alignment vertical="center"/>
    </xf>
    <xf numFmtId="0" fontId="0" fillId="27" borderId="17" xfId="0" applyFont="1" applyFill="1" applyBorder="1" applyAlignment="1" applyProtection="1">
      <alignment vertical="center"/>
    </xf>
    <xf numFmtId="0" fontId="1" fillId="15" borderId="0" xfId="0" applyNumberFormat="1" applyFont="1" applyFill="1" applyBorder="1" applyAlignment="1" applyProtection="1">
      <alignment horizontal="right" vertical="center"/>
      <protection locked="0"/>
    </xf>
    <xf numFmtId="0" fontId="1" fillId="27" borderId="16" xfId="0" applyFont="1" applyFill="1" applyBorder="1" applyAlignment="1" applyProtection="1">
      <alignment horizontal="right" vertical="center"/>
    </xf>
    <xf numFmtId="0" fontId="0" fillId="27" borderId="16" xfId="0" applyNumberFormat="1" applyFont="1" applyFill="1" applyBorder="1" applyAlignment="1" applyProtection="1">
      <alignment horizontal="right" vertical="center"/>
    </xf>
    <xf numFmtId="0" fontId="26" fillId="4" borderId="0" xfId="0" applyFont="1" applyFill="1" applyBorder="1" applyAlignment="1" applyProtection="1">
      <alignment horizontal="right" vertical="center"/>
    </xf>
    <xf numFmtId="1" fontId="0" fillId="27" borderId="36" xfId="0" applyNumberFormat="1" applyFont="1" applyFill="1" applyBorder="1" applyAlignment="1" applyProtection="1">
      <alignment horizontal="right" vertical="center"/>
    </xf>
    <xf numFmtId="0" fontId="0" fillId="27" borderId="48" xfId="0" applyFont="1" applyFill="1" applyBorder="1" applyAlignment="1" applyProtection="1">
      <alignment vertical="center"/>
    </xf>
    <xf numFmtId="0" fontId="1" fillId="27" borderId="0" xfId="0" applyFont="1" applyFill="1" applyBorder="1" applyAlignment="1" applyProtection="1">
      <alignment horizontal="right"/>
    </xf>
    <xf numFmtId="1" fontId="0" fillId="27" borderId="0" xfId="0" applyNumberFormat="1" applyFont="1" applyFill="1" applyBorder="1" applyAlignment="1" applyProtection="1">
      <alignment horizontal="right" vertical="center"/>
    </xf>
    <xf numFmtId="0" fontId="0" fillId="27" borderId="43" xfId="0" applyFont="1" applyFill="1" applyBorder="1" applyAlignment="1" applyProtection="1">
      <alignment vertical="center"/>
    </xf>
    <xf numFmtId="181" fontId="1" fillId="15" borderId="0" xfId="0" applyNumberFormat="1" applyFont="1" applyFill="1" applyBorder="1" applyAlignment="1" applyProtection="1">
      <alignment horizontal="right" vertical="center"/>
      <protection locked="0"/>
    </xf>
    <xf numFmtId="0" fontId="1" fillId="27" borderId="36" xfId="0" applyFont="1" applyFill="1" applyBorder="1" applyAlignment="1" applyProtection="1">
      <alignment horizontal="right" vertical="center"/>
    </xf>
    <xf numFmtId="0" fontId="1" fillId="15" borderId="36" xfId="0" applyNumberFormat="1" applyFont="1" applyFill="1" applyBorder="1" applyAlignment="1" applyProtection="1">
      <alignment horizontal="right" vertical="center"/>
      <protection locked="0"/>
    </xf>
    <xf numFmtId="0" fontId="1" fillId="27" borderId="48" xfId="0" applyFont="1" applyFill="1" applyBorder="1" applyAlignment="1" applyProtection="1">
      <alignment vertical="center"/>
    </xf>
    <xf numFmtId="0" fontId="0" fillId="0" borderId="0" xfId="0" applyNumberFormat="1" applyFont="1" applyFill="1" applyBorder="1" applyAlignment="1" applyProtection="1">
      <alignment horizontal="right" vertical="center"/>
    </xf>
    <xf numFmtId="0" fontId="50" fillId="27" borderId="0" xfId="0" applyFont="1" applyFill="1" applyBorder="1" applyAlignment="1" applyProtection="1">
      <alignment horizontal="right" vertical="center"/>
    </xf>
    <xf numFmtId="0" fontId="0" fillId="27" borderId="36" xfId="0" applyNumberFormat="1" applyFont="1" applyFill="1" applyBorder="1" applyAlignment="1" applyProtection="1">
      <alignment horizontal="right" vertical="center"/>
    </xf>
    <xf numFmtId="0" fontId="0" fillId="27" borderId="16" xfId="0" applyNumberFormat="1" applyFont="1" applyFill="1" applyBorder="1" applyAlignment="1" applyProtection="1">
      <alignment horizontal="right"/>
    </xf>
    <xf numFmtId="0" fontId="0" fillId="27" borderId="16" xfId="0" applyFont="1" applyFill="1" applyBorder="1" applyAlignment="1" applyProtection="1"/>
    <xf numFmtId="0" fontId="27" fillId="27" borderId="49" xfId="0" applyFont="1" applyFill="1" applyBorder="1" applyAlignment="1" applyProtection="1">
      <alignment vertical="center"/>
    </xf>
    <xf numFmtId="1" fontId="51" fillId="27" borderId="0" xfId="0" applyNumberFormat="1" applyFont="1" applyFill="1" applyBorder="1" applyAlignment="1" applyProtection="1">
      <alignment horizontal="right"/>
    </xf>
    <xf numFmtId="0" fontId="2" fillId="4" borderId="1" xfId="0" applyFont="1" applyFill="1" applyBorder="1" applyProtection="1"/>
    <xf numFmtId="0" fontId="2" fillId="4" borderId="16" xfId="0" applyFont="1" applyFill="1" applyBorder="1" applyProtection="1"/>
    <xf numFmtId="0" fontId="1" fillId="4" borderId="16" xfId="0" applyFont="1" applyFill="1" applyBorder="1" applyAlignment="1" applyProtection="1">
      <alignment horizontal="right"/>
    </xf>
    <xf numFmtId="0" fontId="1" fillId="15" borderId="16" xfId="0" applyFont="1" applyFill="1" applyBorder="1" applyProtection="1">
      <protection locked="0"/>
    </xf>
    <xf numFmtId="0" fontId="1" fillId="4" borderId="17" xfId="0" applyFont="1" applyFill="1" applyBorder="1" applyProtection="1"/>
    <xf numFmtId="0" fontId="1" fillId="4" borderId="0" xfId="0" applyFont="1" applyFill="1" applyBorder="1" applyAlignment="1" applyProtection="1">
      <alignment horizontal="right"/>
    </xf>
    <xf numFmtId="1" fontId="26" fillId="15" borderId="0" xfId="0" applyNumberFormat="1" applyFont="1" applyFill="1" applyBorder="1" applyAlignment="1" applyProtection="1">
      <alignment horizontal="right" vertical="center"/>
      <protection locked="0"/>
    </xf>
    <xf numFmtId="1" fontId="25" fillId="27" borderId="0" xfId="0" applyNumberFormat="1" applyFont="1" applyFill="1" applyBorder="1" applyAlignment="1" applyProtection="1">
      <alignment horizontal="right"/>
    </xf>
    <xf numFmtId="0" fontId="0" fillId="27" borderId="43" xfId="0" applyFont="1" applyFill="1" applyBorder="1" applyProtection="1"/>
    <xf numFmtId="1" fontId="25" fillId="27" borderId="36" xfId="0" applyNumberFormat="1" applyFont="1" applyFill="1" applyBorder="1" applyAlignment="1" applyProtection="1">
      <alignment horizontal="right"/>
    </xf>
    <xf numFmtId="0" fontId="0" fillId="4" borderId="48" xfId="0" applyFont="1" applyFill="1" applyBorder="1" applyProtection="1"/>
    <xf numFmtId="0" fontId="0" fillId="4" borderId="36" xfId="0" applyFont="1" applyFill="1" applyBorder="1" applyProtection="1"/>
    <xf numFmtId="0" fontId="0" fillId="4" borderId="0" xfId="0" applyFont="1" applyFill="1" applyBorder="1" applyProtection="1"/>
    <xf numFmtId="0" fontId="0" fillId="27" borderId="68" xfId="0" applyFont="1" applyFill="1" applyBorder="1" applyProtection="1"/>
    <xf numFmtId="0" fontId="0" fillId="27" borderId="6" xfId="0" applyFont="1" applyFill="1" applyBorder="1" applyProtection="1"/>
    <xf numFmtId="0" fontId="0" fillId="27" borderId="6" xfId="0" applyFont="1" applyFill="1" applyBorder="1" applyAlignment="1" applyProtection="1">
      <alignment horizontal="right"/>
    </xf>
    <xf numFmtId="1" fontId="25" fillId="27" borderId="6" xfId="0" applyNumberFormat="1" applyFont="1" applyFill="1" applyBorder="1" applyAlignment="1" applyProtection="1">
      <alignment horizontal="right"/>
    </xf>
    <xf numFmtId="0" fontId="0" fillId="4" borderId="69" xfId="0" applyFont="1" applyFill="1" applyBorder="1" applyProtection="1"/>
    <xf numFmtId="0" fontId="0" fillId="27" borderId="70" xfId="0" applyFont="1" applyFill="1" applyBorder="1" applyProtection="1"/>
    <xf numFmtId="0" fontId="0" fillId="4" borderId="71" xfId="0" applyFont="1" applyFill="1" applyBorder="1" applyProtection="1"/>
    <xf numFmtId="0" fontId="2" fillId="4" borderId="71" xfId="0" applyFont="1" applyFill="1" applyBorder="1" applyProtection="1"/>
    <xf numFmtId="0" fontId="0" fillId="27" borderId="8" xfId="0" applyFont="1" applyFill="1" applyBorder="1" applyProtection="1"/>
    <xf numFmtId="0" fontId="0" fillId="27" borderId="2" xfId="0" applyFont="1" applyFill="1" applyBorder="1" applyProtection="1"/>
    <xf numFmtId="0" fontId="0" fillId="27" borderId="2" xfId="0" applyFont="1" applyFill="1" applyBorder="1" applyAlignment="1" applyProtection="1">
      <alignment horizontal="right"/>
    </xf>
    <xf numFmtId="177" fontId="25" fillId="27" borderId="2" xfId="0" applyNumberFormat="1" applyFont="1" applyFill="1" applyBorder="1" applyAlignment="1" applyProtection="1">
      <alignment horizontal="right"/>
    </xf>
    <xf numFmtId="0" fontId="0" fillId="4" borderId="12" xfId="0" applyFont="1" applyFill="1" applyBorder="1" applyProtection="1"/>
    <xf numFmtId="0" fontId="26" fillId="27" borderId="6" xfId="0" applyFont="1" applyFill="1" applyBorder="1" applyAlignment="1" applyProtection="1">
      <alignment horizontal="right" vertical="center"/>
    </xf>
    <xf numFmtId="177" fontId="26" fillId="15" borderId="6" xfId="0" applyNumberFormat="1" applyFont="1" applyFill="1" applyBorder="1" applyAlignment="1" applyProtection="1">
      <alignment horizontal="right"/>
      <protection locked="0"/>
    </xf>
    <xf numFmtId="2" fontId="26" fillId="15" borderId="0" xfId="0" applyNumberFormat="1" applyFont="1" applyFill="1" applyBorder="1" applyAlignment="1" applyProtection="1">
      <alignment horizontal="right"/>
      <protection locked="0"/>
    </xf>
    <xf numFmtId="2" fontId="22" fillId="27" borderId="0" xfId="0" applyNumberFormat="1" applyFont="1" applyFill="1" applyBorder="1" applyAlignment="1" applyProtection="1">
      <alignment horizontal="right"/>
    </xf>
    <xf numFmtId="11" fontId="25" fillId="27" borderId="0" xfId="0" applyNumberFormat="1" applyFont="1" applyFill="1" applyBorder="1" applyAlignment="1" applyProtection="1">
      <alignment horizontal="right"/>
    </xf>
    <xf numFmtId="2" fontId="25" fillId="27" borderId="2" xfId="0" applyNumberFormat="1" applyFont="1" applyFill="1" applyBorder="1" applyAlignment="1" applyProtection="1">
      <alignment horizontal="right"/>
    </xf>
    <xf numFmtId="0" fontId="42" fillId="30" borderId="1" xfId="0" applyFont="1" applyFill="1" applyBorder="1" applyProtection="1"/>
    <xf numFmtId="0" fontId="42" fillId="30" borderId="16" xfId="0" applyFont="1" applyFill="1" applyBorder="1" applyProtection="1"/>
    <xf numFmtId="0" fontId="2" fillId="30" borderId="16" xfId="0" applyFont="1" applyFill="1" applyBorder="1" applyProtection="1"/>
    <xf numFmtId="0" fontId="2" fillId="5" borderId="0" xfId="0" applyFont="1" applyFill="1" applyBorder="1" applyProtection="1"/>
    <xf numFmtId="0" fontId="40" fillId="30" borderId="0" xfId="6" applyFont="1" applyFill="1" applyAlignment="1" applyProtection="1"/>
    <xf numFmtId="0" fontId="52" fillId="30" borderId="0" xfId="0" applyFont="1" applyFill="1" applyBorder="1" applyAlignment="1" applyProtection="1">
      <alignment vertical="center"/>
    </xf>
    <xf numFmtId="0" fontId="52" fillId="30" borderId="0" xfId="0" applyFont="1" applyFill="1" applyBorder="1" applyProtection="1"/>
    <xf numFmtId="0" fontId="2" fillId="30" borderId="0" xfId="0" applyFont="1" applyFill="1" applyBorder="1" applyProtection="1"/>
    <xf numFmtId="0" fontId="2" fillId="30" borderId="0" xfId="0" applyFont="1" applyFill="1" applyProtection="1"/>
    <xf numFmtId="0" fontId="7" fillId="30" borderId="0" xfId="0" applyFont="1" applyFill="1" applyBorder="1" applyAlignment="1" applyProtection="1">
      <alignment horizontal="center" vertical="center"/>
    </xf>
    <xf numFmtId="0" fontId="53" fillId="30" borderId="36" xfId="0" applyFont="1" applyFill="1" applyBorder="1" applyProtection="1"/>
    <xf numFmtId="0" fontId="1" fillId="27" borderId="0" xfId="0" applyFont="1" applyFill="1" applyBorder="1" applyAlignment="1" applyProtection="1">
      <alignment vertical="top"/>
    </xf>
    <xf numFmtId="0" fontId="2" fillId="27" borderId="0" xfId="0" applyFont="1" applyFill="1" applyBorder="1" applyProtection="1"/>
    <xf numFmtId="181" fontId="25" fillId="27" borderId="16" xfId="1" applyNumberFormat="1" applyFont="1" applyFill="1" applyBorder="1" applyAlignment="1" applyProtection="1">
      <alignment horizontal="right" vertical="center"/>
    </xf>
    <xf numFmtId="0" fontId="0" fillId="4" borderId="17" xfId="0" applyNumberFormat="1" applyFont="1" applyFill="1" applyBorder="1" applyAlignment="1" applyProtection="1">
      <alignment vertical="center"/>
    </xf>
    <xf numFmtId="1" fontId="0" fillId="27" borderId="0" xfId="0" applyNumberFormat="1" applyFont="1" applyFill="1" applyBorder="1" applyAlignment="1" applyProtection="1"/>
    <xf numFmtId="0" fontId="0" fillId="27" borderId="43" xfId="0" applyFont="1" applyFill="1" applyBorder="1" applyAlignment="1" applyProtection="1"/>
    <xf numFmtId="0" fontId="0" fillId="27" borderId="0" xfId="0" applyNumberFormat="1" applyFont="1" applyFill="1" applyBorder="1" applyAlignment="1" applyProtection="1"/>
    <xf numFmtId="0" fontId="14" fillId="27" borderId="0" xfId="0" applyFont="1" applyFill="1" applyBorder="1" applyAlignment="1" applyProtection="1">
      <alignment horizontal="center"/>
    </xf>
    <xf numFmtId="0" fontId="0" fillId="27" borderId="0" xfId="0" applyFont="1" applyFill="1" applyBorder="1" applyAlignment="1" applyProtection="1">
      <alignment horizontal="right" vertical="top"/>
    </xf>
    <xf numFmtId="2" fontId="0" fillId="4" borderId="0" xfId="0" applyNumberFormat="1" applyFont="1" applyFill="1" applyAlignment="1" applyProtection="1">
      <alignment horizontal="right"/>
    </xf>
    <xf numFmtId="0" fontId="0" fillId="4" borderId="43" xfId="0" applyNumberFormat="1" applyFont="1" applyFill="1" applyBorder="1" applyAlignment="1" applyProtection="1"/>
    <xf numFmtId="181" fontId="0" fillId="27" borderId="36" xfId="0" applyNumberFormat="1" applyFont="1" applyFill="1" applyBorder="1" applyAlignment="1" applyProtection="1">
      <alignment horizontal="right"/>
    </xf>
    <xf numFmtId="0" fontId="25" fillId="27" borderId="0" xfId="0" applyFont="1" applyFill="1" applyBorder="1" applyAlignment="1" applyProtection="1">
      <alignment horizontal="right" vertical="center"/>
    </xf>
    <xf numFmtId="1" fontId="0" fillId="27" borderId="0" xfId="0" applyNumberFormat="1" applyFont="1" applyFill="1" applyBorder="1" applyProtection="1"/>
    <xf numFmtId="2" fontId="0" fillId="27" borderId="0" xfId="0" applyNumberFormat="1" applyFont="1" applyFill="1" applyBorder="1" applyProtection="1"/>
    <xf numFmtId="0" fontId="25" fillId="27" borderId="36" xfId="0" applyFont="1" applyFill="1" applyBorder="1" applyAlignment="1" applyProtection="1">
      <alignment horizontal="right" vertical="center"/>
    </xf>
    <xf numFmtId="2" fontId="0" fillId="27" borderId="36" xfId="0" applyNumberFormat="1" applyFont="1" applyFill="1" applyBorder="1" applyProtection="1"/>
    <xf numFmtId="0" fontId="2" fillId="27" borderId="36" xfId="0" applyFont="1" applyFill="1" applyBorder="1" applyProtection="1"/>
    <xf numFmtId="0" fontId="2" fillId="4" borderId="36" xfId="0" applyFont="1" applyFill="1" applyBorder="1" applyProtection="1"/>
    <xf numFmtId="2" fontId="2" fillId="27" borderId="0" xfId="0" applyNumberFormat="1" applyFont="1" applyFill="1" applyBorder="1" applyProtection="1"/>
    <xf numFmtId="177" fontId="2" fillId="4" borderId="0" xfId="0" applyNumberFormat="1" applyFont="1" applyFill="1" applyBorder="1" applyProtection="1"/>
    <xf numFmtId="0" fontId="0" fillId="4" borderId="0" xfId="0" applyNumberFormat="1" applyFont="1" applyFill="1" applyBorder="1" applyAlignment="1" applyProtection="1">
      <alignment horizontal="right" vertical="center"/>
    </xf>
    <xf numFmtId="0" fontId="0" fillId="4" borderId="0" xfId="0" applyFont="1" applyFill="1" applyBorder="1" applyAlignment="1" applyProtection="1">
      <alignment vertical="center"/>
    </xf>
    <xf numFmtId="1" fontId="1" fillId="4" borderId="0" xfId="0" applyNumberFormat="1" applyFont="1" applyFill="1" applyBorder="1" applyAlignment="1" applyProtection="1">
      <alignment vertical="center"/>
    </xf>
    <xf numFmtId="0" fontId="1" fillId="4" borderId="0" xfId="0" applyFont="1" applyFill="1" applyBorder="1" applyAlignment="1" applyProtection="1">
      <alignment vertical="center"/>
    </xf>
    <xf numFmtId="178" fontId="2" fillId="4" borderId="0" xfId="0" applyNumberFormat="1" applyFont="1" applyFill="1" applyBorder="1" applyProtection="1"/>
    <xf numFmtId="178" fontId="2" fillId="27" borderId="0" xfId="0" applyNumberFormat="1" applyFont="1" applyFill="1" applyBorder="1" applyProtection="1"/>
    <xf numFmtId="0" fontId="2" fillId="27" borderId="6" xfId="0" applyFont="1" applyFill="1" applyBorder="1" applyProtection="1"/>
    <xf numFmtId="0" fontId="2" fillId="27" borderId="2" xfId="0" applyFont="1" applyFill="1" applyBorder="1" applyProtection="1"/>
    <xf numFmtId="0" fontId="26" fillId="0" borderId="6" xfId="0" applyFont="1" applyFill="1" applyBorder="1" applyProtection="1">
      <protection locked="0"/>
    </xf>
    <xf numFmtId="0" fontId="2" fillId="27" borderId="69" xfId="0" applyFont="1" applyFill="1" applyBorder="1" applyProtection="1"/>
    <xf numFmtId="0" fontId="26" fillId="0" borderId="0" xfId="0" applyFont="1" applyFill="1" applyBorder="1" applyProtection="1">
      <protection locked="0"/>
    </xf>
    <xf numFmtId="0" fontId="2" fillId="27" borderId="71" xfId="0" applyFont="1" applyFill="1" applyBorder="1" applyProtection="1"/>
    <xf numFmtId="11" fontId="0" fillId="27" borderId="0" xfId="0" applyNumberFormat="1" applyFont="1" applyFill="1" applyBorder="1" applyAlignment="1" applyProtection="1">
      <alignment horizontal="right"/>
    </xf>
    <xf numFmtId="0" fontId="2" fillId="29" borderId="16" xfId="0" applyFont="1" applyFill="1" applyBorder="1" applyProtection="1"/>
    <xf numFmtId="0" fontId="7" fillId="30" borderId="0" xfId="0" applyFont="1" applyFill="1" applyBorder="1" applyAlignment="1" applyProtection="1">
      <alignment horizontal="right" vertical="center"/>
    </xf>
    <xf numFmtId="197" fontId="2" fillId="30" borderId="0" xfId="0" applyNumberFormat="1" applyFont="1" applyFill="1" applyBorder="1" applyAlignment="1" applyProtection="1">
      <alignment horizontal="center"/>
    </xf>
    <xf numFmtId="197" fontId="2" fillId="5" borderId="0" xfId="0" applyNumberFormat="1" applyFont="1" applyFill="1" applyBorder="1" applyAlignment="1" applyProtection="1">
      <alignment horizontal="center"/>
    </xf>
    <xf numFmtId="0" fontId="2" fillId="4" borderId="17" xfId="0" applyFont="1" applyFill="1" applyBorder="1" applyProtection="1"/>
    <xf numFmtId="0" fontId="2" fillId="4" borderId="43" xfId="0" applyFont="1" applyFill="1" applyBorder="1" applyProtection="1"/>
    <xf numFmtId="0" fontId="7" fillId="30" borderId="0" xfId="0" applyFont="1" applyFill="1" applyBorder="1" applyAlignment="1" applyProtection="1" quotePrefix="1">
      <alignment vertical="center"/>
    </xf>
    <xf numFmtId="0" fontId="0" fillId="18" borderId="7" xfId="50" applyFill="1" applyBorder="1" applyAlignment="1" quotePrefix="1">
      <alignment horizontal="left" vertical="center"/>
    </xf>
    <xf numFmtId="0" fontId="0" fillId="4" borderId="7" xfId="50" applyFill="1" applyBorder="1" applyAlignment="1" quotePrefix="1">
      <alignment horizontal="left" vertical="center"/>
    </xf>
    <xf numFmtId="0" fontId="0" fillId="0" borderId="0" xfId="0" quotePrefix="1"/>
    <xf numFmtId="0" fontId="0" fillId="0" borderId="0" xfId="0" applyFont="1" quotePrefix="1"/>
    <xf numFmtId="0" fontId="0" fillId="0" borderId="0" xfId="50" applyFill="1" quotePrefix="1"/>
    <xf numFmtId="0" fontId="0" fillId="0" borderId="0" xfId="50" quotePrefix="1"/>
    <xf numFmtId="1" fontId="1" fillId="2" borderId="0" xfId="50" applyNumberFormat="1" applyFont="1" applyFill="1" applyBorder="1" applyAlignment="1" quotePrefix="1">
      <alignment horizontal="center" vertical="center" wrapText="1"/>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omma 2" xfId="49"/>
    <cellStyle name="Normal 2" xfId="50"/>
    <cellStyle name="Normal 3" xfId="51"/>
    <cellStyle name="RowLevel_1" xfId="52"/>
  </cellStyles>
  <dxfs count="23">
    <dxf>
      <font>
        <strike val="1"/>
        <color rgb="FFFF0000"/>
      </font>
    </dxf>
    <dxf>
      <font>
        <color rgb="FFFF0000"/>
      </font>
    </dxf>
    <dxf>
      <font>
        <color rgb="FFFF0000"/>
      </font>
    </dxf>
    <dxf>
      <font>
        <b val="1"/>
        <i val="0"/>
        <strike val="1"/>
        <color indexed="10"/>
      </font>
    </dxf>
    <dxf>
      <font>
        <b val="1"/>
        <i val="0"/>
        <color rgb="FFFF0000"/>
      </font>
    </dxf>
    <dxf>
      <font>
        <color theme="0"/>
      </font>
      <fill>
        <patternFill patternType="solid">
          <bgColor theme="0"/>
        </patternFill>
      </fill>
    </dxf>
    <dxf>
      <border>
        <bottom/>
      </border>
    </dxf>
    <dxf>
      <font>
        <b val="1"/>
        <i val="0"/>
        <color rgb="FFFF0000"/>
      </font>
    </dxf>
    <dxf>
      <font>
        <color theme="0"/>
      </font>
    </dxf>
    <dxf>
      <font>
        <strike val="0"/>
        <color theme="0"/>
      </font>
      <fill>
        <patternFill patternType="solid">
          <bgColor rgb="FFFF0000"/>
        </patternFill>
      </fill>
    </dxf>
    <dxf>
      <font>
        <b val="1"/>
        <i val="0"/>
        <color theme="0"/>
      </font>
      <fill>
        <patternFill patternType="solid">
          <bgColor rgb="FFFF0000"/>
        </patternFill>
      </fill>
    </dxf>
    <dxf>
      <font>
        <b val="1"/>
        <i val="0"/>
        <color rgb="FFC00000"/>
      </font>
    </dxf>
    <dxf>
      <font>
        <b val="1"/>
        <i val="0"/>
        <color indexed="10"/>
      </font>
    </dxf>
    <dxf>
      <font>
        <b val="1"/>
        <i val="0"/>
        <color indexed="12"/>
      </font>
    </dxf>
    <dxf>
      <border>
        <left/>
        <right/>
        <top/>
        <bottom/>
      </border>
    </dxf>
    <dxf>
      <font>
        <strike val="0"/>
        <color theme="0"/>
      </font>
      <fill>
        <patternFill patternType="solid">
          <bgColor theme="0"/>
        </patternFill>
      </fill>
    </dxf>
    <dxf>
      <border>
        <right/>
      </border>
    </dxf>
    <dxf>
      <border>
        <top/>
        <bottom/>
      </border>
    </dxf>
    <dxf>
      <font>
        <color theme="1"/>
      </font>
      <fill>
        <patternFill patternType="solid">
          <fgColor rgb="FFFFFF00"/>
          <bgColor rgb="FFFFFF00"/>
        </patternFill>
      </fill>
    </dxf>
    <dxf>
      <font>
        <color theme="0"/>
      </font>
      <fill>
        <patternFill patternType="solid">
          <bgColor theme="0"/>
        </patternFill>
      </fill>
      <border>
        <right/>
        <top/>
        <bottom/>
      </border>
    </dxf>
    <dxf>
      <font>
        <color rgb="FFFFFF99"/>
      </font>
    </dxf>
    <dxf>
      <fill>
        <patternFill patternType="solid">
          <bgColor rgb="FFFFC000"/>
        </patternFill>
      </fill>
    </dxf>
    <dxf>
      <border>
        <left style="thin">
          <color auto="1"/>
        </left>
        <right style="thin">
          <color auto="1"/>
        </right>
        <top style="thin">
          <color auto="1"/>
        </top>
        <bottom style="thin">
          <color auto="1"/>
        </bottom>
      </border>
    </dxf>
  </dxfs>
  <tableStyles count="0" defaultTableStyle="TableStyleMedium9" defaultPivotStyle="PivotStyleLight16"/>
  <colors>
    <mruColors>
      <color rgb="000000FF"/>
      <color rgb="0000FFFF"/>
      <color rgb="00D1FFFF"/>
      <color rgb="00B7FFFF"/>
      <color rgb="0066FFFF"/>
      <color rgb="00FF9900"/>
      <color rgb="0033CC33"/>
      <color rgb="00FF5050"/>
      <color rgb="00CCFFFF"/>
      <color rgb="00EE611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tyles" Target="styles.xml"/><Relationship Id="rId16" Type="http://schemas.openxmlformats.org/officeDocument/2006/relationships/sharedStrings" Target="sharedStrings.xml"/><Relationship Id="rId15" Type="http://schemas.openxmlformats.org/officeDocument/2006/relationships/theme" Target="theme/theme1.xml"/><Relationship Id="rId14" Type="http://schemas.openxmlformats.org/officeDocument/2006/relationships/customXml" Target="../customXml/item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r>
              <a:rPr lang="en-US"/>
              <a:t>LM5180-Q1 Bode Plot</a:t>
            </a:r>
            <a:endParaRPr lang="en-US"/>
          </a:p>
        </c:rich>
      </c:tx>
      <c:layout>
        <c:manualLayout>
          <c:xMode val="edge"/>
          <c:yMode val="edge"/>
          <c:x val="0.385325558794947"/>
          <c:y val="0.0244498469949321"/>
        </c:manualLayout>
      </c:layout>
      <c:overlay val="0"/>
      <c:spPr>
        <a:noFill/>
        <a:ln w="25400">
          <a:noFill/>
        </a:ln>
      </c:spPr>
    </c:title>
    <c:autoTitleDeleted val="0"/>
    <c:plotArea>
      <c:layout>
        <c:manualLayout>
          <c:layoutTarget val="inner"/>
          <c:xMode val="edge"/>
          <c:yMode val="edge"/>
          <c:x val="0.103498542274053"/>
          <c:y val="0.0958036421219319"/>
          <c:w val="0.802721088435376"/>
          <c:h val="0.71734049943923"/>
        </c:manualLayout>
      </c:layout>
      <c:scatterChart>
        <c:scatterStyle val="smooth"/>
        <c:varyColors val="0"/>
        <c:ser>
          <c:idx val="0"/>
          <c:order val="0"/>
          <c:tx>
            <c:strRef>
              <c:f>'Stability Calculations'!$W$12</c:f>
              <c:strCache>
                <c:ptCount val="1"/>
                <c:pt idx="0">
                  <c:v>Gain (dB)</c:v>
                </c:pt>
              </c:strCache>
            </c:strRef>
          </c:tx>
          <c:spPr>
            <a:ln w="25400" cap="rnd" cmpd="sng" algn="ctr">
              <a:solidFill>
                <a:srgbClr val="FF0000"/>
              </a:solidFill>
              <a:prstDash val="solid"/>
              <a:round/>
            </a:ln>
          </c:spPr>
          <c:marker>
            <c:symbol val="none"/>
          </c:marker>
          <c:dLbls>
            <c:delete val="1"/>
          </c:dLbls>
          <c:xVal>
            <c:numRef>
              <c:f>'Stability Calculations'!$G$13:$G$613</c:f>
              <c:numCache>
                <c:formatCode>General</c:formatCode>
                <c:ptCount val="601"/>
                <c:pt idx="0">
                  <c:v>0.1</c:v>
                </c:pt>
                <c:pt idx="1">
                  <c:v>1.0965</c:v>
                </c:pt>
                <c:pt idx="2">
                  <c:v>1.2023</c:v>
                </c:pt>
                <c:pt idx="3">
                  <c:v>1.3183</c:v>
                </c:pt>
                <c:pt idx="4">
                  <c:v>1.4454</c:v>
                </c:pt>
                <c:pt idx="5">
                  <c:v>1.5849</c:v>
                </c:pt>
                <c:pt idx="6">
                  <c:v>1.7378</c:v>
                </c:pt>
                <c:pt idx="7">
                  <c:v>1.9055</c:v>
                </c:pt>
                <c:pt idx="8">
                  <c:v>2.0893</c:v>
                </c:pt>
                <c:pt idx="9">
                  <c:v>2.2909</c:v>
                </c:pt>
                <c:pt idx="10">
                  <c:v>2.5119</c:v>
                </c:pt>
                <c:pt idx="11">
                  <c:v>2.7542</c:v>
                </c:pt>
                <c:pt idx="12">
                  <c:v>3.02</c:v>
                </c:pt>
                <c:pt idx="13">
                  <c:v>3.3113</c:v>
                </c:pt>
                <c:pt idx="14">
                  <c:v>3.6308</c:v>
                </c:pt>
                <c:pt idx="15">
                  <c:v>3.9811</c:v>
                </c:pt>
                <c:pt idx="16">
                  <c:v>4.3652</c:v>
                </c:pt>
                <c:pt idx="17">
                  <c:v>4.7863</c:v>
                </c:pt>
                <c:pt idx="18">
                  <c:v>5.2481</c:v>
                </c:pt>
                <c:pt idx="19">
                  <c:v>5.7544</c:v>
                </c:pt>
                <c:pt idx="20">
                  <c:v>6.3096</c:v>
                </c:pt>
                <c:pt idx="21">
                  <c:v>6.9183</c:v>
                </c:pt>
                <c:pt idx="22">
                  <c:v>7.5858</c:v>
                </c:pt>
                <c:pt idx="23">
                  <c:v>8.3176</c:v>
                </c:pt>
                <c:pt idx="24">
                  <c:v>9.1201</c:v>
                </c:pt>
                <c:pt idx="25">
                  <c:v>10</c:v>
                </c:pt>
                <c:pt idx="26">
                  <c:v>10.965</c:v>
                </c:pt>
                <c:pt idx="27">
                  <c:v>12.023</c:v>
                </c:pt>
                <c:pt idx="28">
                  <c:v>13.183</c:v>
                </c:pt>
                <c:pt idx="29">
                  <c:v>14.454</c:v>
                </c:pt>
                <c:pt idx="30">
                  <c:v>15.849</c:v>
                </c:pt>
                <c:pt idx="31">
                  <c:v>17.378</c:v>
                </c:pt>
                <c:pt idx="32">
                  <c:v>19.055</c:v>
                </c:pt>
                <c:pt idx="33">
                  <c:v>20.893</c:v>
                </c:pt>
                <c:pt idx="34">
                  <c:v>22.909</c:v>
                </c:pt>
                <c:pt idx="35">
                  <c:v>25.119</c:v>
                </c:pt>
                <c:pt idx="36">
                  <c:v>27.542</c:v>
                </c:pt>
                <c:pt idx="37">
                  <c:v>30.2</c:v>
                </c:pt>
                <c:pt idx="38">
                  <c:v>33.113</c:v>
                </c:pt>
                <c:pt idx="39">
                  <c:v>36.308</c:v>
                </c:pt>
                <c:pt idx="40">
                  <c:v>39.811</c:v>
                </c:pt>
                <c:pt idx="41">
                  <c:v>43.652</c:v>
                </c:pt>
                <c:pt idx="42">
                  <c:v>47.863</c:v>
                </c:pt>
                <c:pt idx="43">
                  <c:v>52.481</c:v>
                </c:pt>
                <c:pt idx="44">
                  <c:v>57.544</c:v>
                </c:pt>
                <c:pt idx="45">
                  <c:v>63.096</c:v>
                </c:pt>
                <c:pt idx="46">
                  <c:v>69.183</c:v>
                </c:pt>
                <c:pt idx="47">
                  <c:v>75.858</c:v>
                </c:pt>
                <c:pt idx="48">
                  <c:v>83.176</c:v>
                </c:pt>
                <c:pt idx="49">
                  <c:v>91.201</c:v>
                </c:pt>
                <c:pt idx="50">
                  <c:v>100</c:v>
                </c:pt>
                <c:pt idx="51">
                  <c:v>109.65</c:v>
                </c:pt>
                <c:pt idx="52">
                  <c:v>120.23</c:v>
                </c:pt>
                <c:pt idx="53">
                  <c:v>131.83</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524.81</c:v>
                </c:pt>
                <c:pt idx="69">
                  <c:v>575.44</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c:v>
                </c:pt>
                <c:pt idx="132">
                  <c:v>8270.275</c:v>
                </c:pt>
                <c:pt idx="133">
                  <c:v>8317.6</c:v>
                </c:pt>
                <c:pt idx="134">
                  <c:v>8366.05</c:v>
                </c:pt>
                <c:pt idx="135">
                  <c:v>8414.5</c:v>
                </c:pt>
                <c:pt idx="136">
                  <c:v>8462.95</c:v>
                </c:pt>
                <c:pt idx="137">
                  <c:v>8511.4</c:v>
                </c:pt>
                <c:pt idx="138">
                  <c:v>8560.95</c:v>
                </c:pt>
                <c:pt idx="139">
                  <c:v>8610.5</c:v>
                </c:pt>
                <c:pt idx="140">
                  <c:v>8660.05</c:v>
                </c:pt>
                <c:pt idx="141">
                  <c:v>8709.6</c:v>
                </c:pt>
                <c:pt idx="142">
                  <c:v>8760.325</c:v>
                </c:pt>
                <c:pt idx="143">
                  <c:v>8811.05</c:v>
                </c:pt>
                <c:pt idx="144">
                  <c:v>8861.775</c:v>
                </c:pt>
                <c:pt idx="145">
                  <c:v>8912.5</c:v>
                </c:pt>
                <c:pt idx="146">
                  <c:v>8964.4</c:v>
                </c:pt>
                <c:pt idx="147">
                  <c:v>9016.3</c:v>
                </c:pt>
                <c:pt idx="148">
                  <c:v>9068.2</c:v>
                </c:pt>
                <c:pt idx="149">
                  <c:v>9120.1</c:v>
                </c:pt>
                <c:pt idx="150">
                  <c:v>9173.2</c:v>
                </c:pt>
                <c:pt idx="151">
                  <c:v>9226.3</c:v>
                </c:pt>
                <c:pt idx="152">
                  <c:v>9279.4</c:v>
                </c:pt>
                <c:pt idx="153">
                  <c:v>9332.5</c:v>
                </c:pt>
                <c:pt idx="154">
                  <c:v>9386.85</c:v>
                </c:pt>
                <c:pt idx="155">
                  <c:v>9441.2</c:v>
                </c:pt>
                <c:pt idx="156">
                  <c:v>9495.55</c:v>
                </c:pt>
                <c:pt idx="157">
                  <c:v>9549.9</c:v>
                </c:pt>
                <c:pt idx="158">
                  <c:v>9605.525</c:v>
                </c:pt>
                <c:pt idx="159">
                  <c:v>9661.15</c:v>
                </c:pt>
                <c:pt idx="160">
                  <c:v>9716.775</c:v>
                </c:pt>
                <c:pt idx="161">
                  <c:v>9772.4</c:v>
                </c:pt>
                <c:pt idx="162">
                  <c:v>9829.3</c:v>
                </c:pt>
                <c:pt idx="163">
                  <c:v>9886.2</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96.7207510868055</c:v>
                </c:pt>
                <c:pt idx="1">
                  <c:v>89.9260761137872</c:v>
                </c:pt>
                <c:pt idx="2">
                  <c:v>89.2765803198596</c:v>
                </c:pt>
                <c:pt idx="3">
                  <c:v>88.6058995608532</c:v>
                </c:pt>
                <c:pt idx="4">
                  <c:v>87.9169533478857</c:v>
                </c:pt>
                <c:pt idx="5">
                  <c:v>87.2109023259957</c:v>
                </c:pt>
                <c:pt idx="6">
                  <c:v>86.490870394529</c:v>
                </c:pt>
                <c:pt idx="7">
                  <c:v>85.7583242501963</c:v>
                </c:pt>
                <c:pt idx="8">
                  <c:v>85.0155335985918</c:v>
                </c:pt>
                <c:pt idx="9">
                  <c:v>84.2634699275709</c:v>
                </c:pt>
                <c:pt idx="10">
                  <c:v>83.5039049445028</c:v>
                </c:pt>
                <c:pt idx="11">
                  <c:v>82.7378974544322</c:v>
                </c:pt>
                <c:pt idx="12">
                  <c:v>81.9660419693837</c:v>
                </c:pt>
                <c:pt idx="13">
                  <c:v>81.1899397149574</c:v>
                </c:pt>
                <c:pt idx="14">
                  <c:v>80.4097055143601</c:v>
                </c:pt>
                <c:pt idx="15">
                  <c:v>79.6262605262369</c:v>
                </c:pt>
                <c:pt idx="16">
                  <c:v>78.8400685808697</c:v>
                </c:pt>
                <c:pt idx="17">
                  <c:v>78.0516861008223</c:v>
                </c:pt>
                <c:pt idx="18">
                  <c:v>77.2612576789705</c:v>
                </c:pt>
                <c:pt idx="19">
                  <c:v>76.4693089770072</c:v>
                </c:pt>
                <c:pt idx="20">
                  <c:v>75.6759444770411</c:v>
                </c:pt>
                <c:pt idx="21">
                  <c:v>74.8815451427485</c:v>
                </c:pt>
                <c:pt idx="22">
                  <c:v>74.0861240616673</c:v>
                </c:pt>
                <c:pt idx="23">
                  <c:v>73.2900303168527</c:v>
                </c:pt>
                <c:pt idx="24">
                  <c:v>72.4931880015258</c:v>
                </c:pt>
                <c:pt idx="25">
                  <c:v>71.6958256496152</c:v>
                </c:pt>
                <c:pt idx="26">
                  <c:v>70.8978447596071</c:v>
                </c:pt>
                <c:pt idx="27">
                  <c:v>70.0995717542625</c:v>
                </c:pt>
                <c:pt idx="28">
                  <c:v>69.3010356322585</c:v>
                </c:pt>
                <c:pt idx="29">
                  <c:v>68.5027822497255</c:v>
                </c:pt>
                <c:pt idx="30">
                  <c:v>67.7035025045619</c:v>
                </c:pt>
                <c:pt idx="31">
                  <c:v>66.9043466369504</c:v>
                </c:pt>
                <c:pt idx="32">
                  <c:v>66.1048000499137</c:v>
                </c:pt>
                <c:pt idx="33">
                  <c:v>65.3054547519872</c:v>
                </c:pt>
                <c:pt idx="34">
                  <c:v>64.5057121225052</c:v>
                </c:pt>
                <c:pt idx="35">
                  <c:v>63.7060361143078</c:v>
                </c:pt>
                <c:pt idx="36">
                  <c:v>62.9063146846633</c:v>
                </c:pt>
                <c:pt idx="37">
                  <c:v>62.1061241264413</c:v>
                </c:pt>
                <c:pt idx="38">
                  <c:v>61.3062302274928</c:v>
                </c:pt>
                <c:pt idx="39">
                  <c:v>60.5059890046032</c:v>
                </c:pt>
                <c:pt idx="40">
                  <c:v>59.7056999117889</c:v>
                </c:pt>
                <c:pt idx="41">
                  <c:v>58.9052869565273</c:v>
                </c:pt>
                <c:pt idx="42">
                  <c:v>58.1048488354257</c:v>
                </c:pt>
                <c:pt idx="43">
                  <c:v>57.304133688487</c:v>
                </c:pt>
                <c:pt idx="44">
                  <c:v>56.5033322535892</c:v>
                </c:pt>
                <c:pt idx="45">
                  <c:v>55.7022546298718</c:v>
                </c:pt>
                <c:pt idx="46">
                  <c:v>54.9010272629682</c:v>
                </c:pt>
                <c:pt idx="47">
                  <c:v>54.099434296357</c:v>
                </c:pt>
                <c:pt idx="48">
                  <c:v>53.2976204001622</c:v>
                </c:pt>
                <c:pt idx="49">
                  <c:v>52.4953173328655</c:v>
                </c:pt>
                <c:pt idx="50">
                  <c:v>51.6925727320915</c:v>
                </c:pt>
                <c:pt idx="51">
                  <c:v>50.8891084656102</c:v>
                </c:pt>
                <c:pt idx="52">
                  <c:v>50.0850723218126</c:v>
                </c:pt>
                <c:pt idx="53">
                  <c:v>49.2803055257786</c:v>
                </c:pt>
                <c:pt idx="54">
                  <c:v>48.4751584256141</c:v>
                </c:pt>
                <c:pt idx="55">
                  <c:v>47.6680919553521</c:v>
                </c:pt>
                <c:pt idx="56">
                  <c:v>46.8600253475384</c:v>
                </c:pt>
                <c:pt idx="57">
                  <c:v>46.0501685851493</c:v>
                </c:pt>
                <c:pt idx="58">
                  <c:v>45.2388185903199</c:v>
                </c:pt>
                <c:pt idx="59">
                  <c:v>44.4250269386909</c:v>
                </c:pt>
                <c:pt idx="60">
                  <c:v>43.6088828545783</c:v>
                </c:pt>
                <c:pt idx="61">
                  <c:v>42.7898468413983</c:v>
                </c:pt>
                <c:pt idx="62">
                  <c:v>41.9670129873516</c:v>
                </c:pt>
                <c:pt idx="63">
                  <c:v>41.1406584223157</c:v>
                </c:pt>
                <c:pt idx="64">
                  <c:v>40.3095757034939</c:v>
                </c:pt>
                <c:pt idx="65">
                  <c:v>39.4735123122701</c:v>
                </c:pt>
                <c:pt idx="66">
                  <c:v>38.6318296870944</c:v>
                </c:pt>
                <c:pt idx="67">
                  <c:v>37.7841050803523</c:v>
                </c:pt>
                <c:pt idx="68">
                  <c:v>36.9296143995022</c:v>
                </c:pt>
                <c:pt idx="69">
                  <c:v>36.0682210465638</c:v>
                </c:pt>
                <c:pt idx="70">
                  <c:v>35.1995515204668</c:v>
                </c:pt>
                <c:pt idx="71">
                  <c:v>34.3237985020873</c:v>
                </c:pt>
                <c:pt idx="72">
                  <c:v>33.4410558436867</c:v>
                </c:pt>
                <c:pt idx="73">
                  <c:v>32.5521236969537</c:v>
                </c:pt>
                <c:pt idx="74">
                  <c:v>31.6576713500504</c:v>
                </c:pt>
                <c:pt idx="75">
                  <c:v>30.7590301934662</c:v>
                </c:pt>
                <c:pt idx="76">
                  <c:v>29.8574346022835</c:v>
                </c:pt>
                <c:pt idx="77">
                  <c:v>28.9547888408372</c:v>
                </c:pt>
                <c:pt idx="78">
                  <c:v>28.0527481346437</c:v>
                </c:pt>
                <c:pt idx="79">
                  <c:v>27.1535226773103</c:v>
                </c:pt>
                <c:pt idx="80">
                  <c:v>26.257103180438</c:v>
                </c:pt>
                <c:pt idx="81">
                  <c:v>25.3660269165188</c:v>
                </c:pt>
                <c:pt idx="82">
                  <c:v>24.4806831809644</c:v>
                </c:pt>
                <c:pt idx="83">
                  <c:v>23.602381784813</c:v>
                </c:pt>
                <c:pt idx="84">
                  <c:v>22.7308151922378</c:v>
                </c:pt>
                <c:pt idx="85">
                  <c:v>21.8665641804795</c:v>
                </c:pt>
                <c:pt idx="86">
                  <c:v>21.0093450336668</c:v>
                </c:pt>
                <c:pt idx="87">
                  <c:v>20.1583662928847</c:v>
                </c:pt>
                <c:pt idx="88">
                  <c:v>19.31397111123</c:v>
                </c:pt>
                <c:pt idx="89">
                  <c:v>18.4749246648069</c:v>
                </c:pt>
                <c:pt idx="90">
                  <c:v>17.6409473912197</c:v>
                </c:pt>
                <c:pt idx="91">
                  <c:v>16.8113527835011</c:v>
                </c:pt>
                <c:pt idx="92">
                  <c:v>15.9856467462028</c:v>
                </c:pt>
                <c:pt idx="93">
                  <c:v>15.1629996073434</c:v>
                </c:pt>
                <c:pt idx="94">
                  <c:v>14.9578543819041</c:v>
                </c:pt>
                <c:pt idx="95">
                  <c:v>14.8547061601648</c:v>
                </c:pt>
                <c:pt idx="96">
                  <c:v>14.7527764564488</c:v>
                </c:pt>
                <c:pt idx="97">
                  <c:v>14.6497148391092</c:v>
                </c:pt>
                <c:pt idx="98">
                  <c:v>14.5478685594979</c:v>
                </c:pt>
                <c:pt idx="99">
                  <c:v>14.4448635092059</c:v>
                </c:pt>
                <c:pt idx="100">
                  <c:v>14.3430713005594</c:v>
                </c:pt>
                <c:pt idx="101">
                  <c:v>14.2401727699219</c:v>
                </c:pt>
                <c:pt idx="102">
                  <c:v>14.1384833969129</c:v>
                </c:pt>
                <c:pt idx="103">
                  <c:v>14.0355884959415</c:v>
                </c:pt>
                <c:pt idx="104">
                  <c:v>13.9339014524224</c:v>
                </c:pt>
                <c:pt idx="105">
                  <c:v>13.8310632813807</c:v>
                </c:pt>
                <c:pt idx="106">
                  <c:v>13.7294304058768</c:v>
                </c:pt>
                <c:pt idx="107">
                  <c:v>13.6266981895791</c:v>
                </c:pt>
                <c:pt idx="108">
                  <c:v>13.5251675415929</c:v>
                </c:pt>
                <c:pt idx="109">
                  <c:v>13.4225173641627</c:v>
                </c:pt>
                <c:pt idx="110">
                  <c:v>13.3210655667071</c:v>
                </c:pt>
                <c:pt idx="111">
                  <c:v>13.2184086194325</c:v>
                </c:pt>
                <c:pt idx="112">
                  <c:v>13.116948902807</c:v>
                </c:pt>
                <c:pt idx="113">
                  <c:v>13.0143379733104</c:v>
                </c:pt>
                <c:pt idx="114">
                  <c:v>12.9129218762255</c:v>
                </c:pt>
                <c:pt idx="115">
                  <c:v>12.810341176528</c:v>
                </c:pt>
                <c:pt idx="116">
                  <c:v>12.7089532521402</c:v>
                </c:pt>
                <c:pt idx="117">
                  <c:v>12.6063893432158</c:v>
                </c:pt>
                <c:pt idx="118">
                  <c:v>12.5050164366276</c:v>
                </c:pt>
                <c:pt idx="119">
                  <c:v>12.4025198391042</c:v>
                </c:pt>
                <c:pt idx="120">
                  <c:v>12.3012112783212</c:v>
                </c:pt>
                <c:pt idx="121">
                  <c:v>12.1987684429556</c:v>
                </c:pt>
                <c:pt idx="122">
                  <c:v>12.0975109651907</c:v>
                </c:pt>
                <c:pt idx="123">
                  <c:v>11.9950513997009</c:v>
                </c:pt>
                <c:pt idx="124">
                  <c:v>11.8937761039138</c:v>
                </c:pt>
                <c:pt idx="125">
                  <c:v>11.79135186568</c:v>
                </c:pt>
                <c:pt idx="126">
                  <c:v>11.6901095796904</c:v>
                </c:pt>
                <c:pt idx="127">
                  <c:v>11.5877126595533</c:v>
                </c:pt>
                <c:pt idx="128">
                  <c:v>11.4864955247837</c:v>
                </c:pt>
                <c:pt idx="129">
                  <c:v>11.3841194956862</c:v>
                </c:pt>
                <c:pt idx="130">
                  <c:v>11.2829211966577</c:v>
                </c:pt>
                <c:pt idx="131">
                  <c:v>11.1805610770825</c:v>
                </c:pt>
                <c:pt idx="132">
                  <c:v>11.1298236655983</c:v>
                </c:pt>
                <c:pt idx="133">
                  <c:v>11.0793767080898</c:v>
                </c:pt>
                <c:pt idx="134">
                  <c:v>11.0280278717951</c:v>
                </c:pt>
                <c:pt idx="135">
                  <c:v>10.9769763005827</c:v>
                </c:pt>
                <c:pt idx="136">
                  <c:v>10.9262184668307</c:v>
                </c:pt>
                <c:pt idx="137">
                  <c:v>10.8757509052014</c:v>
                </c:pt>
                <c:pt idx="138">
                  <c:v>10.8244342219503</c:v>
                </c:pt>
                <c:pt idx="139">
                  <c:v>10.7734140029328</c:v>
                </c:pt>
                <c:pt idx="140">
                  <c:v>10.7226867341307</c:v>
                </c:pt>
                <c:pt idx="141">
                  <c:v>10.6722489634719</c:v>
                </c:pt>
                <c:pt idx="142">
                  <c:v>10.6209114771889</c:v>
                </c:pt>
                <c:pt idx="143">
                  <c:v>10.5698702532371</c:v>
                </c:pt>
                <c:pt idx="144">
                  <c:v>10.5191217804716</c:v>
                </c:pt>
                <c:pt idx="145">
                  <c:v>10.468662609608</c:v>
                </c:pt>
                <c:pt idx="146">
                  <c:v>10.4173304938395</c:v>
                </c:pt>
                <c:pt idx="147">
                  <c:v>10.3662941246478</c:v>
                </c:pt>
                <c:pt idx="148">
                  <c:v>10.3155499992113</c:v>
                </c:pt>
                <c:pt idx="149">
                  <c:v>10.2650946763553</c:v>
                </c:pt>
                <c:pt idx="150">
                  <c:v>10.2137681267462</c:v>
                </c:pt>
                <c:pt idx="151">
                  <c:v>10.162736792998</c:v>
                </c:pt>
                <c:pt idx="152">
                  <c:v>10.1119971807576</c:v>
                </c:pt>
                <c:pt idx="153">
                  <c:v>10.0615458571032</c:v>
                </c:pt>
                <c:pt idx="154">
                  <c:v>10.010201912723</c:v>
                </c:pt>
                <c:pt idx="155">
                  <c:v>9.95915290302043</c:v>
                </c:pt>
                <c:pt idx="156">
                  <c:v>9.90839533757189</c:v>
                </c:pt>
                <c:pt idx="157">
                  <c:v>9.85792578727453</c:v>
                </c:pt>
                <c:pt idx="158">
                  <c:v>9.80656698231588</c:v>
                </c:pt>
                <c:pt idx="159">
                  <c:v>9.75550278673176</c:v>
                </c:pt>
                <c:pt idx="160">
                  <c:v>9.70472971468317</c:v>
                </c:pt>
                <c:pt idx="161">
                  <c:v>9.65424434152743</c:v>
                </c:pt>
                <c:pt idx="162">
                  <c:v>9.60289593398804</c:v>
                </c:pt>
                <c:pt idx="163">
                  <c:v>9.55184150631041</c:v>
                </c:pt>
                <c:pt idx="164">
                  <c:v>9.50107758249209</c:v>
                </c:pt>
                <c:pt idx="165">
                  <c:v>9.45060074747904</c:v>
                </c:pt>
                <c:pt idx="166">
                  <c:v>9.3992201911416</c:v>
                </c:pt>
                <c:pt idx="167">
                  <c:v>9.34813345469664</c:v>
                </c:pt>
                <c:pt idx="168">
                  <c:v>9.29733706353902</c:v>
                </c:pt>
                <c:pt idx="169">
                  <c:v>9.24682760396217</c:v>
                </c:pt>
                <c:pt idx="170">
                  <c:v>9.195526996632</c:v>
                </c:pt>
                <c:pt idx="171">
                  <c:v>9.14451875590632</c:v>
                </c:pt>
                <c:pt idx="172">
                  <c:v>9.09379943129204</c:v>
                </c:pt>
                <c:pt idx="173">
                  <c:v>9.04336563261798</c:v>
                </c:pt>
                <c:pt idx="174">
                  <c:v>8.99195332055158</c:v>
                </c:pt>
                <c:pt idx="175">
                  <c:v>8.94083408426795</c:v>
                </c:pt>
                <c:pt idx="176">
                  <c:v>8.89000445904197</c:v>
                </c:pt>
                <c:pt idx="177">
                  <c:v>8.83946104078433</c:v>
                </c:pt>
                <c:pt idx="178">
                  <c:v>8.78796810458669</c:v>
                </c:pt>
                <c:pt idx="179">
                  <c:v>8.73676857828095</c:v>
                </c:pt>
                <c:pt idx="180">
                  <c:v>8.68585898937077</c:v>
                </c:pt>
                <c:pt idx="181">
                  <c:v>8.63523592616073</c:v>
                </c:pt>
                <c:pt idx="182">
                  <c:v>8.58389210419306</c:v>
                </c:pt>
                <c:pt idx="183">
                  <c:v>8.5328394006934</c:v>
                </c:pt>
                <c:pt idx="184">
                  <c:v>8.48207438165231</c:v>
                </c:pt>
                <c:pt idx="185">
                  <c:v>8.43159367295272</c:v>
                </c:pt>
                <c:pt idx="186">
                  <c:v>8.38001985909596</c:v>
                </c:pt>
                <c:pt idx="187">
                  <c:v>8.32873914575286</c:v>
                </c:pt>
                <c:pt idx="188">
                  <c:v>8.27774806171809</c:v>
                </c:pt>
                <c:pt idx="189">
                  <c:v>8.22704319652889</c:v>
                </c:pt>
                <c:pt idx="190">
                  <c:v>8.17566167617731</c:v>
                </c:pt>
                <c:pt idx="191">
                  <c:v>8.12457043846481</c:v>
                </c:pt>
                <c:pt idx="192">
                  <c:v>8.07376605967522</c:v>
                </c:pt>
                <c:pt idx="193">
                  <c:v>8.02324517571859</c:v>
                </c:pt>
                <c:pt idx="194">
                  <c:v>7.97169104851377</c:v>
                </c:pt>
                <c:pt idx="195">
                  <c:v>7.92042848426841</c:v>
                </c:pt>
                <c:pt idx="196">
                  <c:v>7.86945403417567</c:v>
                </c:pt>
                <c:pt idx="197">
                  <c:v>7.81876430962484</c:v>
                </c:pt>
                <c:pt idx="198">
                  <c:v>7.76725527244846</c:v>
                </c:pt>
                <c:pt idx="199">
                  <c:v>7.71603659863355</c:v>
                </c:pt>
                <c:pt idx="200">
                  <c:v>7.66510485793276</c:v>
                </c:pt>
                <c:pt idx="201">
                  <c:v>7.61445667985273</c:v>
                </c:pt>
                <c:pt idx="202">
                  <c:v>7.56301248246013</c:v>
                </c:pt>
                <c:pt idx="203">
                  <c:v>7.51185720697404</c:v>
                </c:pt>
                <c:pt idx="204">
                  <c:v>7.46098744579208</c:v>
                </c:pt>
                <c:pt idx="205">
                  <c:v>7.4103998505313</c:v>
                </c:pt>
                <c:pt idx="206">
                  <c:v>7.35886326722198</c:v>
                </c:pt>
                <c:pt idx="207">
                  <c:v>7.30761590125232</c:v>
                </c:pt>
                <c:pt idx="208">
                  <c:v>7.25665433683394</c:v>
                </c:pt>
                <c:pt idx="209">
                  <c:v>7.2059752175773</c:v>
                </c:pt>
                <c:pt idx="210">
                  <c:v>7.15420302073481</c:v>
                </c:pt>
                <c:pt idx="211">
                  <c:v>7.10272190888944</c:v>
                </c:pt>
                <c:pt idx="212">
                  <c:v>7.05152843001503</c:v>
                </c:pt>
                <c:pt idx="213">
                  <c:v>7.00061919231449</c:v>
                </c:pt>
                <c:pt idx="214">
                  <c:v>6.94898449328846</c:v>
                </c:pt>
                <c:pt idx="215">
                  <c:v>6.8976385385945</c:v>
                </c:pt>
                <c:pt idx="216">
                  <c:v>6.84657791428609</c:v>
                </c:pt>
                <c:pt idx="217">
                  <c:v>6.79579926575649</c:v>
                </c:pt>
                <c:pt idx="218">
                  <c:v>6.74415105525484</c:v>
                </c:pt>
                <c:pt idx="219">
                  <c:v>6.69279091146428</c:v>
                </c:pt>
                <c:pt idx="220">
                  <c:v>6.64171542888628</c:v>
                </c:pt>
                <c:pt idx="221">
                  <c:v>6.59092126116056</c:v>
                </c:pt>
                <c:pt idx="222">
                  <c:v>6.53928210685601</c:v>
                </c:pt>
                <c:pt idx="223">
                  <c:v>6.48793006079548</c:v>
                </c:pt>
                <c:pt idx="224">
                  <c:v>6.43686173070716</c:v>
                </c:pt>
                <c:pt idx="225">
                  <c:v>6.38607378314672</c:v>
                </c:pt>
                <c:pt idx="226">
                  <c:v>6.33430761621046</c:v>
                </c:pt>
                <c:pt idx="227">
                  <c:v>6.28282907450089</c:v>
                </c:pt>
                <c:pt idx="228">
                  <c:v>6.2316347526871</c:v>
                </c:pt>
                <c:pt idx="229">
                  <c:v>6.18072130456233</c:v>
                </c:pt>
                <c:pt idx="230">
                  <c:v>6.07728168018603</c:v>
                </c:pt>
                <c:pt idx="231">
                  <c:v>6.02599012041053</c:v>
                </c:pt>
                <c:pt idx="232">
                  <c:v>5.974979571995</c:v>
                </c:pt>
                <c:pt idx="233">
                  <c:v>5.92304574769201</c:v>
                </c:pt>
                <c:pt idx="234">
                  <c:v>5.87139950807795</c:v>
                </c:pt>
                <c:pt idx="235">
                  <c:v>5.82003744005279</c:v>
                </c:pt>
                <c:pt idx="236">
                  <c:v>5.76895618981597</c:v>
                </c:pt>
                <c:pt idx="237">
                  <c:v>5.71712451110627</c:v>
                </c:pt>
                <c:pt idx="238">
                  <c:v>5.66557829066424</c:v>
                </c:pt>
                <c:pt idx="239">
                  <c:v>5.61431414854451</c:v>
                </c:pt>
                <c:pt idx="240">
                  <c:v>5.56332876333649</c:v>
                </c:pt>
                <c:pt idx="241">
                  <c:v>5.5113258945217</c:v>
                </c:pt>
                <c:pt idx="242">
                  <c:v>5.45960932642576</c:v>
                </c:pt>
                <c:pt idx="243">
                  <c:v>5.40817565941534</c:v>
                </c:pt>
                <c:pt idx="244">
                  <c:v>5.35702155284763</c:v>
                </c:pt>
                <c:pt idx="245">
                  <c:v>5.3050193415429</c:v>
                </c:pt>
                <c:pt idx="246">
                  <c:v>5.25330234320483</c:v>
                </c:pt>
                <c:pt idx="247">
                  <c:v>5.20186717253472</c:v>
                </c:pt>
                <c:pt idx="248">
                  <c:v>5.15071050289624</c:v>
                </c:pt>
                <c:pt idx="249">
                  <c:v>5.09859146543677</c:v>
                </c:pt>
                <c:pt idx="250">
                  <c:v>5.04675779610269</c:v>
                </c:pt>
                <c:pt idx="251">
                  <c:v>4.99520610164014</c:v>
                </c:pt>
                <c:pt idx="252">
                  <c:v>4.94393304764615</c:v>
                </c:pt>
                <c:pt idx="253">
                  <c:v>4.89185899304106</c:v>
                </c:pt>
                <c:pt idx="254">
                  <c:v>4.84006865220214</c:v>
                </c:pt>
                <c:pt idx="255">
                  <c:v>4.78855865586186</c:v>
                </c:pt>
                <c:pt idx="256">
                  <c:v>4.73732569305768</c:v>
                </c:pt>
                <c:pt idx="257">
                  <c:v>4.68504993312107</c:v>
                </c:pt>
                <c:pt idx="258">
                  <c:v>4.63305886957053</c:v>
                </c:pt>
                <c:pt idx="259">
                  <c:v>4.58134911001198</c:v>
                </c:pt>
                <c:pt idx="260">
                  <c:v>4.52991732089747</c:v>
                </c:pt>
                <c:pt idx="261">
                  <c:v>4.4776007320645</c:v>
                </c:pt>
                <c:pt idx="262">
                  <c:v>4.42556802207742</c:v>
                </c:pt>
                <c:pt idx="263">
                  <c:v>4.37381580721143</c:v>
                </c:pt>
                <c:pt idx="264">
                  <c:v>4.32234076239793</c:v>
                </c:pt>
                <c:pt idx="265">
                  <c:v>4.27000490300906</c:v>
                </c:pt>
                <c:pt idx="266">
                  <c:v>4.21795182481812</c:v>
                </c:pt>
                <c:pt idx="267">
                  <c:v>4.1661781575473</c:v>
                </c:pt>
                <c:pt idx="268">
                  <c:v>4.11468058927854</c:v>
                </c:pt>
                <c:pt idx="269">
                  <c:v>4.06222190094157</c:v>
                </c:pt>
                <c:pt idx="270">
                  <c:v>4.01004596108165</c:v>
                </c:pt>
                <c:pt idx="271">
                  <c:v>3.95814939365358</c:v>
                </c:pt>
                <c:pt idx="272">
                  <c:v>3.90652888111918</c:v>
                </c:pt>
                <c:pt idx="273">
                  <c:v>3.85397339860892</c:v>
                </c:pt>
                <c:pt idx="274">
                  <c:v>3.80170029432192</c:v>
                </c:pt>
                <c:pt idx="275">
                  <c:v>3.7497061922234</c:v>
                </c:pt>
                <c:pt idx="276">
                  <c:v>3.69798777480191</c:v>
                </c:pt>
                <c:pt idx="277">
                  <c:v>3.64547778965192</c:v>
                </c:pt>
                <c:pt idx="278">
                  <c:v>3.59324823755252</c:v>
                </c:pt>
                <c:pt idx="279">
                  <c:v>3.54129577040516</c:v>
                </c:pt>
                <c:pt idx="280">
                  <c:v>3.48961709801195</c:v>
                </c:pt>
                <c:pt idx="281">
                  <c:v>3.436820175728</c:v>
                </c:pt>
                <c:pt idx="282">
                  <c:v>3.38430522843685</c:v>
                </c:pt>
                <c:pt idx="283">
                  <c:v>3.33206887336971</c:v>
                </c:pt>
                <c:pt idx="284">
                  <c:v>3.28010778647992</c:v>
                </c:pt>
                <c:pt idx="285">
                  <c:v>3.22739900107151</c:v>
                </c:pt>
                <c:pt idx="286">
                  <c:v>3.1749696799478</c:v>
                </c:pt>
                <c:pt idx="287">
                  <c:v>3.12281647801043</c:v>
                </c:pt>
                <c:pt idx="288">
                  <c:v>3.07093610803989</c:v>
                </c:pt>
                <c:pt idx="289">
                  <c:v>3.01799412593756</c:v>
                </c:pt>
                <c:pt idx="290">
                  <c:v>2.965332443188</c:v>
                </c:pt>
                <c:pt idx="291">
                  <c:v>2.91294769216916</c:v>
                </c:pt>
                <c:pt idx="292">
                  <c:v>2.860836563686</c:v>
                </c:pt>
                <c:pt idx="293">
                  <c:v>2.80780097555564</c:v>
                </c:pt>
                <c:pt idx="294">
                  <c:v>2.75504497619271</c:v>
                </c:pt>
                <c:pt idx="295">
                  <c:v>2.70256520292306</c:v>
                </c:pt>
                <c:pt idx="296">
                  <c:v>2.65035835141771</c:v>
                </c:pt>
                <c:pt idx="297">
                  <c:v>2.59725114481097</c:v>
                </c:pt>
                <c:pt idx="298">
                  <c:v>2.5444225207377</c:v>
                </c:pt>
                <c:pt idx="299">
                  <c:v>2.49186912657643</c:v>
                </c:pt>
                <c:pt idx="300">
                  <c:v>2.43958766785376</c:v>
                </c:pt>
                <c:pt idx="301">
                  <c:v>2.38642903945193</c:v>
                </c:pt>
                <c:pt idx="302">
                  <c:v>2.3335477132924</c:v>
                </c:pt>
                <c:pt idx="303">
                  <c:v>2.28094035154059</c:v>
                </c:pt>
                <c:pt idx="304">
                  <c:v>2.22860367420728</c:v>
                </c:pt>
                <c:pt idx="305">
                  <c:v>2.17520807033786</c:v>
                </c:pt>
                <c:pt idx="306">
                  <c:v>2.12209034771845</c:v>
                </c:pt>
                <c:pt idx="307">
                  <c:v>2.0692471495701</c:v>
                </c:pt>
                <c:pt idx="308">
                  <c:v>2.0166751774399</c:v>
                </c:pt>
                <c:pt idx="309">
                  <c:v>1.96327185846525</c:v>
                </c:pt>
                <c:pt idx="310">
                  <c:v>1.91014454680386</c:v>
                </c:pt>
                <c:pt idx="311">
                  <c:v>1.85728991078276</c:v>
                </c:pt>
                <c:pt idx="312">
                  <c:v>1.80470467652297</c:v>
                </c:pt>
                <c:pt idx="313">
                  <c:v>1.75111285079018</c:v>
                </c:pt>
                <c:pt idx="314">
                  <c:v>1.69779695403767</c:v>
                </c:pt>
                <c:pt idx="315">
                  <c:v>1.64475364707737</c:v>
                </c:pt>
                <c:pt idx="316">
                  <c:v>1.5919796487399</c:v>
                </c:pt>
                <c:pt idx="317">
                  <c:v>1.53822476304063</c:v>
                </c:pt>
                <c:pt idx="318">
                  <c:v>1.48474538307173</c:v>
                </c:pt>
                <c:pt idx="319">
                  <c:v>1.4315381681405</c:v>
                </c:pt>
                <c:pt idx="320">
                  <c:v>1.37859983566421</c:v>
                </c:pt>
                <c:pt idx="321">
                  <c:v>1.32470534921613</c:v>
                </c:pt>
                <c:pt idx="322">
                  <c:v>1.27108562345675</c:v>
                </c:pt>
                <c:pt idx="323">
                  <c:v>1.21773732183041</c:v>
                </c:pt>
                <c:pt idx="324">
                  <c:v>1.16465716585634</c:v>
                </c:pt>
                <c:pt idx="325">
                  <c:v>1.11064464162633</c:v>
                </c:pt>
                <c:pt idx="326">
                  <c:v>1.05690583394737</c:v>
                </c:pt>
                <c:pt idx="327">
                  <c:v>1.00343741567101</c:v>
                </c:pt>
                <c:pt idx="328">
                  <c:v>0.950236117572973</c:v>
                </c:pt>
                <c:pt idx="329">
                  <c:v>0.896035056544685</c:v>
                </c:pt>
                <c:pt idx="330">
                  <c:v>0.842107297178993</c:v>
                </c:pt>
                <c:pt idx="331">
                  <c:v>0.788449510136639</c:v>
                </c:pt>
                <c:pt idx="332">
                  <c:v>0.735058424125351</c:v>
                </c:pt>
                <c:pt idx="333">
                  <c:v>0.680780702439507</c:v>
                </c:pt>
                <c:pt idx="334">
                  <c:v>0.626774659658035</c:v>
                </c:pt>
                <c:pt idx="335">
                  <c:v>0.573036986116995</c:v>
                </c:pt>
                <c:pt idx="336">
                  <c:v>0.519564429821732</c:v>
                </c:pt>
                <c:pt idx="337">
                  <c:v>0.465052874687173</c:v>
                </c:pt>
                <c:pt idx="338">
                  <c:v>0.410812861564881</c:v>
                </c:pt>
                <c:pt idx="339">
                  <c:v>0.356841073266923</c:v>
                </c:pt>
                <c:pt idx="340">
                  <c:v>0.303134250533741</c:v>
                </c:pt>
                <c:pt idx="341">
                  <c:v>0.248413780694125</c:v>
                </c:pt>
                <c:pt idx="342">
                  <c:v>0.19396437039886</c:v>
                </c:pt>
                <c:pt idx="343">
                  <c:v>0.139782701100496</c:v>
                </c:pt>
                <c:pt idx="344">
                  <c:v>0.0858655123030695</c:v>
                </c:pt>
                <c:pt idx="345">
                  <c:v>0.0310424208170353</c:v>
                </c:pt>
                <c:pt idx="346">
                  <c:v>-0.0235112324113777</c:v>
                </c:pt>
                <c:pt idx="347">
                  <c:v>-0.0777987465155617</c:v>
                </c:pt>
                <c:pt idx="348">
                  <c:v>-0.131823362930851</c:v>
                </c:pt>
                <c:pt idx="349">
                  <c:v>-0.186896387843054</c:v>
                </c:pt>
                <c:pt idx="350">
                  <c:v>-0.241700240354532</c:v>
                </c:pt>
                <c:pt idx="351">
                  <c:v>-0.296238225060941</c:v>
                </c:pt>
                <c:pt idx="352">
                  <c:v>-0.350513588627109</c:v>
                </c:pt>
                <c:pt idx="353">
                  <c:v>-0.405812478620162</c:v>
                </c:pt>
                <c:pt idx="354">
                  <c:v>-0.460842799677025</c:v>
                </c:pt>
                <c:pt idx="355">
                  <c:v>-0.515607855722652</c:v>
                </c:pt>
                <c:pt idx="356">
                  <c:v>-0.570110892652696</c:v>
                </c:pt>
                <c:pt idx="357">
                  <c:v>-0.625534890079641</c:v>
                </c:pt>
                <c:pt idx="358">
                  <c:v>-0.680691990754323</c:v>
                </c:pt>
                <c:pt idx="359">
                  <c:v>-0.735585478258409</c:v>
                </c:pt>
                <c:pt idx="360">
                  <c:v>-0.790218578498225</c:v>
                </c:pt>
                <c:pt idx="361">
                  <c:v>-0.845906223681195</c:v>
                </c:pt>
                <c:pt idx="362">
                  <c:v>-0.901327405579834</c:v>
                </c:pt>
                <c:pt idx="363">
                  <c:v>-0.956485410180768</c:v>
                </c:pt>
                <c:pt idx="364">
                  <c:v>-1.01138346560872</c:v>
                </c:pt>
                <c:pt idx="365">
                  <c:v>-1.06723610153719</c:v>
                </c:pt>
                <c:pt idx="366">
                  <c:v>-1.12282374859608</c:v>
                </c:pt>
                <c:pt idx="367">
                  <c:v>-1.17814967591153</c:v>
                </c:pt>
                <c:pt idx="368">
                  <c:v>-1.23321709500372</c:v>
                </c:pt>
                <c:pt idx="369">
                  <c:v>-1.28936650101444</c:v>
                </c:pt>
                <c:pt idx="370">
                  <c:v>-1.34525124352902</c:v>
                </c:pt>
                <c:pt idx="371">
                  <c:v>-1.40087459590302</c:v>
                </c:pt>
                <c:pt idx="372">
                  <c:v>-1.45623977363859</c:v>
                </c:pt>
                <c:pt idx="373">
                  <c:v>-1.51258955707477</c:v>
                </c:pt>
                <c:pt idx="374">
                  <c:v>-1.56867601336744</c:v>
                </c:pt>
                <c:pt idx="375">
                  <c:v>-1.624502401261</c:v>
                </c:pt>
                <c:pt idx="376">
                  <c:v>-1.68007192183198</c:v>
                </c:pt>
                <c:pt idx="377">
                  <c:v>-1.73674770784601</c:v>
                </c:pt>
                <c:pt idx="378">
                  <c:v>-1.79316043482271</c:v>
                </c:pt>
                <c:pt idx="379">
                  <c:v>-1.84931336647196</c:v>
                </c:pt>
                <c:pt idx="380">
                  <c:v>-1.90520970855081</c:v>
                </c:pt>
                <c:pt idx="381">
                  <c:v>-1.96204722652249</c:v>
                </c:pt>
                <c:pt idx="382">
                  <c:v>-2.01862357612953</c:v>
                </c:pt>
                <c:pt idx="383">
                  <c:v>-2.07494199570432</c:v>
                </c:pt>
                <c:pt idx="384">
                  <c:v>-2.13100566604776</c:v>
                </c:pt>
                <c:pt idx="385">
                  <c:v>-2.18819774102</c:v>
                </c:pt>
                <c:pt idx="386">
                  <c:v>-2.24512886729145</c:v>
                </c:pt>
                <c:pt idx="387">
                  <c:v>-2.30180228850134</c:v>
                </c:pt>
                <c:pt idx="388">
                  <c:v>-2.35822119044304</c:v>
                </c:pt>
                <c:pt idx="389">
                  <c:v>-2.41567619922272</c:v>
                </c:pt>
                <c:pt idx="390">
                  <c:v>-2.47287142405054</c:v>
                </c:pt>
                <c:pt idx="391">
                  <c:v>-2.5298100959618</c:v>
                </c:pt>
                <c:pt idx="392">
                  <c:v>-2.58649538824502</c:v>
                </c:pt>
                <c:pt idx="393">
                  <c:v>-2.6441950215477</c:v>
                </c:pt>
                <c:pt idx="394">
                  <c:v>-2.70163629653286</c:v>
                </c:pt>
                <c:pt idx="395">
                  <c:v>-2.7588224263347</c:v>
                </c:pt>
                <c:pt idx="396">
                  <c:v>-2.81575656655578</c:v>
                </c:pt>
                <c:pt idx="397">
                  <c:v>-2.87381492137463</c:v>
                </c:pt>
                <c:pt idx="398">
                  <c:v>-2.93161542512346</c:v>
                </c:pt>
                <c:pt idx="399">
                  <c:v>-2.98916128962253</c:v>
                </c:pt>
                <c:pt idx="400">
                  <c:v>-3.04645566896965</c:v>
                </c:pt>
                <c:pt idx="401">
                  <c:v>-3.10478653779047</c:v>
                </c:pt>
                <c:pt idx="402">
                  <c:v>-3.16286093113849</c:v>
                </c:pt>
                <c:pt idx="403">
                  <c:v>-3.22068204278884</c:v>
                </c:pt>
                <c:pt idx="404">
                  <c:v>-3.27825300899239</c:v>
                </c:pt>
                <c:pt idx="405">
                  <c:v>-3.33690270406528</c:v>
                </c:pt>
                <c:pt idx="406">
                  <c:v>-3.3952969871186</c:v>
                </c:pt>
                <c:pt idx="407">
                  <c:v>-3.45343903905123</c:v>
                </c:pt>
                <c:pt idx="408">
                  <c:v>-3.51133198330203</c:v>
                </c:pt>
                <c:pt idx="409">
                  <c:v>-3.57034402653201</c:v>
                </c:pt>
                <c:pt idx="410">
                  <c:v>-3.62910144362275</c:v>
                </c:pt>
                <c:pt idx="411">
                  <c:v>-3.68760740705412</c:v>
                </c:pt>
                <c:pt idx="412">
                  <c:v>-3.74586503179193</c:v>
                </c:pt>
                <c:pt idx="413">
                  <c:v>-3.80521935116835</c:v>
                </c:pt>
                <c:pt idx="414">
                  <c:v>-3.86432010325151</c:v>
                </c:pt>
                <c:pt idx="415">
                  <c:v>-3.92317044622649</c:v>
                </c:pt>
                <c:pt idx="416">
                  <c:v>-3.98177348084199</c:v>
                </c:pt>
                <c:pt idx="417">
                  <c:v>-4.04151165441262</c:v>
                </c:pt>
                <c:pt idx="418">
                  <c:v>-4.10099706190227</c:v>
                </c:pt>
                <c:pt idx="419">
                  <c:v>-4.16023285112684</c:v>
                </c:pt>
                <c:pt idx="420">
                  <c:v>-4.21922211243741</c:v>
                </c:pt>
                <c:pt idx="421">
                  <c:v>-4.27926535675613</c:v>
                </c:pt>
                <c:pt idx="422">
                  <c:v>-4.33905739043066</c:v>
                </c:pt>
                <c:pt idx="423">
                  <c:v>-4.3986013359186</c:v>
                </c:pt>
                <c:pt idx="424">
                  <c:v>-4.45790025854008</c:v>
                </c:pt>
                <c:pt idx="425">
                  <c:v>-4.51840731422775</c:v>
                </c:pt>
                <c:pt idx="426">
                  <c:v>-4.57866347745359</c:v>
                </c:pt>
                <c:pt idx="427">
                  <c:v>-4.63867186728631</c:v>
                </c:pt>
                <c:pt idx="428">
                  <c:v>-4.69843554543909</c:v>
                </c:pt>
                <c:pt idx="429">
                  <c:v>-4.75932695518103</c:v>
                </c:pt>
                <c:pt idx="430">
                  <c:v>-4.81996854439826</c:v>
                </c:pt>
                <c:pt idx="431">
                  <c:v>-4.88036341363228</c:v>
                </c:pt>
                <c:pt idx="432">
                  <c:v>-4.94051460621162</c:v>
                </c:pt>
                <c:pt idx="433">
                  <c:v>-5.00177245520155</c:v>
                </c:pt>
                <c:pt idx="434">
                  <c:v>-5.06278177953023</c:v>
                </c:pt>
                <c:pt idx="435">
                  <c:v>-5.12354565586317</c:v>
                </c:pt>
                <c:pt idx="436">
                  <c:v>-5.18406710392065</c:v>
                </c:pt>
                <c:pt idx="437">
                  <c:v>-5.24578542431296</c:v>
                </c:pt>
                <c:pt idx="438">
                  <c:v>-5.30725583181599</c:v>
                </c:pt>
                <c:pt idx="439">
                  <c:v>-5.36848139059675</c:v>
                </c:pt>
                <c:pt idx="440">
                  <c:v>-5.42946510785691</c:v>
                </c:pt>
                <c:pt idx="441">
                  <c:v>-5.49162357967165</c:v>
                </c:pt>
                <c:pt idx="442">
                  <c:v>-5.55353499432474</c:v>
                </c:pt>
                <c:pt idx="443">
                  <c:v>-5.61520239758506</c:v>
                </c:pt>
                <c:pt idx="444">
                  <c:v>-5.67662877837696</c:v>
                </c:pt>
                <c:pt idx="445">
                  <c:v>-5.73920861771586</c:v>
                </c:pt>
                <c:pt idx="446">
                  <c:v>-5.80154247332148</c:v>
                </c:pt>
                <c:pt idx="447">
                  <c:v>-5.86363336710458</c:v>
                </c:pt>
                <c:pt idx="448">
                  <c:v>-5.92548426438249</c:v>
                </c:pt>
                <c:pt idx="449">
                  <c:v>-5.98857349559698</c:v>
                </c:pt>
                <c:pt idx="450">
                  <c:v>-6.05141719266451</c:v>
                </c:pt>
                <c:pt idx="451">
                  <c:v>-6.11401836355473</c:v>
                </c:pt>
                <c:pt idx="452">
                  <c:v>-6.17637995964553</c:v>
                </c:pt>
                <c:pt idx="453">
                  <c:v>-6.23990582432041</c:v>
                </c:pt>
                <c:pt idx="454">
                  <c:v>-6.30318723269618</c:v>
                </c:pt>
                <c:pt idx="455">
                  <c:v>-6.36622716567953</c:v>
                </c:pt>
                <c:pt idx="456">
                  <c:v>-6.42902854791398</c:v>
                </c:pt>
                <c:pt idx="457">
                  <c:v>-6.49307619278978</c:v>
                </c:pt>
                <c:pt idx="458">
                  <c:v>-6.55687985815185</c:v>
                </c:pt>
                <c:pt idx="459">
                  <c:v>-6.62044250713075</c:v>
                </c:pt>
                <c:pt idx="460">
                  <c:v>-6.68376704669079</c:v>
                </c:pt>
                <c:pt idx="461">
                  <c:v>-6.74831606277289</c:v>
                </c:pt>
                <c:pt idx="462">
                  <c:v>-6.81262178479464</c:v>
                </c:pt>
                <c:pt idx="463">
                  <c:v>-6.87668715255499</c:v>
                </c:pt>
                <c:pt idx="464">
                  <c:v>-6.94051504992469</c:v>
                </c:pt>
                <c:pt idx="465">
                  <c:v>-7.00559598152743</c:v>
                </c:pt>
                <c:pt idx="466">
                  <c:v>-7.07043411918407</c:v>
                </c:pt>
                <c:pt idx="467">
                  <c:v>-7.13503238089962</c:v>
                </c:pt>
                <c:pt idx="468">
                  <c:v>-7.19939362895528</c:v>
                </c:pt>
                <c:pt idx="469">
                  <c:v>-7.26498650815397</c:v>
                </c:pt>
                <c:pt idx="470">
                  <c:v>-7.33033727931988</c:v>
                </c:pt>
                <c:pt idx="471">
                  <c:v>-7.39544883347935</c:v>
                </c:pt>
                <c:pt idx="472">
                  <c:v>-7.46032400627983</c:v>
                </c:pt>
                <c:pt idx="473">
                  <c:v>-7.52650642542067</c:v>
                </c:pt>
                <c:pt idx="474">
                  <c:v>-7.5924468827171</c:v>
                </c:pt>
                <c:pt idx="475">
                  <c:v>-7.6581482499491</c:v>
                </c:pt>
                <c:pt idx="476">
                  <c:v>-7.72361334367519</c:v>
                </c:pt>
                <c:pt idx="477">
                  <c:v>-7.7903635981377</c:v>
                </c:pt>
                <c:pt idx="478">
                  <c:v>-7.85687222538264</c:v>
                </c:pt>
                <c:pt idx="479">
                  <c:v>-7.92314207263115</c:v>
                </c:pt>
                <c:pt idx="480">
                  <c:v>-7.98917593218987</c:v>
                </c:pt>
                <c:pt idx="481">
                  <c:v>-8.05647357431393</c:v>
                </c:pt>
                <c:pt idx="482">
                  <c:v>-8.1235300873611</c:v>
                </c:pt>
                <c:pt idx="483">
                  <c:v>-8.19034828920463</c:v>
                </c:pt>
                <c:pt idx="484">
                  <c:v>-8.25693094324911</c:v>
                </c:pt>
                <c:pt idx="485">
                  <c:v>-8.32480279613119</c:v>
                </c:pt>
                <c:pt idx="486">
                  <c:v>-8.39243383214804</c:v>
                </c:pt>
                <c:pt idx="487">
                  <c:v>-8.45982684119804</c:v>
                </c:pt>
                <c:pt idx="488">
                  <c:v>-8.52698455914235</c:v>
                </c:pt>
                <c:pt idx="489">
                  <c:v>-8.59550139355148</c:v>
                </c:pt>
                <c:pt idx="490">
                  <c:v>-8.66377722732061</c:v>
                </c:pt>
                <c:pt idx="491">
                  <c:v>-8.7318148290267</c:v>
                </c:pt>
                <c:pt idx="492">
                  <c:v>-8.79961691349366</c:v>
                </c:pt>
                <c:pt idx="493">
                  <c:v>-8.86875581394534</c:v>
                </c:pt>
                <c:pt idx="494">
                  <c:v>-8.93765369277494</c:v>
                </c:pt>
                <c:pt idx="495">
                  <c:v>-9.00631329250087</c:v>
                </c:pt>
                <c:pt idx="496">
                  <c:v>-9.07473730232111</c:v>
                </c:pt>
                <c:pt idx="497">
                  <c:v>-9.14452070453176</c:v>
                </c:pt>
                <c:pt idx="498">
                  <c:v>-9.21406289962822</c:v>
                </c:pt>
                <c:pt idx="499">
                  <c:v>-9.28336660501581</c:v>
                </c:pt>
                <c:pt idx="500">
                  <c:v>-9.35243448521955</c:v>
                </c:pt>
                <c:pt idx="501">
                  <c:v>-9.42288343879965</c:v>
                </c:pt>
                <c:pt idx="502">
                  <c:v>-9.49309084091632</c:v>
                </c:pt>
                <c:pt idx="503">
                  <c:v>-9.56305938473167</c:v>
                </c:pt>
                <c:pt idx="504">
                  <c:v>-9.63279171098037</c:v>
                </c:pt>
                <c:pt idx="505">
                  <c:v>-9.70388288017759</c:v>
                </c:pt>
                <c:pt idx="506">
                  <c:v>-9.77473229141238</c:v>
                </c:pt>
                <c:pt idx="507">
                  <c:v>-9.84534260962664</c:v>
                </c:pt>
                <c:pt idx="508">
                  <c:v>-9.9157164479311</c:v>
                </c:pt>
                <c:pt idx="509">
                  <c:v>-9.9874699548749</c:v>
                </c:pt>
                <c:pt idx="510">
                  <c:v>-10.0589813297057</c:v>
                </c:pt>
                <c:pt idx="511">
                  <c:v>-10.1302532103926</c:v>
                </c:pt>
                <c:pt idx="512">
                  <c:v>-10.2012881836809</c:v>
                </c:pt>
                <c:pt idx="513">
                  <c:v>-10.2737646963444</c:v>
                </c:pt>
                <c:pt idx="514">
                  <c:v>-10.3459982610621</c:v>
                </c:pt>
                <c:pt idx="515">
                  <c:v>-10.4179914945672</c:v>
                </c:pt>
                <c:pt idx="516">
                  <c:v>-10.4897469628788</c:v>
                </c:pt>
                <c:pt idx="517">
                  <c:v>-10.5629209342349</c:v>
                </c:pt>
                <c:pt idx="518">
                  <c:v>-10.6358512765589</c:v>
                </c:pt>
                <c:pt idx="519">
                  <c:v>-10.7085405818541</c:v>
                </c:pt>
                <c:pt idx="520">
                  <c:v>-10.780991392063</c:v>
                </c:pt>
                <c:pt idx="521">
                  <c:v>-10.8548790309223</c:v>
                </c:pt>
                <c:pt idx="522">
                  <c:v>-10.9285222079437</c:v>
                </c:pt>
                <c:pt idx="523">
                  <c:v>-11.0019234917309</c:v>
                </c:pt>
                <c:pt idx="524">
                  <c:v>-11.0750854015036</c:v>
                </c:pt>
                <c:pt idx="525">
                  <c:v>-11.1497016667116</c:v>
                </c:pt>
                <c:pt idx="526">
                  <c:v>-11.2240724910564</c:v>
                </c:pt>
                <c:pt idx="527">
                  <c:v>-11.298200421153</c:v>
                </c:pt>
                <c:pt idx="528">
                  <c:v>-11.3720879549382</c:v>
                </c:pt>
                <c:pt idx="529">
                  <c:v>-11.4474465880194</c:v>
                </c:pt>
                <c:pt idx="530">
                  <c:v>-11.5225586607264</c:v>
                </c:pt>
                <c:pt idx="531">
                  <c:v>-11.5974266992083</c:v>
                </c:pt>
                <c:pt idx="532">
                  <c:v>-11.6720531816704</c:v>
                </c:pt>
                <c:pt idx="533">
                  <c:v>-11.7482059702594</c:v>
                </c:pt>
                <c:pt idx="534">
                  <c:v>-11.8241106899716</c:v>
                </c:pt>
                <c:pt idx="535">
                  <c:v>-11.8997698519967</c:v>
                </c:pt>
                <c:pt idx="536">
                  <c:v>-11.9751859202501</c:v>
                </c:pt>
                <c:pt idx="537">
                  <c:v>-12.0520653055901</c:v>
                </c:pt>
                <c:pt idx="538">
                  <c:v>-12.1286955002245</c:v>
                </c:pt>
                <c:pt idx="539">
                  <c:v>-12.2050789944109</c:v>
                </c:pt>
                <c:pt idx="540">
                  <c:v>-12.2812182320301</c:v>
                </c:pt>
                <c:pt idx="541">
                  <c:v>-12.3589124820668</c:v>
                </c:pt>
                <c:pt idx="542">
                  <c:v>-12.4363557933705</c:v>
                </c:pt>
                <c:pt idx="543">
                  <c:v>-12.5135506448485</c:v>
                </c:pt>
                <c:pt idx="544">
                  <c:v>-12.5904994697747</c:v>
                </c:pt>
                <c:pt idx="545">
                  <c:v>-12.6689785968493</c:v>
                </c:pt>
                <c:pt idx="546">
                  <c:v>-12.7472051800222</c:v>
                </c:pt>
                <c:pt idx="547">
                  <c:v>-12.8251816852469</c:v>
                </c:pt>
                <c:pt idx="548">
                  <c:v>-12.9029105337158</c:v>
                </c:pt>
                <c:pt idx="549">
                  <c:v>-12.9821827482516</c:v>
                </c:pt>
                <c:pt idx="550">
                  <c:v>-13.0612007105698</c:v>
                </c:pt>
                <c:pt idx="551">
                  <c:v>-13.139966876128</c:v>
                </c:pt>
                <c:pt idx="552">
                  <c:v>-13.2184836565292</c:v>
                </c:pt>
                <c:pt idx="553">
                  <c:v>-13.298592972418</c:v>
                </c:pt>
                <c:pt idx="554">
                  <c:v>-13.3784460005443</c:v>
                </c:pt>
                <c:pt idx="555">
                  <c:v>-13.458045191932</c:v>
                </c:pt>
                <c:pt idx="556">
                  <c:v>-13.5373929546123</c:v>
                </c:pt>
                <c:pt idx="557">
                  <c:v>-13.6990371829891</c:v>
                </c:pt>
                <c:pt idx="558">
                  <c:v>-13.8596575962577</c:v>
                </c:pt>
                <c:pt idx="559">
                  <c:v>-14.0229202665368</c:v>
                </c:pt>
                <c:pt idx="560">
                  <c:v>-14.1851513808136</c:v>
                </c:pt>
                <c:pt idx="561">
                  <c:v>-14.3501829374209</c:v>
                </c:pt>
                <c:pt idx="562">
                  <c:v>-14.5141732296244</c:v>
                </c:pt>
                <c:pt idx="563">
                  <c:v>-14.6806275351668</c:v>
                </c:pt>
                <c:pt idx="564">
                  <c:v>-14.8460351846436</c:v>
                </c:pt>
                <c:pt idx="565">
                  <c:v>-15.0145462563415</c:v>
                </c:pt>
                <c:pt idx="566">
                  <c:v>-15.1819973674855</c:v>
                </c:pt>
                <c:pt idx="567">
                  <c:v>-15.3524870250362</c:v>
                </c:pt>
                <c:pt idx="568">
                  <c:v>-15.5219045390485</c:v>
                </c:pt>
                <c:pt idx="569">
                  <c:v>-15.6936262424716</c:v>
                </c:pt>
                <c:pt idx="570">
                  <c:v>-15.8642731531531</c:v>
                </c:pt>
                <c:pt idx="571">
                  <c:v>-16.0385057025066</c:v>
                </c:pt>
                <c:pt idx="572">
                  <c:v>-16.2116451413599</c:v>
                </c:pt>
                <c:pt idx="573">
                  <c:v>-16.3869850579132</c:v>
                </c:pt>
                <c:pt idx="574">
                  <c:v>-16.5612314944108</c:v>
                </c:pt>
                <c:pt idx="575">
                  <c:v>-16.7389305770056</c:v>
                </c:pt>
                <c:pt idx="576">
                  <c:v>-16.915520776185</c:v>
                </c:pt>
                <c:pt idx="577">
                  <c:v>-17.6513149840145</c:v>
                </c:pt>
                <c:pt idx="578">
                  <c:v>-18.3690889618553</c:v>
                </c:pt>
                <c:pt idx="579">
                  <c:v>-19.8855794644096</c:v>
                </c:pt>
                <c:pt idx="580">
                  <c:v>-21.4735327518266</c:v>
                </c:pt>
                <c:pt idx="581">
                  <c:v>-23.1407314248106</c:v>
                </c:pt>
                <c:pt idx="582">
                  <c:v>-24.9059721269908</c:v>
                </c:pt>
                <c:pt idx="583">
                  <c:v>-26.8007994604609</c:v>
                </c:pt>
                <c:pt idx="584">
                  <c:v>-28.8905376022138</c:v>
                </c:pt>
                <c:pt idx="585">
                  <c:v>-31.3061864310982</c:v>
                </c:pt>
                <c:pt idx="586">
                  <c:v>-34.3472408699181</c:v>
                </c:pt>
                <c:pt idx="587">
                  <c:v>-38.8073926796229</c:v>
                </c:pt>
                <c:pt idx="588">
                  <c:v>-47.8369378091013</c:v>
                </c:pt>
                <c:pt idx="589">
                  <c:v>-52.6319693661093</c:v>
                </c:pt>
                <c:pt idx="590">
                  <c:v>-43.8689454522904</c:v>
                </c:pt>
                <c:pt idx="591">
                  <c:v>-42.0579250324278</c:v>
                </c:pt>
                <c:pt idx="592">
                  <c:v>-42.2750533391461</c:v>
                </c:pt>
                <c:pt idx="593">
                  <c:v>-43.4912639766326</c:v>
                </c:pt>
                <c:pt idx="594">
                  <c:v>-45.5954360934078</c:v>
                </c:pt>
                <c:pt idx="595">
                  <c:v>-49.7042585735374</c:v>
                </c:pt>
                <c:pt idx="596">
                  <c:v>-68.0566366531215</c:v>
                </c:pt>
                <c:pt idx="597">
                  <c:v>-53.803579626999</c:v>
                </c:pt>
                <c:pt idx="598">
                  <c:v>-51.6712650395611</c:v>
                </c:pt>
                <c:pt idx="599">
                  <c:v>-53.0630206139053</c:v>
                </c:pt>
                <c:pt idx="600">
                  <c:v>-59.3210835645821</c:v>
                </c:pt>
              </c:numCache>
            </c:numRef>
          </c:yVal>
          <c:smooth val="0"/>
        </c:ser>
        <c:dLbls>
          <c:showLegendKey val="0"/>
          <c:showVal val="0"/>
          <c:showCatName val="0"/>
          <c:showSerName val="0"/>
          <c:showPercent val="0"/>
          <c:showBubbleSize val="0"/>
        </c:dLbls>
        <c:axId val="560664576"/>
        <c:axId val="560666496"/>
      </c:scatterChart>
      <c:scatterChart>
        <c:scatterStyle val="line"/>
        <c:varyColors val="0"/>
        <c:ser>
          <c:idx val="1"/>
          <c:order val="1"/>
          <c:tx>
            <c:strRef>
              <c:f>'Stability Calculations'!$Y$12</c:f>
              <c:strCache>
                <c:ptCount val="1"/>
                <c:pt idx="0">
                  <c:v>Phase Margin (°)</c:v>
                </c:pt>
              </c:strCache>
            </c:strRef>
          </c:tx>
          <c:spPr>
            <a:ln w="25400" cap="rnd" cmpd="sng" algn="ctr">
              <a:solidFill>
                <a:srgbClr val="0000FF"/>
              </a:solidFill>
              <a:prstDash val="solid"/>
              <a:round/>
            </a:ln>
          </c:spPr>
          <c:marker>
            <c:symbol val="none"/>
          </c:marker>
          <c:dLbls>
            <c:delete val="1"/>
          </c:dLbls>
          <c:xVal>
            <c:numRef>
              <c:f>'Stability Calculations'!$G$13:$G$613</c:f>
              <c:numCache>
                <c:formatCode>General</c:formatCode>
                <c:ptCount val="601"/>
                <c:pt idx="0">
                  <c:v>0.1</c:v>
                </c:pt>
                <c:pt idx="1">
                  <c:v>1.0965</c:v>
                </c:pt>
                <c:pt idx="2">
                  <c:v>1.2023</c:v>
                </c:pt>
                <c:pt idx="3">
                  <c:v>1.3183</c:v>
                </c:pt>
                <c:pt idx="4">
                  <c:v>1.4454</c:v>
                </c:pt>
                <c:pt idx="5">
                  <c:v>1.5849</c:v>
                </c:pt>
                <c:pt idx="6">
                  <c:v>1.7378</c:v>
                </c:pt>
                <c:pt idx="7">
                  <c:v>1.9055</c:v>
                </c:pt>
                <c:pt idx="8">
                  <c:v>2.0893</c:v>
                </c:pt>
                <c:pt idx="9">
                  <c:v>2.2909</c:v>
                </c:pt>
                <c:pt idx="10">
                  <c:v>2.5119</c:v>
                </c:pt>
                <c:pt idx="11">
                  <c:v>2.7542</c:v>
                </c:pt>
                <c:pt idx="12">
                  <c:v>3.02</c:v>
                </c:pt>
                <c:pt idx="13">
                  <c:v>3.3113</c:v>
                </c:pt>
                <c:pt idx="14">
                  <c:v>3.6308</c:v>
                </c:pt>
                <c:pt idx="15">
                  <c:v>3.9811</c:v>
                </c:pt>
                <c:pt idx="16">
                  <c:v>4.3652</c:v>
                </c:pt>
                <c:pt idx="17">
                  <c:v>4.7863</c:v>
                </c:pt>
                <c:pt idx="18">
                  <c:v>5.2481</c:v>
                </c:pt>
                <c:pt idx="19">
                  <c:v>5.7544</c:v>
                </c:pt>
                <c:pt idx="20">
                  <c:v>6.3096</c:v>
                </c:pt>
                <c:pt idx="21">
                  <c:v>6.9183</c:v>
                </c:pt>
                <c:pt idx="22">
                  <c:v>7.5858</c:v>
                </c:pt>
                <c:pt idx="23">
                  <c:v>8.3176</c:v>
                </c:pt>
                <c:pt idx="24">
                  <c:v>9.1201</c:v>
                </c:pt>
                <c:pt idx="25">
                  <c:v>10</c:v>
                </c:pt>
                <c:pt idx="26">
                  <c:v>10.965</c:v>
                </c:pt>
                <c:pt idx="27">
                  <c:v>12.023</c:v>
                </c:pt>
                <c:pt idx="28">
                  <c:v>13.183</c:v>
                </c:pt>
                <c:pt idx="29">
                  <c:v>14.454</c:v>
                </c:pt>
                <c:pt idx="30">
                  <c:v>15.849</c:v>
                </c:pt>
                <c:pt idx="31">
                  <c:v>17.378</c:v>
                </c:pt>
                <c:pt idx="32">
                  <c:v>19.055</c:v>
                </c:pt>
                <c:pt idx="33">
                  <c:v>20.893</c:v>
                </c:pt>
                <c:pt idx="34">
                  <c:v>22.909</c:v>
                </c:pt>
                <c:pt idx="35">
                  <c:v>25.119</c:v>
                </c:pt>
                <c:pt idx="36">
                  <c:v>27.542</c:v>
                </c:pt>
                <c:pt idx="37">
                  <c:v>30.2</c:v>
                </c:pt>
                <c:pt idx="38">
                  <c:v>33.113</c:v>
                </c:pt>
                <c:pt idx="39">
                  <c:v>36.308</c:v>
                </c:pt>
                <c:pt idx="40">
                  <c:v>39.811</c:v>
                </c:pt>
                <c:pt idx="41">
                  <c:v>43.652</c:v>
                </c:pt>
                <c:pt idx="42">
                  <c:v>47.863</c:v>
                </c:pt>
                <c:pt idx="43">
                  <c:v>52.481</c:v>
                </c:pt>
                <c:pt idx="44">
                  <c:v>57.544</c:v>
                </c:pt>
                <c:pt idx="45">
                  <c:v>63.096</c:v>
                </c:pt>
                <c:pt idx="46">
                  <c:v>69.183</c:v>
                </c:pt>
                <c:pt idx="47">
                  <c:v>75.858</c:v>
                </c:pt>
                <c:pt idx="48">
                  <c:v>83.176</c:v>
                </c:pt>
                <c:pt idx="49">
                  <c:v>91.201</c:v>
                </c:pt>
                <c:pt idx="50">
                  <c:v>100</c:v>
                </c:pt>
                <c:pt idx="51">
                  <c:v>109.65</c:v>
                </c:pt>
                <c:pt idx="52">
                  <c:v>120.23</c:v>
                </c:pt>
                <c:pt idx="53">
                  <c:v>131.83</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524.81</c:v>
                </c:pt>
                <c:pt idx="69">
                  <c:v>575.44</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c:v>
                </c:pt>
                <c:pt idx="132">
                  <c:v>8270.275</c:v>
                </c:pt>
                <c:pt idx="133">
                  <c:v>8317.6</c:v>
                </c:pt>
                <c:pt idx="134">
                  <c:v>8366.05</c:v>
                </c:pt>
                <c:pt idx="135">
                  <c:v>8414.5</c:v>
                </c:pt>
                <c:pt idx="136">
                  <c:v>8462.95</c:v>
                </c:pt>
                <c:pt idx="137">
                  <c:v>8511.4</c:v>
                </c:pt>
                <c:pt idx="138">
                  <c:v>8560.95</c:v>
                </c:pt>
                <c:pt idx="139">
                  <c:v>8610.5</c:v>
                </c:pt>
                <c:pt idx="140">
                  <c:v>8660.05</c:v>
                </c:pt>
                <c:pt idx="141">
                  <c:v>8709.6</c:v>
                </c:pt>
                <c:pt idx="142">
                  <c:v>8760.325</c:v>
                </c:pt>
                <c:pt idx="143">
                  <c:v>8811.05</c:v>
                </c:pt>
                <c:pt idx="144">
                  <c:v>8861.775</c:v>
                </c:pt>
                <c:pt idx="145">
                  <c:v>8912.5</c:v>
                </c:pt>
                <c:pt idx="146">
                  <c:v>8964.4</c:v>
                </c:pt>
                <c:pt idx="147">
                  <c:v>9016.3</c:v>
                </c:pt>
                <c:pt idx="148">
                  <c:v>9068.2</c:v>
                </c:pt>
                <c:pt idx="149">
                  <c:v>9120.1</c:v>
                </c:pt>
                <c:pt idx="150">
                  <c:v>9173.2</c:v>
                </c:pt>
                <c:pt idx="151">
                  <c:v>9226.3</c:v>
                </c:pt>
                <c:pt idx="152">
                  <c:v>9279.4</c:v>
                </c:pt>
                <c:pt idx="153">
                  <c:v>9332.5</c:v>
                </c:pt>
                <c:pt idx="154">
                  <c:v>9386.85</c:v>
                </c:pt>
                <c:pt idx="155">
                  <c:v>9441.2</c:v>
                </c:pt>
                <c:pt idx="156">
                  <c:v>9495.55</c:v>
                </c:pt>
                <c:pt idx="157">
                  <c:v>9549.9</c:v>
                </c:pt>
                <c:pt idx="158">
                  <c:v>9605.525</c:v>
                </c:pt>
                <c:pt idx="159">
                  <c:v>9661.15</c:v>
                </c:pt>
                <c:pt idx="160">
                  <c:v>9716.775</c:v>
                </c:pt>
                <c:pt idx="161">
                  <c:v>9772.4</c:v>
                </c:pt>
                <c:pt idx="162">
                  <c:v>9829.3</c:v>
                </c:pt>
                <c:pt idx="163">
                  <c:v>9886.2</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Calculations'!$X$13:$X$613</c:f>
              <c:numCache>
                <c:formatCode>0.00</c:formatCode>
                <c:ptCount val="601"/>
                <c:pt idx="0">
                  <c:v>-10.2583940304103</c:v>
                </c:pt>
                <c:pt idx="1">
                  <c:v>-63.2677267476509</c:v>
                </c:pt>
                <c:pt idx="2">
                  <c:v>-65.3314355715933</c:v>
                </c:pt>
                <c:pt idx="3">
                  <c:v>-67.2752378778067</c:v>
                </c:pt>
                <c:pt idx="4">
                  <c:v>-69.0966539196283</c:v>
                </c:pt>
                <c:pt idx="5">
                  <c:v>-70.7994085930445</c:v>
                </c:pt>
                <c:pt idx="6">
                  <c:v>-72.3834291059896</c:v>
                </c:pt>
                <c:pt idx="7">
                  <c:v>-73.8535593473091</c:v>
                </c:pt>
                <c:pt idx="8">
                  <c:v>-75.2135062276631</c:v>
                </c:pt>
                <c:pt idx="9">
                  <c:v>-76.4697426607311</c:v>
                </c:pt>
                <c:pt idx="10">
                  <c:v>-77.627374529029</c:v>
                </c:pt>
                <c:pt idx="11">
                  <c:v>-78.6926687502908</c:v>
                </c:pt>
                <c:pt idx="12">
                  <c:v>-79.6722486098234</c:v>
                </c:pt>
                <c:pt idx="13">
                  <c:v>-80.5712148524131</c:v>
                </c:pt>
                <c:pt idx="14">
                  <c:v>-81.3961838041182</c:v>
                </c:pt>
                <c:pt idx="15">
                  <c:v>-82.1524612822818</c:v>
                </c:pt>
                <c:pt idx="16">
                  <c:v>-82.8454954049407</c:v>
                </c:pt>
                <c:pt idx="17">
                  <c:v>-83.480284089317</c:v>
                </c:pt>
                <c:pt idx="18">
                  <c:v>-84.0617883590232</c:v>
                </c:pt>
                <c:pt idx="19">
                  <c:v>-84.5943172210182</c:v>
                </c:pt>
                <c:pt idx="20">
                  <c:v>-85.0821432126447</c:v>
                </c:pt>
                <c:pt idx="21">
                  <c:v>-85.5290373013518</c:v>
                </c:pt>
                <c:pt idx="22">
                  <c:v>-85.9386826448497</c:v>
                </c:pt>
                <c:pt idx="23">
                  <c:v>-86.3142992926699</c:v>
                </c:pt>
                <c:pt idx="24">
                  <c:v>-86.6590531545296</c:v>
                </c:pt>
                <c:pt idx="25">
                  <c:v>-86.9757224923126</c:v>
                </c:pt>
                <c:pt idx="26">
                  <c:v>-87.266994048743</c:v>
                </c:pt>
                <c:pt idx="27">
                  <c:v>-87.5351920567416</c:v>
                </c:pt>
                <c:pt idx="28">
                  <c:v>-87.782570297363</c:v>
                </c:pt>
                <c:pt idx="29">
                  <c:v>-88.0110659405393</c:v>
                </c:pt>
                <c:pt idx="30">
                  <c:v>-88.2229743957145</c:v>
                </c:pt>
                <c:pt idx="31">
                  <c:v>-88.4197644339868</c:v>
                </c:pt>
                <c:pt idx="32">
                  <c:v>-88.6032294355527</c:v>
                </c:pt>
                <c:pt idx="33">
                  <c:v>-88.7747871525049</c:v>
                </c:pt>
                <c:pt idx="34">
                  <c:v>-88.9360191239447</c:v>
                </c:pt>
                <c:pt idx="35">
                  <c:v>-89.0881932342215</c:v>
                </c:pt>
                <c:pt idx="36">
                  <c:v>-89.2326211297028</c:v>
                </c:pt>
                <c:pt idx="37">
                  <c:v>-89.3705958145959</c:v>
                </c:pt>
                <c:pt idx="38">
                  <c:v>-89.5031496859599</c:v>
                </c:pt>
                <c:pt idx="39">
                  <c:v>-89.6315086325947</c:v>
                </c:pt>
                <c:pt idx="40">
                  <c:v>-89.7567028825979</c:v>
                </c:pt>
                <c:pt idx="41">
                  <c:v>-89.8797950689983</c:v>
                </c:pt>
                <c:pt idx="42">
                  <c:v>-90.0017992579727</c:v>
                </c:pt>
                <c:pt idx="43">
                  <c:v>-90.1237691637596</c:v>
                </c:pt>
                <c:pt idx="44">
                  <c:v>-90.2466845171205</c:v>
                </c:pt>
                <c:pt idx="45">
                  <c:v>-90.3715836193862</c:v>
                </c:pt>
                <c:pt idx="46">
                  <c:v>-90.4994621259093</c:v>
                </c:pt>
                <c:pt idx="47">
                  <c:v>-90.6313819041804</c:v>
                </c:pt>
                <c:pt idx="48">
                  <c:v>-90.7683626511707</c:v>
                </c:pt>
                <c:pt idx="49">
                  <c:v>-90.9115138546566</c:v>
                </c:pt>
                <c:pt idx="50">
                  <c:v>-91.0619136130539</c:v>
                </c:pt>
                <c:pt idx="51">
                  <c:v>-91.2207242715301</c:v>
                </c:pt>
                <c:pt idx="52">
                  <c:v>-91.3890459531778</c:v>
                </c:pt>
                <c:pt idx="53">
                  <c:v>-91.5680516767416</c:v>
                </c:pt>
                <c:pt idx="54">
                  <c:v>-91.7587969758251</c:v>
                </c:pt>
                <c:pt idx="55">
                  <c:v>-91.9627885249643</c:v>
                </c:pt>
                <c:pt idx="56">
                  <c:v>-92.1809102180861</c:v>
                </c:pt>
                <c:pt idx="57">
                  <c:v>-92.4144164711397</c:v>
                </c:pt>
                <c:pt idx="58">
                  <c:v>-92.6641596843818</c:v>
                </c:pt>
                <c:pt idx="59">
                  <c:v>-92.9312180386584</c:v>
                </c:pt>
                <c:pt idx="60">
                  <c:v>-93.2161347452865</c:v>
                </c:pt>
                <c:pt idx="61">
                  <c:v>-93.5193613279682</c:v>
                </c:pt>
                <c:pt idx="62">
                  <c:v>-93.8411195390655</c:v>
                </c:pt>
                <c:pt idx="63">
                  <c:v>-94.1806721737592</c:v>
                </c:pt>
                <c:pt idx="64">
                  <c:v>-94.5372571518506</c:v>
                </c:pt>
                <c:pt idx="65">
                  <c:v>-94.9089841100594</c:v>
                </c:pt>
                <c:pt idx="66">
                  <c:v>-95.2932633922164</c:v>
                </c:pt>
                <c:pt idx="67">
                  <c:v>-95.6864518655737</c:v>
                </c:pt>
                <c:pt idx="68">
                  <c:v>-96.0840369235098</c:v>
                </c:pt>
                <c:pt idx="69">
                  <c:v>-96.4802379565205</c:v>
                </c:pt>
                <c:pt idx="70">
                  <c:v>-96.8684961031409</c:v>
                </c:pt>
                <c:pt idx="71">
                  <c:v>-97.241333967864</c:v>
                </c:pt>
                <c:pt idx="72">
                  <c:v>-97.591003494583</c:v>
                </c:pt>
                <c:pt idx="73">
                  <c:v>-97.909627451518</c:v>
                </c:pt>
                <c:pt idx="74">
                  <c:v>-98.1900944857427</c:v>
                </c:pt>
                <c:pt idx="75">
                  <c:v>-98.4263764348786</c:v>
                </c:pt>
                <c:pt idx="76">
                  <c:v>-98.6143361169201</c:v>
                </c:pt>
                <c:pt idx="77">
                  <c:v>-98.7520025501441</c:v>
                </c:pt>
                <c:pt idx="78">
                  <c:v>-98.8400532654077</c:v>
                </c:pt>
                <c:pt idx="79">
                  <c:v>-98.8817568496446</c:v>
                </c:pt>
                <c:pt idx="80">
                  <c:v>-98.8828526481922</c:v>
                </c:pt>
                <c:pt idx="81">
                  <c:v>-98.8510107888484</c:v>
                </c:pt>
                <c:pt idx="82">
                  <c:v>-98.7954078652963</c:v>
                </c:pt>
                <c:pt idx="83">
                  <c:v>-98.7261598929869</c:v>
                </c:pt>
                <c:pt idx="84">
                  <c:v>-98.6536065785934</c:v>
                </c:pt>
                <c:pt idx="85">
                  <c:v>-98.5880128127896</c:v>
                </c:pt>
                <c:pt idx="86">
                  <c:v>-98.5390683869973</c:v>
                </c:pt>
                <c:pt idx="87">
                  <c:v>-98.5157250861428</c:v>
                </c:pt>
                <c:pt idx="88">
                  <c:v>-98.5261299187788</c:v>
                </c:pt>
                <c:pt idx="89">
                  <c:v>-98.5775781815122</c:v>
                </c:pt>
                <c:pt idx="90">
                  <c:v>-98.6766093888422</c:v>
                </c:pt>
                <c:pt idx="91">
                  <c:v>-98.8291501838534</c:v>
                </c:pt>
                <c:pt idx="92">
                  <c:v>-99.0406241889868</c:v>
                </c:pt>
                <c:pt idx="93">
                  <c:v>-99.3162491611819</c:v>
                </c:pt>
                <c:pt idx="94">
                  <c:v>-99.3957293079718</c:v>
                </c:pt>
                <c:pt idx="95">
                  <c:v>-99.4373723442647</c:v>
                </c:pt>
                <c:pt idx="96">
                  <c:v>-99.4796417858253</c:v>
                </c:pt>
                <c:pt idx="97">
                  <c:v>-99.5235215618127</c:v>
                </c:pt>
                <c:pt idx="98">
                  <c:v>-99.5680213958658</c:v>
                </c:pt>
                <c:pt idx="99">
                  <c:v>-99.6141882963829</c:v>
                </c:pt>
                <c:pt idx="100">
                  <c:v>-99.6609688654426</c:v>
                </c:pt>
                <c:pt idx="101">
                  <c:v>-99.7094377274261</c:v>
                </c:pt>
                <c:pt idx="102">
                  <c:v>-99.758512911281</c:v>
                </c:pt>
                <c:pt idx="103">
                  <c:v>-99.8093703258046</c:v>
                </c:pt>
                <c:pt idx="104">
                  <c:v>-99.8608275785958</c:v>
                </c:pt>
                <c:pt idx="105">
                  <c:v>-99.9140880787921</c:v>
                </c:pt>
                <c:pt idx="106">
                  <c:v>-99.9679409970345</c:v>
                </c:pt>
                <c:pt idx="107">
                  <c:v>-100.023616316054</c:v>
                </c:pt>
                <c:pt idx="108">
                  <c:v>-100.079875793336</c:v>
                </c:pt>
                <c:pt idx="109">
                  <c:v>-100.138014838112</c:v>
                </c:pt>
                <c:pt idx="110">
                  <c:v>-100.196729807816</c:v>
                </c:pt>
                <c:pt idx="111">
                  <c:v>-100.257422698194</c:v>
                </c:pt>
                <c:pt idx="112">
                  <c:v>-100.318684031723</c:v>
                </c:pt>
                <c:pt idx="113">
                  <c:v>-100.381941848072</c:v>
                </c:pt>
                <c:pt idx="114">
                  <c:v>-100.445759821996</c:v>
                </c:pt>
                <c:pt idx="115">
                  <c:v>-100.511633106234</c:v>
                </c:pt>
                <c:pt idx="116">
                  <c:v>-100.578058240033</c:v>
                </c:pt>
                <c:pt idx="117">
                  <c:v>-100.646597932655</c:v>
                </c:pt>
                <c:pt idx="118">
                  <c:v>-100.715681131618</c:v>
                </c:pt>
                <c:pt idx="119">
                  <c:v>-100.78689514415</c:v>
                </c:pt>
                <c:pt idx="120">
                  <c:v>-100.858643635367</c:v>
                </c:pt>
                <c:pt idx="121">
                  <c:v>-100.932581574399</c:v>
                </c:pt>
                <c:pt idx="122">
                  <c:v>-101.007044978604</c:v>
                </c:pt>
                <c:pt idx="123">
                  <c:v>-101.083801379621</c:v>
                </c:pt>
                <c:pt idx="124">
                  <c:v>-101.161074824225</c:v>
                </c:pt>
                <c:pt idx="125">
                  <c:v>-101.240656466856</c:v>
                </c:pt>
                <c:pt idx="126">
                  <c:v>-101.320746093479</c:v>
                </c:pt>
                <c:pt idx="127">
                  <c:v>-101.403203316899</c:v>
                </c:pt>
                <c:pt idx="128">
                  <c:v>-101.486159451458</c:v>
                </c:pt>
                <c:pt idx="129">
                  <c:v>-101.571542745671</c:v>
                </c:pt>
                <c:pt idx="130">
                  <c:v>-101.657415858078</c:v>
                </c:pt>
                <c:pt idx="131">
                  <c:v>-101.74577581243</c:v>
                </c:pt>
                <c:pt idx="132">
                  <c:v>-101.790137022777</c:v>
                </c:pt>
                <c:pt idx="133">
                  <c:v>-101.834616466385</c:v>
                </c:pt>
                <c:pt idx="134">
                  <c:v>-101.880273772315</c:v>
                </c:pt>
                <c:pt idx="135">
                  <c:v>-101.92605102553</c:v>
                </c:pt>
                <c:pt idx="136">
                  <c:v>-101.971946276377</c:v>
                </c:pt>
                <c:pt idx="137">
                  <c:v>-102.017957614719</c:v>
                </c:pt>
                <c:pt idx="138">
                  <c:v>-102.06513170673</c:v>
                </c:pt>
                <c:pt idx="139">
                  <c:v>-102.11242329858</c:v>
                </c:pt>
                <c:pt idx="140">
                  <c:v>-102.159830469021</c:v>
                </c:pt>
                <c:pt idx="141">
                  <c:v>-102.207351335905</c:v>
                </c:pt>
                <c:pt idx="142">
                  <c:v>-102.25611493272</c:v>
                </c:pt>
                <c:pt idx="143">
                  <c:v>-102.304993811858</c:v>
                </c:pt>
                <c:pt idx="144">
                  <c:v>-102.353986075168</c:v>
                </c:pt>
                <c:pt idx="145">
                  <c:v>-102.403089863332</c:v>
                </c:pt>
                <c:pt idx="146">
                  <c:v>-102.453444627804</c:v>
                </c:pt>
                <c:pt idx="147">
                  <c:v>-102.503912326025</c:v>
                </c:pt>
                <c:pt idx="148">
                  <c:v>-102.554491086413</c:v>
                </c:pt>
                <c:pt idx="149">
                  <c:v>-102.605179075825</c:v>
                </c:pt>
                <c:pt idx="150">
                  <c:v>-102.657150215851</c:v>
                </c:pt>
                <c:pt idx="151">
                  <c:v>-102.709231931271</c:v>
                </c:pt>
                <c:pt idx="152">
                  <c:v>-102.761422377544</c:v>
                </c:pt>
                <c:pt idx="153">
                  <c:v>-102.813719748148</c:v>
                </c:pt>
                <c:pt idx="154">
                  <c:v>-102.867357107419</c:v>
                </c:pt>
                <c:pt idx="155">
                  <c:v>-102.92110277259</c:v>
                </c:pt>
                <c:pt idx="156">
                  <c:v>-102.97495492411</c:v>
                </c:pt>
                <c:pt idx="157">
                  <c:v>-103.028911780075</c:v>
                </c:pt>
                <c:pt idx="158">
                  <c:v>-103.084241009902</c:v>
                </c:pt>
                <c:pt idx="159">
                  <c:v>-103.139676254284</c:v>
                </c:pt>
                <c:pt idx="160">
                  <c:v>-103.195215719302</c:v>
                </c:pt>
                <c:pt idx="161">
                  <c:v>-103.250857648284</c:v>
                </c:pt>
                <c:pt idx="162">
                  <c:v>-103.307879185743</c:v>
                </c:pt>
                <c:pt idx="163">
                  <c:v>-103.365004335106</c:v>
                </c:pt>
                <c:pt idx="164">
                  <c:v>-103.42223133098</c:v>
                </c:pt>
                <c:pt idx="165">
                  <c:v>-103.479558444727</c:v>
                </c:pt>
                <c:pt idx="166">
                  <c:v>-103.53834763402</c:v>
                </c:pt>
                <c:pt idx="167">
                  <c:v>-103.597238196001</c:v>
                </c:pt>
                <c:pt idx="168">
                  <c:v>-103.656228389657</c:v>
                </c:pt>
                <c:pt idx="169">
                  <c:v>-103.71531651034</c:v>
                </c:pt>
                <c:pt idx="170">
                  <c:v>-103.77577198269</c:v>
                </c:pt>
                <c:pt idx="171">
                  <c:v>-103.836326146664</c:v>
                </c:pt>
                <c:pt idx="172">
                  <c:v>-103.896977296991</c:v>
                </c:pt>
                <c:pt idx="173">
                  <c:v>-103.957723764031</c:v>
                </c:pt>
                <c:pt idx="174">
                  <c:v>-104.020098894715</c:v>
                </c:pt>
                <c:pt idx="175">
                  <c:v>-104.082570765488</c:v>
                </c:pt>
                <c:pt idx="176">
                  <c:v>-104.145137687887</c:v>
                </c:pt>
                <c:pt idx="177">
                  <c:v>-104.207798008871</c:v>
                </c:pt>
                <c:pt idx="178">
                  <c:v>-104.272094336999</c:v>
                </c:pt>
                <c:pt idx="179">
                  <c:v>-104.33648531026</c:v>
                </c:pt>
                <c:pt idx="180">
                  <c:v>-104.400969260381</c:v>
                </c:pt>
                <c:pt idx="181">
                  <c:v>-104.4655445542</c:v>
                </c:pt>
                <c:pt idx="182">
                  <c:v>-104.53150379809</c:v>
                </c:pt>
                <c:pt idx="183">
                  <c:v>-104.597554751323</c:v>
                </c:pt>
                <c:pt idx="184">
                  <c:v>-104.66369578781</c:v>
                </c:pt>
                <c:pt idx="185">
                  <c:v>-104.729925315621</c:v>
                </c:pt>
                <c:pt idx="186">
                  <c:v>-104.798063439277</c:v>
                </c:pt>
                <c:pt idx="187">
                  <c:v>-104.866291679067</c:v>
                </c:pt>
                <c:pt idx="188">
                  <c:v>-104.934608415162</c:v>
                </c:pt>
                <c:pt idx="189">
                  <c:v>-105.003012061944</c:v>
                </c:pt>
                <c:pt idx="190">
                  <c:v>-105.072808929217</c:v>
                </c:pt>
                <c:pt idx="191">
                  <c:v>-105.142692835762</c:v>
                </c:pt>
                <c:pt idx="192">
                  <c:v>-105.212662207375</c:v>
                </c:pt>
                <c:pt idx="193">
                  <c:v>-105.282715502992</c:v>
                </c:pt>
                <c:pt idx="194">
                  <c:v>-105.354691072953</c:v>
                </c:pt>
                <c:pt idx="195">
                  <c:v>-105.426751840104</c:v>
                </c:pt>
                <c:pt idx="196">
                  <c:v>-105.498896242145</c:v>
                </c:pt>
                <c:pt idx="197">
                  <c:v>-105.571122749786</c:v>
                </c:pt>
                <c:pt idx="198">
                  <c:v>-105.645014124165</c:v>
                </c:pt>
                <c:pt idx="199">
                  <c:v>-105.718988112113</c:v>
                </c:pt>
                <c:pt idx="200">
                  <c:v>-105.793043182888</c:v>
                </c:pt>
                <c:pt idx="201">
                  <c:v>-105.867177838056</c:v>
                </c:pt>
                <c:pt idx="202">
                  <c:v>-105.942981728597</c:v>
                </c:pt>
                <c:pt idx="203">
                  <c:v>-106.018865590074</c:v>
                </c:pt>
                <c:pt idx="204">
                  <c:v>-106.094827924571</c:v>
                </c:pt>
                <c:pt idx="205">
                  <c:v>-106.170867265737</c:v>
                </c:pt>
                <c:pt idx="206">
                  <c:v>-106.248846065843</c:v>
                </c:pt>
                <c:pt idx="207">
                  <c:v>-106.326902670581</c:v>
                </c:pt>
                <c:pt idx="208">
                  <c:v>-106.405035600917</c:v>
                </c:pt>
                <c:pt idx="209">
                  <c:v>-106.483243409015</c:v>
                </c:pt>
                <c:pt idx="210">
                  <c:v>-106.563663066957</c:v>
                </c:pt>
                <c:pt idx="211">
                  <c:v>-106.644158747285</c:v>
                </c:pt>
                <c:pt idx="212">
                  <c:v>-106.724728977727</c:v>
                </c:pt>
                <c:pt idx="213">
                  <c:v>-106.805372317168</c:v>
                </c:pt>
                <c:pt idx="214">
                  <c:v>-106.887697011792</c:v>
                </c:pt>
                <c:pt idx="215">
                  <c:v>-106.970094826393</c:v>
                </c:pt>
                <c:pt idx="216">
                  <c:v>-107.052564326811</c:v>
                </c:pt>
                <c:pt idx="217">
                  <c:v>-107.135104109122</c:v>
                </c:pt>
                <c:pt idx="218">
                  <c:v>-107.219597177444</c:v>
                </c:pt>
                <c:pt idx="219">
                  <c:v>-107.304160891741</c:v>
                </c:pt>
                <c:pt idx="220">
                  <c:v>-107.388793842785</c:v>
                </c:pt>
                <c:pt idx="221">
                  <c:v>-107.473494651015</c:v>
                </c:pt>
                <c:pt idx="222">
                  <c:v>-107.560152430563</c:v>
                </c:pt>
                <c:pt idx="223">
                  <c:v>-107.646878302287</c:v>
                </c:pt>
                <c:pt idx="224">
                  <c:v>-107.733670883305</c:v>
                </c:pt>
                <c:pt idx="225">
                  <c:v>-107.820528819772</c:v>
                </c:pt>
                <c:pt idx="226">
                  <c:v>-107.909617872152</c:v>
                </c:pt>
                <c:pt idx="227">
                  <c:v>-107.99877278858</c:v>
                </c:pt>
                <c:pt idx="228">
                  <c:v>-108.087992201349</c:v>
                </c:pt>
                <c:pt idx="229">
                  <c:v>-108.177274771466</c:v>
                </c:pt>
                <c:pt idx="230">
                  <c:v>-108.360373651473</c:v>
                </c:pt>
                <c:pt idx="231">
                  <c:v>-108.45201700796</c:v>
                </c:pt>
                <c:pt idx="232">
                  <c:v>-108.543721203272</c:v>
                </c:pt>
                <c:pt idx="233">
                  <c:v>-108.637664023718</c:v>
                </c:pt>
                <c:pt idx="234">
                  <c:v>-108.731667889408</c:v>
                </c:pt>
                <c:pt idx="235">
                  <c:v>-108.82573146919</c:v>
                </c:pt>
                <c:pt idx="236">
                  <c:v>-108.919853459775</c:v>
                </c:pt>
                <c:pt idx="237">
                  <c:v>-109.015944048402</c:v>
                </c:pt>
                <c:pt idx="238">
                  <c:v>-109.112092786589</c:v>
                </c:pt>
                <c:pt idx="239">
                  <c:v>-109.20829837496</c:v>
                </c:pt>
                <c:pt idx="240">
                  <c:v>-109.304559541174</c:v>
                </c:pt>
                <c:pt idx="241">
                  <c:v>-109.403338352846</c:v>
                </c:pt>
                <c:pt idx="242">
                  <c:v>-109.502172994172</c:v>
                </c:pt>
                <c:pt idx="243">
                  <c:v>-109.60106217657</c:v>
                </c:pt>
                <c:pt idx="244">
                  <c:v>-109.700004638244</c:v>
                </c:pt>
                <c:pt idx="245">
                  <c:v>-109.801193507656</c:v>
                </c:pt>
                <c:pt idx="246">
                  <c:v>-109.902435460548</c:v>
                </c:pt>
                <c:pt idx="247">
                  <c:v>-110.003729231478</c:v>
                </c:pt>
                <c:pt idx="248">
                  <c:v>-110.105073581188</c:v>
                </c:pt>
                <c:pt idx="249">
                  <c:v>-110.208940919946</c:v>
                </c:pt>
                <c:pt idx="250">
                  <c:v>-110.31285878339</c:v>
                </c:pt>
                <c:pt idx="251">
                  <c:v>-110.416825920231</c:v>
                </c:pt>
                <c:pt idx="252">
                  <c:v>-110.520841104992</c:v>
                </c:pt>
                <c:pt idx="253">
                  <c:v>-110.627106005988</c:v>
                </c:pt>
                <c:pt idx="254">
                  <c:v>-110.733418506654</c:v>
                </c:pt>
                <c:pt idx="255">
                  <c:v>-110.8397773809</c:v>
                </c:pt>
                <c:pt idx="256">
                  <c:v>-110.946181427767</c:v>
                </c:pt>
                <c:pt idx="257">
                  <c:v>-111.055387766331</c:v>
                </c:pt>
                <c:pt idx="258">
                  <c:v>-111.164639165898</c:v>
                </c:pt>
                <c:pt idx="259">
                  <c:v>-111.273934407755</c:v>
                </c:pt>
                <c:pt idx="260">
                  <c:v>-111.383272298108</c:v>
                </c:pt>
                <c:pt idx="261">
                  <c:v>-111.495138035202</c:v>
                </c:pt>
                <c:pt idx="262">
                  <c:v>-111.607045932551</c:v>
                </c:pt>
                <c:pt idx="263">
                  <c:v>-111.718994789633</c:v>
                </c:pt>
                <c:pt idx="264">
                  <c:v>-111.830983430327</c:v>
                </c:pt>
                <c:pt idx="265">
                  <c:v>-111.94550062727</c:v>
                </c:pt>
                <c:pt idx="266">
                  <c:v>-112.060056985566</c:v>
                </c:pt>
                <c:pt idx="267">
                  <c:v>-112.174651323752</c:v>
                </c:pt>
                <c:pt idx="268">
                  <c:v>-112.289282484214</c:v>
                </c:pt>
                <c:pt idx="269">
                  <c:v>-112.406719495282</c:v>
                </c:pt>
                <c:pt idx="270">
                  <c:v>-112.524192745114</c:v>
                </c:pt>
                <c:pt idx="271">
                  <c:v>-112.64170106379</c:v>
                </c:pt>
                <c:pt idx="272">
                  <c:v>-112.759243304883</c:v>
                </c:pt>
                <c:pt idx="273">
                  <c:v>-112.879591727933</c:v>
                </c:pt>
                <c:pt idx="274">
                  <c:v>-112.999973334436</c:v>
                </c:pt>
                <c:pt idx="275">
                  <c:v>-113.120386967285</c:v>
                </c:pt>
                <c:pt idx="276">
                  <c:v>-113.240831492462</c:v>
                </c:pt>
                <c:pt idx="277">
                  <c:v>-113.363804420891</c:v>
                </c:pt>
                <c:pt idx="278">
                  <c:v>-113.486807219438</c:v>
                </c:pt>
                <c:pt idx="279">
                  <c:v>-113.609838752489</c:v>
                </c:pt>
                <c:pt idx="280">
                  <c:v>-113.732897906873</c:v>
                </c:pt>
                <c:pt idx="281">
                  <c:v>-113.859318099664</c:v>
                </c:pt>
                <c:pt idx="282">
                  <c:v>-113.985765120179</c:v>
                </c:pt>
                <c:pt idx="283">
                  <c:v>-114.112237832277</c:v>
                </c:pt>
                <c:pt idx="284">
                  <c:v>-114.238735122183</c:v>
                </c:pt>
                <c:pt idx="285">
                  <c:v>-114.367758736189</c:v>
                </c:pt>
                <c:pt idx="286">
                  <c:v>-114.496805638902</c:v>
                </c:pt>
                <c:pt idx="287">
                  <c:v>-114.625874717135</c:v>
                </c:pt>
                <c:pt idx="288">
                  <c:v>-114.754964879362</c:v>
                </c:pt>
                <c:pt idx="289">
                  <c:v>-114.88741436744</c:v>
                </c:pt>
                <c:pt idx="290">
                  <c:v>-115.019883784473</c:v>
                </c:pt>
                <c:pt idx="291">
                  <c:v>-115.152372019295</c:v>
                </c:pt>
                <c:pt idx="292">
                  <c:v>-115.284877982236</c:v>
                </c:pt>
                <c:pt idx="293">
                  <c:v>-115.420463290647</c:v>
                </c:pt>
                <c:pt idx="294">
                  <c:v>-115.556064914805</c:v>
                </c:pt>
                <c:pt idx="295">
                  <c:v>-115.691681753845</c:v>
                </c:pt>
                <c:pt idx="296">
                  <c:v>-115.827312727988</c:v>
                </c:pt>
                <c:pt idx="297">
                  <c:v>-115.966020749511</c:v>
                </c:pt>
                <c:pt idx="298">
                  <c:v>-116.104741333268</c:v>
                </c:pt>
                <c:pt idx="299">
                  <c:v>-116.243473389439</c:v>
                </c:pt>
                <c:pt idx="300">
                  <c:v>-116.382215848876</c:v>
                </c:pt>
                <c:pt idx="301">
                  <c:v>-116.524032559367</c:v>
                </c:pt>
                <c:pt idx="302">
                  <c:v>-116.665857943008</c:v>
                </c:pt>
                <c:pt idx="303">
                  <c:v>-116.807690921621</c:v>
                </c:pt>
                <c:pt idx="304">
                  <c:v>-116.949530437259</c:v>
                </c:pt>
                <c:pt idx="305">
                  <c:v>-117.094998275297</c:v>
                </c:pt>
                <c:pt idx="306">
                  <c:v>-117.240470797708</c:v>
                </c:pt>
                <c:pt idx="307">
                  <c:v>-117.38594692617</c:v>
                </c:pt>
                <c:pt idx="308">
                  <c:v>-117.531425602433</c:v>
                </c:pt>
                <c:pt idx="309">
                  <c:v>-117.679971470992</c:v>
                </c:pt>
                <c:pt idx="310">
                  <c:v>-117.828517827641</c:v>
                </c:pt>
                <c:pt idx="311">
                  <c:v>-117.977063607157</c:v>
                </c:pt>
                <c:pt idx="312">
                  <c:v>-118.125607763892</c:v>
                </c:pt>
                <c:pt idx="313">
                  <c:v>-118.277772193213</c:v>
                </c:pt>
                <c:pt idx="314">
                  <c:v>-118.429932759044</c:v>
                </c:pt>
                <c:pt idx="315">
                  <c:v>-118.582088397886</c:v>
                </c:pt>
                <c:pt idx="316">
                  <c:v>-118.734238065592</c:v>
                </c:pt>
                <c:pt idx="317">
                  <c:v>-118.890003087819</c:v>
                </c:pt>
                <c:pt idx="318">
                  <c:v>-119.045759696164</c:v>
                </c:pt>
                <c:pt idx="319">
                  <c:v>-119.201506829859</c:v>
                </c:pt>
                <c:pt idx="320">
                  <c:v>-119.357243447238</c:v>
                </c:pt>
                <c:pt idx="321">
                  <c:v>-119.516589893271</c:v>
                </c:pt>
                <c:pt idx="322">
                  <c:v>-119.675923180536</c:v>
                </c:pt>
                <c:pt idx="323">
                  <c:v>-119.835242251867</c:v>
                </c:pt>
                <c:pt idx="324">
                  <c:v>-119.994546068914</c:v>
                </c:pt>
                <c:pt idx="325">
                  <c:v>-120.157453586063</c:v>
                </c:pt>
                <c:pt idx="326">
                  <c:v>-120.320343008991</c:v>
                </c:pt>
                <c:pt idx="327">
                  <c:v>-120.48321328487</c:v>
                </c:pt>
                <c:pt idx="328">
                  <c:v>-120.646063379398</c:v>
                </c:pt>
                <c:pt idx="329">
                  <c:v>-120.812788768232</c:v>
                </c:pt>
                <c:pt idx="330">
                  <c:v>-120.97949086091</c:v>
                </c:pt>
                <c:pt idx="331">
                  <c:v>-121.146168604359</c:v>
                </c:pt>
                <c:pt idx="332">
                  <c:v>-121.312820963836</c:v>
                </c:pt>
                <c:pt idx="333">
                  <c:v>-121.483062878453</c:v>
                </c:pt>
                <c:pt idx="334">
                  <c:v>-121.653276168122</c:v>
                </c:pt>
                <c:pt idx="335">
                  <c:v>-121.823459785537</c:v>
                </c:pt>
                <c:pt idx="336">
                  <c:v>-121.993612701396</c:v>
                </c:pt>
                <c:pt idx="337">
                  <c:v>-122.167903134625</c:v>
                </c:pt>
                <c:pt idx="338">
                  <c:v>-122.342159211602</c:v>
                </c:pt>
                <c:pt idx="339">
                  <c:v>-122.516379881301</c:v>
                </c:pt>
                <c:pt idx="340">
                  <c:v>-122.690564110586</c:v>
                </c:pt>
                <c:pt idx="341">
                  <c:v>-122.868876607463</c:v>
                </c:pt>
                <c:pt idx="342">
                  <c:v>-123.047148762821</c:v>
                </c:pt>
                <c:pt idx="343">
                  <c:v>-123.225379522993</c:v>
                </c:pt>
                <c:pt idx="344">
                  <c:v>-123.403567852071</c:v>
                </c:pt>
                <c:pt idx="345">
                  <c:v>-123.585597019127</c:v>
                </c:pt>
                <c:pt idx="346">
                  <c:v>-123.767579752411</c:v>
                </c:pt>
                <c:pt idx="347">
                  <c:v>-123.949515001385</c:v>
                </c:pt>
                <c:pt idx="348">
                  <c:v>-124.131401733019</c:v>
                </c:pt>
                <c:pt idx="349">
                  <c:v>-124.317673357716</c:v>
                </c:pt>
                <c:pt idx="350">
                  <c:v>-124.503891929458</c:v>
                </c:pt>
                <c:pt idx="351">
                  <c:v>-124.69005639213</c:v>
                </c:pt>
                <c:pt idx="352">
                  <c:v>-124.876165707073</c:v>
                </c:pt>
                <c:pt idx="353">
                  <c:v>-125.066647996552</c:v>
                </c:pt>
                <c:pt idx="354">
                  <c:v>-125.25707033185</c:v>
                </c:pt>
                <c:pt idx="355">
                  <c:v>-125.447431652466</c:v>
                </c:pt>
                <c:pt idx="356">
                  <c:v>-125.637730915287</c:v>
                </c:pt>
                <c:pt idx="357">
                  <c:v>-125.832113974983</c:v>
                </c:pt>
                <c:pt idx="358">
                  <c:v>-126.026430093186</c:v>
                </c:pt>
                <c:pt idx="359">
                  <c:v>-126.22067821065</c:v>
                </c:pt>
                <c:pt idx="360">
                  <c:v>-126.414857285337</c:v>
                </c:pt>
                <c:pt idx="361">
                  <c:v>-126.613659374781</c:v>
                </c:pt>
                <c:pt idx="362">
                  <c:v>-126.812386882954</c:v>
                </c:pt>
                <c:pt idx="363">
                  <c:v>-127.011038743915</c:v>
                </c:pt>
                <c:pt idx="364">
                  <c:v>-127.209613908944</c:v>
                </c:pt>
                <c:pt idx="365">
                  <c:v>-127.412521509673</c:v>
                </c:pt>
                <c:pt idx="366">
                  <c:v>-127.615346805219</c:v>
                </c:pt>
                <c:pt idx="367">
                  <c:v>-127.818088728652</c:v>
                </c:pt>
                <c:pt idx="368">
                  <c:v>-128.020746230177</c:v>
                </c:pt>
                <c:pt idx="369">
                  <c:v>-128.228271405263</c:v>
                </c:pt>
                <c:pt idx="370">
                  <c:v>-128.435705801607</c:v>
                </c:pt>
                <c:pt idx="371">
                  <c:v>-128.64304834395</c:v>
                </c:pt>
                <c:pt idx="372">
                  <c:v>-128.850297974263</c:v>
                </c:pt>
                <c:pt idx="373">
                  <c:v>-129.062123179058</c:v>
                </c:pt>
                <c:pt idx="374">
                  <c:v>-129.273849050952</c:v>
                </c:pt>
                <c:pt idx="375">
                  <c:v>-129.485474512185</c:v>
                </c:pt>
                <c:pt idx="376">
                  <c:v>-129.696998502223</c:v>
                </c:pt>
                <c:pt idx="377">
                  <c:v>-129.913628801477</c:v>
                </c:pt>
                <c:pt idx="378">
                  <c:v>-130.130150366287</c:v>
                </c:pt>
                <c:pt idx="379">
                  <c:v>-130.346562109663</c:v>
                </c:pt>
                <c:pt idx="380">
                  <c:v>-130.562862962026</c:v>
                </c:pt>
                <c:pt idx="381">
                  <c:v>-130.783702799155</c:v>
                </c:pt>
                <c:pt idx="382">
                  <c:v>-131.004424719148</c:v>
                </c:pt>
                <c:pt idx="383">
                  <c:v>-131.225027635802</c:v>
                </c:pt>
                <c:pt idx="384">
                  <c:v>-131.445510480329</c:v>
                </c:pt>
                <c:pt idx="385">
                  <c:v>-131.671331910989</c:v>
                </c:pt>
                <c:pt idx="386">
                  <c:v>-131.897025026113</c:v>
                </c:pt>
                <c:pt idx="387">
                  <c:v>-132.122588730053</c:v>
                </c:pt>
                <c:pt idx="388">
                  <c:v>-132.348021944843</c:v>
                </c:pt>
                <c:pt idx="389">
                  <c:v>-132.578498272872</c:v>
                </c:pt>
                <c:pt idx="390">
                  <c:v>-132.808835820059</c:v>
                </c:pt>
                <c:pt idx="391">
                  <c:v>-133.039033487555</c:v>
                </c:pt>
                <c:pt idx="392">
                  <c:v>-133.269090194367</c:v>
                </c:pt>
                <c:pt idx="393">
                  <c:v>-133.504166806751</c:v>
                </c:pt>
                <c:pt idx="394">
                  <c:v>-133.739093825857</c:v>
                </c:pt>
                <c:pt idx="395">
                  <c:v>-133.973870151873</c:v>
                </c:pt>
                <c:pt idx="396">
                  <c:v>-134.208494703034</c:v>
                </c:pt>
                <c:pt idx="397">
                  <c:v>-134.448656882972</c:v>
                </c:pt>
                <c:pt idx="398">
                  <c:v>-134.688657588317</c:v>
                </c:pt>
                <c:pt idx="399">
                  <c:v>-134.928495713245</c:v>
                </c:pt>
                <c:pt idx="400">
                  <c:v>-135.168170170327</c:v>
                </c:pt>
                <c:pt idx="401">
                  <c:v>-135.413084520626</c:v>
                </c:pt>
                <c:pt idx="402">
                  <c:v>-135.657825488236</c:v>
                </c:pt>
                <c:pt idx="403">
                  <c:v>-135.902391967922</c:v>
                </c:pt>
                <c:pt idx="404">
                  <c:v>-136.146782873133</c:v>
                </c:pt>
                <c:pt idx="405">
                  <c:v>-136.396655628086</c:v>
                </c:pt>
                <c:pt idx="406">
                  <c:v>-136.646342332102</c:v>
                </c:pt>
                <c:pt idx="407">
                  <c:v>-136.895841879884</c:v>
                </c:pt>
                <c:pt idx="408">
                  <c:v>-137.145153185186</c:v>
                </c:pt>
                <c:pt idx="409">
                  <c:v>-137.400185152509</c:v>
                </c:pt>
                <c:pt idx="410">
                  <c:v>-137.655017592322</c:v>
                </c:pt>
                <c:pt idx="411">
                  <c:v>-137.909649399108</c:v>
                </c:pt>
                <c:pt idx="412">
                  <c:v>-138.164079486867</c:v>
                </c:pt>
                <c:pt idx="413">
                  <c:v>-138.424197948212</c:v>
                </c:pt>
                <c:pt idx="414">
                  <c:v>-138.684102990422</c:v>
                </c:pt>
                <c:pt idx="415">
                  <c:v>-138.943793511514</c:v>
                </c:pt>
                <c:pt idx="416">
                  <c:v>-139.203268429493</c:v>
                </c:pt>
                <c:pt idx="417">
                  <c:v>-139.468665076268</c:v>
                </c:pt>
                <c:pt idx="418">
                  <c:v>-139.733833553183</c:v>
                </c:pt>
                <c:pt idx="419">
                  <c:v>-139.998772762471</c:v>
                </c:pt>
                <c:pt idx="420">
                  <c:v>-140.263481626913</c:v>
                </c:pt>
                <c:pt idx="421">
                  <c:v>-140.533810090028</c:v>
                </c:pt>
                <c:pt idx="422">
                  <c:v>-140.803895687594</c:v>
                </c:pt>
                <c:pt idx="423">
                  <c:v>-141.073737333699</c:v>
                </c:pt>
                <c:pt idx="424">
                  <c:v>-141.343333963458</c:v>
                </c:pt>
                <c:pt idx="425">
                  <c:v>-141.619309142827</c:v>
                </c:pt>
                <c:pt idx="426">
                  <c:v>-141.895024902505</c:v>
                </c:pt>
                <c:pt idx="427">
                  <c:v>-142.17048016361</c:v>
                </c:pt>
                <c:pt idx="428">
                  <c:v>-142.445673869031</c:v>
                </c:pt>
                <c:pt idx="429">
                  <c:v>-142.726940347692</c:v>
                </c:pt>
                <c:pt idx="430">
                  <c:v>-143.007930901429</c:v>
                </c:pt>
                <c:pt idx="431">
                  <c:v>-143.2886444669</c:v>
                </c:pt>
                <c:pt idx="432">
                  <c:v>-143.569080003189</c:v>
                </c:pt>
                <c:pt idx="433">
                  <c:v>-143.855546654281</c:v>
                </c:pt>
                <c:pt idx="434">
                  <c:v>-144.141720473194</c:v>
                </c:pt>
                <c:pt idx="435">
                  <c:v>-144.427600417627</c:v>
                </c:pt>
                <c:pt idx="436">
                  <c:v>-144.713185468368</c:v>
                </c:pt>
                <c:pt idx="437">
                  <c:v>-145.005282315799</c:v>
                </c:pt>
                <c:pt idx="438">
                  <c:v>-145.297067930483</c:v>
                </c:pt>
                <c:pt idx="439">
                  <c:v>-145.588541291492</c:v>
                </c:pt>
                <c:pt idx="440">
                  <c:v>-145.87970140182</c:v>
                </c:pt>
                <c:pt idx="441">
                  <c:v>-146.177325587858</c:v>
                </c:pt>
                <c:pt idx="442">
                  <c:v>-146.474619706686</c:v>
                </c:pt>
                <c:pt idx="443">
                  <c:v>-146.771582765476</c:v>
                </c:pt>
                <c:pt idx="444">
                  <c:v>-147.068213796151</c:v>
                </c:pt>
                <c:pt idx="445">
                  <c:v>-147.371259720029</c:v>
                </c:pt>
                <c:pt idx="446">
                  <c:v>-147.673956340786</c:v>
                </c:pt>
                <c:pt idx="447">
                  <c:v>-147.97630270071</c:v>
                </c:pt>
                <c:pt idx="448">
                  <c:v>-148.278297867662</c:v>
                </c:pt>
                <c:pt idx="449">
                  <c:v>-148.587173967803</c:v>
                </c:pt>
                <c:pt idx="450">
                  <c:v>-148.895679922697</c:v>
                </c:pt>
                <c:pt idx="451">
                  <c:v>-149.203814812492</c:v>
                </c:pt>
                <c:pt idx="452">
                  <c:v>-149.511577743893</c:v>
                </c:pt>
                <c:pt idx="453">
                  <c:v>-149.825908751963</c:v>
                </c:pt>
                <c:pt idx="454">
                  <c:v>-150.139848997635</c:v>
                </c:pt>
                <c:pt idx="455">
                  <c:v>-150.453397609413</c:v>
                </c:pt>
                <c:pt idx="456">
                  <c:v>-150.766553743233</c:v>
                </c:pt>
                <c:pt idx="457">
                  <c:v>-151.086734156739</c:v>
                </c:pt>
                <c:pt idx="458">
                  <c:v>-151.406501539219</c:v>
                </c:pt>
                <c:pt idx="459">
                  <c:v>-151.725855071914</c:v>
                </c:pt>
                <c:pt idx="460">
                  <c:v>-152.044793964526</c:v>
                </c:pt>
                <c:pt idx="461">
                  <c:v>-152.370696360362</c:v>
                </c:pt>
                <c:pt idx="462">
                  <c:v>-152.696163084986</c:v>
                </c:pt>
                <c:pt idx="463">
                  <c:v>-153.021193381775</c:v>
                </c:pt>
                <c:pt idx="464">
                  <c:v>-153.345786523561</c:v>
                </c:pt>
                <c:pt idx="465">
                  <c:v>-153.677533944977</c:v>
                </c:pt>
                <c:pt idx="466">
                  <c:v>-154.008822031178</c:v>
                </c:pt>
                <c:pt idx="467">
                  <c:v>-154.339650095797</c:v>
                </c:pt>
                <c:pt idx="468">
                  <c:v>-154.670017482978</c:v>
                </c:pt>
                <c:pt idx="469">
                  <c:v>-155.007473260269</c:v>
                </c:pt>
                <c:pt idx="470">
                  <c:v>-155.34444572645</c:v>
                </c:pt>
                <c:pt idx="471">
                  <c:v>-155.680934275809</c:v>
                </c:pt>
                <c:pt idx="472">
                  <c:v>-156.016938334145</c:v>
                </c:pt>
                <c:pt idx="473">
                  <c:v>-156.360463818866</c:v>
                </c:pt>
                <c:pt idx="474">
                  <c:v>-156.703480277352</c:v>
                </c:pt>
                <c:pt idx="475">
                  <c:v>-157.045987192955</c:v>
                </c:pt>
                <c:pt idx="476">
                  <c:v>-157.387984081667</c:v>
                </c:pt>
                <c:pt idx="477">
                  <c:v>-157.737429093841</c:v>
                </c:pt>
                <c:pt idx="478">
                  <c:v>-158.086339087389</c:v>
                </c:pt>
                <c:pt idx="479">
                  <c:v>-158.43471364663</c:v>
                </c:pt>
                <c:pt idx="480">
                  <c:v>-158.782552389569</c:v>
                </c:pt>
                <c:pt idx="481">
                  <c:v>-159.137764443705</c:v>
                </c:pt>
                <c:pt idx="482">
                  <c:v>-159.492415275886</c:v>
                </c:pt>
                <c:pt idx="483">
                  <c:v>-159.846504583449</c:v>
                </c:pt>
                <c:pt idx="484">
                  <c:v>-160.200032098384</c:v>
                </c:pt>
                <c:pt idx="485">
                  <c:v>-160.561102302812</c:v>
                </c:pt>
                <c:pt idx="486">
                  <c:v>-160.921584138712</c:v>
                </c:pt>
                <c:pt idx="487">
                  <c:v>-161.281477428252</c:v>
                </c:pt>
                <c:pt idx="488">
                  <c:v>-161.640782029215</c:v>
                </c:pt>
                <c:pt idx="489">
                  <c:v>-162.00803731897</c:v>
                </c:pt>
                <c:pt idx="490">
                  <c:v>-162.374675344355</c:v>
                </c:pt>
                <c:pt idx="491">
                  <c:v>-162.740696065085</c:v>
                </c:pt>
                <c:pt idx="492">
                  <c:v>-163.106099477543</c:v>
                </c:pt>
                <c:pt idx="493">
                  <c:v>-163.479367304192</c:v>
                </c:pt>
                <c:pt idx="494">
                  <c:v>-163.851988864475</c:v>
                </c:pt>
                <c:pt idx="495">
                  <c:v>-164.223964269819</c:v>
                </c:pt>
                <c:pt idx="496">
                  <c:v>-164.595293669232</c:v>
                </c:pt>
                <c:pt idx="497">
                  <c:v>-164.974640481167</c:v>
                </c:pt>
                <c:pt idx="498">
                  <c:v>-165.353311144764</c:v>
                </c:pt>
                <c:pt idx="499">
                  <c:v>-165.731305937833</c:v>
                </c:pt>
                <c:pt idx="500">
                  <c:v>-166.108625176633</c:v>
                </c:pt>
                <c:pt idx="501">
                  <c:v>-166.494109246725</c:v>
                </c:pt>
                <c:pt idx="502">
                  <c:v>-166.878886440229</c:v>
                </c:pt>
                <c:pt idx="503">
                  <c:v>-167.262957216943</c:v>
                </c:pt>
                <c:pt idx="504">
                  <c:v>-167.646322075916</c:v>
                </c:pt>
                <c:pt idx="505">
                  <c:v>-168.037756405165</c:v>
                </c:pt>
                <c:pt idx="506">
                  <c:v>-168.428453218239</c:v>
                </c:pt>
                <c:pt idx="507">
                  <c:v>-168.818413172203</c:v>
                </c:pt>
                <c:pt idx="508">
                  <c:v>-169.207636963999</c:v>
                </c:pt>
                <c:pt idx="509">
                  <c:v>-169.605069097335</c:v>
                </c:pt>
                <c:pt idx="510">
                  <c:v>-170.001732349171</c:v>
                </c:pt>
                <c:pt idx="511">
                  <c:v>-170.397627590425</c:v>
                </c:pt>
                <c:pt idx="512">
                  <c:v>-170.79275573242</c:v>
                </c:pt>
                <c:pt idx="513">
                  <c:v>-171.196459046192</c:v>
                </c:pt>
                <c:pt idx="514">
                  <c:v>-171.599360511545</c:v>
                </c:pt>
                <c:pt idx="515">
                  <c:v>-172.001461232587</c:v>
                </c:pt>
                <c:pt idx="516">
                  <c:v>-172.402762354349</c:v>
                </c:pt>
                <c:pt idx="517">
                  <c:v>-172.812531875445</c:v>
                </c:pt>
                <c:pt idx="518">
                  <c:v>-173.221466881072</c:v>
                </c:pt>
                <c:pt idx="519">
                  <c:v>-173.629568725214</c:v>
                </c:pt>
                <c:pt idx="520">
                  <c:v>-174.036838803046</c:v>
                </c:pt>
                <c:pt idx="521">
                  <c:v>-174.452699395344</c:v>
                </c:pt>
                <c:pt idx="522">
                  <c:v>-174.867692257807</c:v>
                </c:pt>
                <c:pt idx="523">
                  <c:v>-175.281819013181</c:v>
                </c:pt>
                <c:pt idx="524">
                  <c:v>-175.695081325529</c:v>
                </c:pt>
                <c:pt idx="525">
                  <c:v>-176.11705073828</c:v>
                </c:pt>
                <c:pt idx="526">
                  <c:v>-176.538118732872</c:v>
                </c:pt>
                <c:pt idx="527">
                  <c:v>-176.958287220373</c:v>
                </c:pt>
                <c:pt idx="528">
                  <c:v>-177.377558153129</c:v>
                </c:pt>
                <c:pt idx="529">
                  <c:v>-177.805647290725</c:v>
                </c:pt>
                <c:pt idx="530">
                  <c:v>-178.232800928522</c:v>
                </c:pt>
                <c:pt idx="531">
                  <c:v>-178.659021286096</c:v>
                </c:pt>
                <c:pt idx="532">
                  <c:v>-179.084310624073</c:v>
                </c:pt>
                <c:pt idx="533">
                  <c:v>-179.518747773043</c:v>
                </c:pt>
                <c:pt idx="534">
                  <c:v>-179.952214034839</c:v>
                </c:pt>
                <c:pt idx="535">
                  <c:v>-180.384711962287</c:v>
                </c:pt>
                <c:pt idx="536">
                  <c:v>-180.816244148911</c:v>
                </c:pt>
                <c:pt idx="537">
                  <c:v>-181.256577629555</c:v>
                </c:pt>
                <c:pt idx="538">
                  <c:v>-181.695906632185</c:v>
                </c:pt>
                <c:pt idx="539">
                  <c:v>-182.134234056265</c:v>
                </c:pt>
                <c:pt idx="540">
                  <c:v>-182.571562841233</c:v>
                </c:pt>
                <c:pt idx="541">
                  <c:v>-183.018230855798</c:v>
                </c:pt>
                <c:pt idx="542">
                  <c:v>-183.463858665073</c:v>
                </c:pt>
                <c:pt idx="543">
                  <c:v>-183.908449545676</c:v>
                </c:pt>
                <c:pt idx="544">
                  <c:v>-184.352006813402</c:v>
                </c:pt>
                <c:pt idx="545">
                  <c:v>-184.804772389031</c:v>
                </c:pt>
                <c:pt idx="546">
                  <c:v>-185.256463055217</c:v>
                </c:pt>
                <c:pt idx="547">
                  <c:v>-185.70708248356</c:v>
                </c:pt>
                <c:pt idx="548">
                  <c:v>-186.156634383723</c:v>
                </c:pt>
                <c:pt idx="549">
                  <c:v>-186.615479617446</c:v>
                </c:pt>
                <c:pt idx="550">
                  <c:v>-187.073215359993</c:v>
                </c:pt>
                <c:pt idx="551">
                  <c:v>-187.529845700502</c:v>
                </c:pt>
                <c:pt idx="552">
                  <c:v>-187.985374764814</c:v>
                </c:pt>
                <c:pt idx="553">
                  <c:v>-188.450491081609</c:v>
                </c:pt>
                <c:pt idx="554">
                  <c:v>-188.914462521932</c:v>
                </c:pt>
                <c:pt idx="555">
                  <c:v>-189.377293621638</c:v>
                </c:pt>
                <c:pt idx="556">
                  <c:v>-189.83898895175</c:v>
                </c:pt>
                <c:pt idx="557">
                  <c:v>-190.780519118481</c:v>
                </c:pt>
                <c:pt idx="558">
                  <c:v>-191.717349798303</c:v>
                </c:pt>
                <c:pt idx="559">
                  <c:v>-192.670833772926</c:v>
                </c:pt>
                <c:pt idx="560">
                  <c:v>-193.619486508321</c:v>
                </c:pt>
                <c:pt idx="561">
                  <c:v>-194.58568857016</c:v>
                </c:pt>
                <c:pt idx="562">
                  <c:v>-195.54692194185</c:v>
                </c:pt>
                <c:pt idx="563">
                  <c:v>-196.52370332652</c:v>
                </c:pt>
                <c:pt idx="564">
                  <c:v>-197.495403287895</c:v>
                </c:pt>
                <c:pt idx="565">
                  <c:v>-198.486379755207</c:v>
                </c:pt>
                <c:pt idx="566">
                  <c:v>-199.472127733838</c:v>
                </c:pt>
                <c:pt idx="567">
                  <c:v>-200.476752591535</c:v>
                </c:pt>
                <c:pt idx="568">
                  <c:v>-201.47601117986</c:v>
                </c:pt>
                <c:pt idx="569">
                  <c:v>-202.489791451094</c:v>
                </c:pt>
                <c:pt idx="570">
                  <c:v>-203.498120373495</c:v>
                </c:pt>
                <c:pt idx="571">
                  <c:v>-204.528521416286</c:v>
                </c:pt>
                <c:pt idx="572">
                  <c:v>-205.553311278854</c:v>
                </c:pt>
                <c:pt idx="573">
                  <c:v>-206.591961082311</c:v>
                </c:pt>
                <c:pt idx="574">
                  <c:v>-207.624937040953</c:v>
                </c:pt>
                <c:pt idx="575">
                  <c:v>-208.679177420374</c:v>
                </c:pt>
                <c:pt idx="576">
                  <c:v>-209.727608691141</c:v>
                </c:pt>
                <c:pt idx="577">
                  <c:v>-214.103810681709</c:v>
                </c:pt>
                <c:pt idx="578">
                  <c:v>-218.383821146523</c:v>
                </c:pt>
                <c:pt idx="579">
                  <c:v>-227.45789172771</c:v>
                </c:pt>
                <c:pt idx="580">
                  <c:v>-237.000684482749</c:v>
                </c:pt>
                <c:pt idx="581">
                  <c:v>-247.060737304148</c:v>
                </c:pt>
                <c:pt idx="582">
                  <c:v>-257.74813887134</c:v>
                </c:pt>
                <c:pt idx="583">
                  <c:v>-269.225562399991</c:v>
                </c:pt>
                <c:pt idx="584">
                  <c:v>-281.78017854182</c:v>
                </c:pt>
                <c:pt idx="585">
                  <c:v>-295.853803388249</c:v>
                </c:pt>
                <c:pt idx="586">
                  <c:v>-312.143330048334</c:v>
                </c:pt>
                <c:pt idx="587">
                  <c:v>-331.606463639372</c:v>
                </c:pt>
                <c:pt idx="588">
                  <c:v>-355.01981820613</c:v>
                </c:pt>
                <c:pt idx="589">
                  <c:v>-201.761068925421</c:v>
                </c:pt>
                <c:pt idx="590">
                  <c:v>-228.86130875432</c:v>
                </c:pt>
                <c:pt idx="591">
                  <c:v>-253.380684610209</c:v>
                </c:pt>
                <c:pt idx="592">
                  <c:v>-274.929661184786</c:v>
                </c:pt>
                <c:pt idx="593">
                  <c:v>-295.113148234763</c:v>
                </c:pt>
                <c:pt idx="594">
                  <c:v>-316.732930994345</c:v>
                </c:pt>
                <c:pt idx="595">
                  <c:v>-344.646795485446</c:v>
                </c:pt>
                <c:pt idx="596">
                  <c:v>-385.430380576956</c:v>
                </c:pt>
                <c:pt idx="597">
                  <c:v>-251.73274992118</c:v>
                </c:pt>
                <c:pt idx="598">
                  <c:v>-287.354689675024</c:v>
                </c:pt>
                <c:pt idx="599">
                  <c:v>-318.135707128167</c:v>
                </c:pt>
                <c:pt idx="600">
                  <c:v>-360.640488862237</c:v>
                </c:pt>
              </c:numCache>
            </c:numRef>
          </c:yVal>
          <c:smooth val="0"/>
        </c:ser>
        <c:dLbls>
          <c:showLegendKey val="0"/>
          <c:showVal val="0"/>
          <c:showCatName val="0"/>
          <c:showSerName val="0"/>
          <c:showPercent val="0"/>
          <c:showBubbleSize val="0"/>
        </c:dLbls>
        <c:axId val="560709632"/>
        <c:axId val="560711168"/>
      </c:scatterChart>
      <c:valAx>
        <c:axId val="560664576"/>
        <c:scaling>
          <c:logBase val="10"/>
          <c:orientation val="minMax"/>
          <c:max val="1000000"/>
          <c:min val="0.1"/>
        </c:scaling>
        <c:delete val="0"/>
        <c:axPos val="b"/>
        <c:majorGridlines>
          <c:spPr>
            <a:ln w="3175" cap="flat" cmpd="sng" algn="ctr">
              <a:solidFill>
                <a:srgbClr val="000000"/>
              </a:solidFill>
              <a:prstDash val="solid"/>
              <a:round/>
            </a:ln>
          </c:spPr>
        </c:majorGridlines>
        <c:minorGridlines>
          <c:spPr>
            <a:ln w="3175" cap="flat" cmpd="sng" algn="ctr">
              <a:solidFill>
                <a:srgbClr val="C0C0C0"/>
              </a:solidFill>
              <a:prstDash val="solid"/>
              <a:round/>
            </a:ln>
          </c:spPr>
        </c:minorGridlines>
        <c:title>
          <c:tx>
            <c:rich>
              <a:bodyPr rot="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r>
                  <a:rPr lang="en-US"/>
                  <a:t>Frequency (Hz)</a:t>
                </a:r>
                <a:endParaRPr lang="en-US"/>
              </a:p>
            </c:rich>
          </c:tx>
          <c:layout>
            <c:manualLayout>
              <c:xMode val="edge"/>
              <c:yMode val="edge"/>
              <c:x val="0.428571428571429"/>
              <c:y val="0.883611403413285"/>
            </c:manualLayout>
          </c:layout>
          <c:overlay val="0"/>
          <c:spPr>
            <a:noFill/>
            <a:ln w="25400">
              <a:noFill/>
            </a:ln>
          </c:spPr>
        </c:title>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p>
        </c:txPr>
        <c:crossAx val="560666496"/>
        <c:crossesAt val="-80"/>
        <c:crossBetween val="midCat"/>
        <c:majorUnit val="10"/>
        <c:minorUnit val="10"/>
      </c:valAx>
      <c:valAx>
        <c:axId val="560666496"/>
        <c:scaling>
          <c:orientation val="minMax"/>
          <c:max val="120"/>
          <c:min val="-80"/>
        </c:scaling>
        <c:delete val="0"/>
        <c:axPos val="l"/>
        <c:majorGridlines>
          <c:spPr>
            <a:ln w="3175" cap="flat" cmpd="sng" algn="ctr">
              <a:solidFill>
                <a:srgbClr val="000000"/>
              </a:solidFill>
              <a:prstDash val="solid"/>
              <a:round/>
            </a:ln>
          </c:spPr>
        </c:majorGridlines>
        <c:title>
          <c:tx>
            <c:rich>
              <a:bodyPr rot="-5400000" spcFirstLastPara="0" vertOverflow="ellipsis" vert="horz" wrap="square" anchor="ctr" anchorCtr="1"/>
              <a:lstStyle/>
              <a:p>
                <a:pPr>
                  <a:defRPr lang="zh-CN" sz="1200" b="1" i="0" u="none" strike="noStrike" kern="1200" baseline="0">
                    <a:solidFill>
                      <a:srgbClr val="FF0000"/>
                    </a:solidFill>
                    <a:latin typeface="Arial" panose="020B0604020202020204"/>
                    <a:ea typeface="Arial" panose="020B0604020202020204"/>
                    <a:cs typeface="Arial" panose="020B0604020202020204"/>
                  </a:defRPr>
                </a:pPr>
                <a:r>
                  <a:rPr lang="en-US"/>
                  <a:t>Gain (dB)</a:t>
                </a:r>
                <a:endParaRPr lang="en-US"/>
              </a:p>
            </c:rich>
          </c:tx>
          <c:layout>
            <c:manualLayout>
              <c:xMode val="edge"/>
              <c:yMode val="edge"/>
              <c:x val="0.0155490767735666"/>
              <c:y val="0.392716233051514"/>
            </c:manualLayout>
          </c:layout>
          <c:overlay val="0"/>
          <c:spPr>
            <a:noFill/>
            <a:ln w="25400">
              <a:noFill/>
            </a:ln>
          </c:spPr>
        </c:title>
        <c:numFmt formatCode="0" sourceLinked="0"/>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800" b="0" i="0" u="none" strike="noStrike" kern="1200" baseline="0">
                <a:solidFill>
                  <a:srgbClr val="FF0000"/>
                </a:solidFill>
                <a:latin typeface="Arial" panose="020B0604020202020204"/>
                <a:ea typeface="Arial" panose="020B0604020202020204"/>
                <a:cs typeface="Arial" panose="020B0604020202020204"/>
              </a:defRPr>
            </a:pPr>
          </a:p>
        </c:txPr>
        <c:crossAx val="560664576"/>
        <c:crossesAt val="0.1"/>
        <c:crossBetween val="midCat"/>
        <c:majorUnit val="20"/>
        <c:minorUnit val="4"/>
      </c:valAx>
      <c:valAx>
        <c:axId val="560709632"/>
        <c:scaling>
          <c:logBase val="10"/>
          <c:orientation val="minMax"/>
        </c:scaling>
        <c:delete val="1"/>
        <c:axPos val="b"/>
        <c:numFmt formatCode="General" sourceLinked="1"/>
        <c:majorTickMark val="out"/>
        <c:minorTickMark val="none"/>
        <c:tickLblPos val="none"/>
        <c:txPr>
          <a:bodyPr rot="-60000000" spcFirstLastPara="0" vertOverflow="ellipsis" vert="horz" wrap="square" anchor="ctr" anchorCtr="1"/>
          <a:lstStyle/>
          <a:p>
            <a:pPr>
              <a:defRPr lang="zh-CN" sz="800" b="0" i="0" u="none" strike="noStrike" kern="1200" baseline="0">
                <a:solidFill>
                  <a:srgbClr val="000000"/>
                </a:solidFill>
                <a:latin typeface="Arial" panose="020B0604020202020204"/>
                <a:ea typeface="Arial" panose="020B0604020202020204"/>
                <a:cs typeface="Arial" panose="020B0604020202020204"/>
              </a:defRPr>
            </a:pPr>
          </a:p>
        </c:txPr>
        <c:crossAx val="560711168"/>
        <c:crossesAt val="0"/>
        <c:crossBetween val="midCat"/>
      </c:valAx>
      <c:valAx>
        <c:axId val="560711168"/>
        <c:scaling>
          <c:orientation val="minMax"/>
          <c:max val="0"/>
          <c:min val="-405"/>
        </c:scaling>
        <c:delete val="0"/>
        <c:axPos val="r"/>
        <c:title>
          <c:tx>
            <c:rich>
              <a:bodyPr rot="-5400000" spcFirstLastPara="0" vertOverflow="ellipsis" vert="horz" wrap="square" anchor="ctr" anchorCtr="1"/>
              <a:lstStyle/>
              <a:p>
                <a:pPr>
                  <a:defRPr lang="zh-CN" sz="1200" b="1" i="0" u="none" strike="noStrike" kern="1200" baseline="0">
                    <a:solidFill>
                      <a:srgbClr val="0000FF"/>
                    </a:solidFill>
                    <a:latin typeface="Arial" panose="020B0604020202020204"/>
                    <a:ea typeface="Arial" panose="020B0604020202020204"/>
                    <a:cs typeface="Arial" panose="020B0604020202020204"/>
                  </a:defRPr>
                </a:pPr>
                <a:r>
                  <a:rPr lang="en-US"/>
                  <a:t>Phase (°)</a:t>
                </a:r>
                <a:endParaRPr lang="en-US"/>
              </a:p>
            </c:rich>
          </c:tx>
          <c:layout>
            <c:manualLayout>
              <c:xMode val="edge"/>
              <c:yMode val="edge"/>
              <c:x val="0.965500485908649"/>
              <c:y val="0.398258282230852"/>
            </c:manualLayout>
          </c:layout>
          <c:overlay val="0"/>
          <c:spPr>
            <a:noFill/>
            <a:ln w="25400">
              <a:noFill/>
            </a:ln>
          </c:spPr>
        </c:title>
        <c:numFmt formatCode="0" sourceLinked="0"/>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800" b="0" i="0" u="none" strike="noStrike" kern="1200" baseline="0">
                <a:solidFill>
                  <a:srgbClr val="0000FF"/>
                </a:solidFill>
                <a:latin typeface="Arial" panose="020B0604020202020204"/>
                <a:ea typeface="Arial" panose="020B0604020202020204"/>
                <a:cs typeface="Arial" panose="020B0604020202020204"/>
              </a:defRPr>
            </a:pPr>
          </a:p>
        </c:txPr>
        <c:crossAx val="560709632"/>
        <c:crosses val="max"/>
        <c:crossBetween val="midCat"/>
        <c:majorUnit val="45"/>
        <c:minorUnit val="22.5"/>
      </c:valAx>
      <c:spPr>
        <a:noFill/>
        <a:ln w="25400">
          <a:noFill/>
        </a:ln>
      </c:spPr>
    </c:plotArea>
    <c:plotVisOnly val="1"/>
    <c:dispBlanksAs val="gap"/>
    <c:showDLblsOverMax val="0"/>
    <c:extLst>
      <c:ext uri="{0b15fc19-7d7d-44ad-8c2d-2c3a37ce22c3}">
        <chartProps xmlns="https://web.wps.cn/et/2018/main" chartId="{7799e37b-388f-49eb-97b8-8fd3c3982d7c}"/>
      </c:ext>
    </c:extLst>
  </c:chart>
  <c:spPr>
    <a:solidFill>
      <a:srgbClr val="FFFFFF"/>
    </a:solidFill>
    <a:ln w="25400" cap="flat" cmpd="sng" algn="ctr">
      <a:solidFill>
        <a:srgbClr val="000000"/>
      </a:solidFill>
      <a:prstDash val="solid"/>
      <a:round/>
    </a:ln>
  </c:spPr>
  <c:txPr>
    <a:bodyPr/>
    <a:lstStyle/>
    <a:p>
      <a:pPr>
        <a:defRPr lang="zh-CN" sz="80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72807468833838"/>
          <c:y val="0.121335233430015"/>
          <c:w val="0.860472789738492"/>
          <c:h val="0.755898026893831"/>
        </c:manualLayout>
      </c:layout>
      <c:lineChart>
        <c:grouping val="standard"/>
        <c:varyColors val="0"/>
        <c:ser>
          <c:idx val="1"/>
          <c:order val="0"/>
          <c:tx>
            <c:strRef>
              <c:f>"VIN-min"</c:f>
              <c:strCache>
                <c:ptCount val="1"/>
                <c:pt idx="0">
                  <c:v>VIN-min</c:v>
                </c:pt>
              </c:strCache>
            </c:strRef>
          </c:tx>
          <c:spPr>
            <a:ln w="28575" cap="rnd" cmpd="sng" algn="ctr">
              <a:solidFill>
                <a:srgbClr val="00B050"/>
              </a:solidFill>
              <a:prstDash val="sysDash"/>
              <a:round/>
            </a:ln>
          </c:spPr>
          <c:marker>
            <c:symbol val="none"/>
          </c:marker>
          <c:dLbls>
            <c:delete val="1"/>
          </c:dLbls>
          <c:val>
            <c:numRef>
              <c:f>'Calculations - Dual'!$AJ$110:$AJ$210</c:f>
              <c:numCache>
                <c:formatCode>0.000</c:formatCode>
                <c:ptCount val="101"/>
                <c:pt idx="0">
                  <c:v>1.00571428571429</c:v>
                </c:pt>
                <c:pt idx="1">
                  <c:v>1.05711463844797</c:v>
                </c:pt>
                <c:pt idx="2">
                  <c:v>1.11422927689594</c:v>
                </c:pt>
                <c:pt idx="3">
                  <c:v>1.17134391534392</c:v>
                </c:pt>
                <c:pt idx="4">
                  <c:v>1.2126888791621</c:v>
                </c:pt>
                <c:pt idx="5">
                  <c:v>1.24041637346012</c:v>
                </c:pt>
                <c:pt idx="6">
                  <c:v>1.26548394443118</c:v>
                </c:pt>
                <c:pt idx="7">
                  <c:v>1.28853595501338</c:v>
                </c:pt>
                <c:pt idx="8">
                  <c:v>1.30999224330749</c:v>
                </c:pt>
                <c:pt idx="9">
                  <c:v>1.33014442985426</c:v>
                </c:pt>
                <c:pt idx="10">
                  <c:v>1.34920484179438</c:v>
                </c:pt>
                <c:pt idx="11">
                  <c:v>1.36733376896825</c:v>
                </c:pt>
                <c:pt idx="12">
                  <c:v>1.38465574063739</c:v>
                </c:pt>
                <c:pt idx="13">
                  <c:v>1.40126978838623</c:v>
                </c:pt>
                <c:pt idx="14">
                  <c:v>1.41725620664271</c:v>
                </c:pt>
                <c:pt idx="15">
                  <c:v>1.43268116952814</c:v>
                </c:pt>
                <c:pt idx="16">
                  <c:v>1.5035498890383</c:v>
                </c:pt>
                <c:pt idx="17">
                  <c:v>1.53641064599209</c:v>
                </c:pt>
                <c:pt idx="18">
                  <c:v>1.56927140294587</c:v>
                </c:pt>
                <c:pt idx="19">
                  <c:v>1.60213215989965</c:v>
                </c:pt>
                <c:pt idx="20">
                  <c:v>1.63499291685344</c:v>
                </c:pt>
                <c:pt idx="21">
                  <c:v>1.66785367380722</c:v>
                </c:pt>
                <c:pt idx="22">
                  <c:v>1.700714430761</c:v>
                </c:pt>
                <c:pt idx="23">
                  <c:v>1.73357518771479</c:v>
                </c:pt>
                <c:pt idx="24">
                  <c:v>1.76643594466857</c:v>
                </c:pt>
                <c:pt idx="25">
                  <c:v>1.79929670162235</c:v>
                </c:pt>
                <c:pt idx="26">
                  <c:v>1.83215745857613</c:v>
                </c:pt>
                <c:pt idx="27">
                  <c:v>1.86501821552992</c:v>
                </c:pt>
                <c:pt idx="28">
                  <c:v>1.8978789724837</c:v>
                </c:pt>
                <c:pt idx="29">
                  <c:v>1.93073972943748</c:v>
                </c:pt>
                <c:pt idx="30">
                  <c:v>1.96360048639127</c:v>
                </c:pt>
                <c:pt idx="31">
                  <c:v>1.99646124334504</c:v>
                </c:pt>
                <c:pt idx="32">
                  <c:v>2.02932200029883</c:v>
                </c:pt>
                <c:pt idx="33">
                  <c:v>2.06218275725261</c:v>
                </c:pt>
                <c:pt idx="34">
                  <c:v>2.08888888888889</c:v>
                </c:pt>
                <c:pt idx="35">
                  <c:v>2.08888888888889</c:v>
                </c:pt>
                <c:pt idx="36">
                  <c:v>2.08888888888889</c:v>
                </c:pt>
                <c:pt idx="37">
                  <c:v>2.08888888888889</c:v>
                </c:pt>
                <c:pt idx="38">
                  <c:v>2.08888888888889</c:v>
                </c:pt>
                <c:pt idx="39">
                  <c:v>2.08888888888889</c:v>
                </c:pt>
                <c:pt idx="40">
                  <c:v>2.08888888888889</c:v>
                </c:pt>
                <c:pt idx="41">
                  <c:v>2.08888888888889</c:v>
                </c:pt>
                <c:pt idx="42">
                  <c:v>2.08888888888889</c:v>
                </c:pt>
                <c:pt idx="43">
                  <c:v>2.08888888888889</c:v>
                </c:pt>
                <c:pt idx="44">
                  <c:v>2.08888888888889</c:v>
                </c:pt>
                <c:pt idx="45">
                  <c:v>2.08888888888889</c:v>
                </c:pt>
                <c:pt idx="46">
                  <c:v>2.08888888888889</c:v>
                </c:pt>
                <c:pt idx="47">
                  <c:v>2.08888888888889</c:v>
                </c:pt>
                <c:pt idx="48">
                  <c:v>2.08888888888889</c:v>
                </c:pt>
                <c:pt idx="49">
                  <c:v>2.08888888888889</c:v>
                </c:pt>
                <c:pt idx="50">
                  <c:v>2.08888888888889</c:v>
                </c:pt>
                <c:pt idx="51">
                  <c:v>2.08888888888889</c:v>
                </c:pt>
                <c:pt idx="52">
                  <c:v>2.08888888888889</c:v>
                </c:pt>
                <c:pt idx="53">
                  <c:v>2.08888888888889</c:v>
                </c:pt>
                <c:pt idx="54">
                  <c:v>2.08888888888889</c:v>
                </c:pt>
                <c:pt idx="55">
                  <c:v>2.08888888888889</c:v>
                </c:pt>
                <c:pt idx="56">
                  <c:v>2.08888888888889</c:v>
                </c:pt>
                <c:pt idx="57">
                  <c:v>2.08888888888889</c:v>
                </c:pt>
                <c:pt idx="58">
                  <c:v>2.08888888888889</c:v>
                </c:pt>
                <c:pt idx="59">
                  <c:v>2.08888888888889</c:v>
                </c:pt>
                <c:pt idx="60">
                  <c:v>2.08888888888889</c:v>
                </c:pt>
                <c:pt idx="61">
                  <c:v>2.08888888888889</c:v>
                </c:pt>
                <c:pt idx="62">
                  <c:v>2.08888888888889</c:v>
                </c:pt>
                <c:pt idx="63">
                  <c:v>2.08888888888889</c:v>
                </c:pt>
                <c:pt idx="64">
                  <c:v>2.08888888888889</c:v>
                </c:pt>
                <c:pt idx="65">
                  <c:v>2.08888888888889</c:v>
                </c:pt>
                <c:pt idx="66">
                  <c:v>2.08888888888889</c:v>
                </c:pt>
                <c:pt idx="67">
                  <c:v>2.08888888888889</c:v>
                </c:pt>
                <c:pt idx="68">
                  <c:v>2.08888888888889</c:v>
                </c:pt>
                <c:pt idx="69">
                  <c:v>2.08888888888889</c:v>
                </c:pt>
                <c:pt idx="70">
                  <c:v>2.08888888888889</c:v>
                </c:pt>
                <c:pt idx="71">
                  <c:v>2.08888888888889</c:v>
                </c:pt>
                <c:pt idx="72">
                  <c:v>2.08888888888889</c:v>
                </c:pt>
                <c:pt idx="73">
                  <c:v>2.08888888888889</c:v>
                </c:pt>
                <c:pt idx="74">
                  <c:v>2.08888888888889</c:v>
                </c:pt>
                <c:pt idx="75">
                  <c:v>2.08888888888889</c:v>
                </c:pt>
                <c:pt idx="76">
                  <c:v>2.08888888888889</c:v>
                </c:pt>
                <c:pt idx="77">
                  <c:v>2.08888888888889</c:v>
                </c:pt>
                <c:pt idx="78">
                  <c:v>2.08888888888889</c:v>
                </c:pt>
                <c:pt idx="79">
                  <c:v>2.08888888888889</c:v>
                </c:pt>
                <c:pt idx="80">
                  <c:v>2.08888888888889</c:v>
                </c:pt>
                <c:pt idx="81">
                  <c:v>2.08888888888889</c:v>
                </c:pt>
                <c:pt idx="82">
                  <c:v>2.08888888888889</c:v>
                </c:pt>
                <c:pt idx="83">
                  <c:v>2.08888888888889</c:v>
                </c:pt>
                <c:pt idx="84">
                  <c:v>2.08888888888889</c:v>
                </c:pt>
                <c:pt idx="85">
                  <c:v>2.08888888888889</c:v>
                </c:pt>
                <c:pt idx="86">
                  <c:v>2.08888888888889</c:v>
                </c:pt>
                <c:pt idx="87">
                  <c:v>2.08888888888889</c:v>
                </c:pt>
                <c:pt idx="88">
                  <c:v>2.08888888888889</c:v>
                </c:pt>
                <c:pt idx="89">
                  <c:v>2.08888888888889</c:v>
                </c:pt>
                <c:pt idx="90">
                  <c:v>2.08888888888889</c:v>
                </c:pt>
                <c:pt idx="91">
                  <c:v>2.08888888888889</c:v>
                </c:pt>
                <c:pt idx="92">
                  <c:v>2.08888888888889</c:v>
                </c:pt>
                <c:pt idx="93">
                  <c:v>2.08888888888889</c:v>
                </c:pt>
                <c:pt idx="94">
                  <c:v>2.08888888888889</c:v>
                </c:pt>
                <c:pt idx="95">
                  <c:v>2.08888888888889</c:v>
                </c:pt>
                <c:pt idx="96">
                  <c:v>2.08888888888889</c:v>
                </c:pt>
                <c:pt idx="97">
                  <c:v>2.08888888888889</c:v>
                </c:pt>
                <c:pt idx="98">
                  <c:v>2.08888888888889</c:v>
                </c:pt>
                <c:pt idx="99">
                  <c:v>2.08888888888889</c:v>
                </c:pt>
                <c:pt idx="100">
                  <c:v>2.08888888888889</c:v>
                </c:pt>
              </c:numCache>
            </c:numRef>
          </c:val>
          <c:smooth val="0"/>
        </c:ser>
        <c:ser>
          <c:idx val="0"/>
          <c:order val="1"/>
          <c:tx>
            <c:strRef>
              <c:f>"VIN-nom"</c:f>
              <c:strCache>
                <c:ptCount val="1"/>
                <c:pt idx="0">
                  <c:v>VIN-nom</c:v>
                </c:pt>
              </c:strCache>
            </c:strRef>
          </c:tx>
          <c:spPr>
            <a:ln w="28575" cap="rnd" cmpd="sng" algn="ctr">
              <a:solidFill>
                <a:srgbClr val="0000FF"/>
              </a:solidFill>
              <a:prstDash val="lgDash"/>
              <a:round/>
            </a:ln>
          </c:spPr>
          <c:marker>
            <c:symbol val="none"/>
          </c:marker>
          <c:dLbls>
            <c:delete val="1"/>
          </c:dLbls>
          <c:cat>
            <c:numRef>
              <c:f>'Calculations - Dual'!$AL$5:$AL$105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Dual'!$AJ$5:$AJ$105</c:f>
              <c:numCache>
                <c:formatCode>0.000</c:formatCode>
                <c:ptCount val="101"/>
                <c:pt idx="0">
                  <c:v>1.00571428571429</c:v>
                </c:pt>
                <c:pt idx="1">
                  <c:v>1.05711463844797</c:v>
                </c:pt>
                <c:pt idx="2">
                  <c:v>1.11422927689594</c:v>
                </c:pt>
                <c:pt idx="3">
                  <c:v>1.17134391534392</c:v>
                </c:pt>
                <c:pt idx="4">
                  <c:v>1.2126888791621</c:v>
                </c:pt>
                <c:pt idx="5">
                  <c:v>1.24041637346012</c:v>
                </c:pt>
                <c:pt idx="6">
                  <c:v>1.26548394443118</c:v>
                </c:pt>
                <c:pt idx="7">
                  <c:v>1.28853595501338</c:v>
                </c:pt>
                <c:pt idx="8">
                  <c:v>1.30999224330749</c:v>
                </c:pt>
                <c:pt idx="9">
                  <c:v>1.33014442985426</c:v>
                </c:pt>
                <c:pt idx="10">
                  <c:v>1.34920484179438</c:v>
                </c:pt>
                <c:pt idx="11">
                  <c:v>1.36733376896825</c:v>
                </c:pt>
                <c:pt idx="12">
                  <c:v>1.38465574063739</c:v>
                </c:pt>
                <c:pt idx="13">
                  <c:v>1.40126978838623</c:v>
                </c:pt>
                <c:pt idx="14">
                  <c:v>1.41725620664271</c:v>
                </c:pt>
                <c:pt idx="15">
                  <c:v>1.43268116952814</c:v>
                </c:pt>
                <c:pt idx="16">
                  <c:v>1.44759998054642</c:v>
                </c:pt>
                <c:pt idx="17">
                  <c:v>1.46205941959665</c:v>
                </c:pt>
                <c:pt idx="18">
                  <c:v>1.47609947607234</c:v>
                </c:pt>
                <c:pt idx="19">
                  <c:v>1.54479333959787</c:v>
                </c:pt>
                <c:pt idx="20">
                  <c:v>1.57463626390419</c:v>
                </c:pt>
                <c:pt idx="21">
                  <c:v>1.60447918821051</c:v>
                </c:pt>
                <c:pt idx="22">
                  <c:v>1.63432211251683</c:v>
                </c:pt>
                <c:pt idx="23">
                  <c:v>1.66416503682315</c:v>
                </c:pt>
                <c:pt idx="24">
                  <c:v>1.69400796112947</c:v>
                </c:pt>
                <c:pt idx="25">
                  <c:v>1.72385088543579</c:v>
                </c:pt>
                <c:pt idx="26">
                  <c:v>1.75369380974211</c:v>
                </c:pt>
                <c:pt idx="27">
                  <c:v>1.78353673404844</c:v>
                </c:pt>
                <c:pt idx="28">
                  <c:v>1.81337965835476</c:v>
                </c:pt>
                <c:pt idx="29">
                  <c:v>1.84322258266107</c:v>
                </c:pt>
                <c:pt idx="30">
                  <c:v>1.8730655069674</c:v>
                </c:pt>
                <c:pt idx="31">
                  <c:v>1.90290843127372</c:v>
                </c:pt>
                <c:pt idx="32">
                  <c:v>1.93275135558004</c:v>
                </c:pt>
                <c:pt idx="33">
                  <c:v>1.96259427988636</c:v>
                </c:pt>
                <c:pt idx="34">
                  <c:v>1.99243720419268</c:v>
                </c:pt>
                <c:pt idx="35">
                  <c:v>2.022280128499</c:v>
                </c:pt>
                <c:pt idx="36">
                  <c:v>2.05212305280532</c:v>
                </c:pt>
                <c:pt idx="37">
                  <c:v>2.08196597711164</c:v>
                </c:pt>
                <c:pt idx="38">
                  <c:v>2.08888888888889</c:v>
                </c:pt>
                <c:pt idx="39">
                  <c:v>2.08888888888889</c:v>
                </c:pt>
                <c:pt idx="40">
                  <c:v>2.08888888888889</c:v>
                </c:pt>
                <c:pt idx="41">
                  <c:v>2.08888888888889</c:v>
                </c:pt>
                <c:pt idx="42">
                  <c:v>2.08888888888889</c:v>
                </c:pt>
                <c:pt idx="43">
                  <c:v>2.08888888888889</c:v>
                </c:pt>
                <c:pt idx="44">
                  <c:v>2.08888888888889</c:v>
                </c:pt>
                <c:pt idx="45">
                  <c:v>2.08888888888889</c:v>
                </c:pt>
                <c:pt idx="46">
                  <c:v>2.08888888888889</c:v>
                </c:pt>
                <c:pt idx="47">
                  <c:v>2.08888888888889</c:v>
                </c:pt>
                <c:pt idx="48">
                  <c:v>2.08888888888889</c:v>
                </c:pt>
                <c:pt idx="49">
                  <c:v>2.08888888888889</c:v>
                </c:pt>
                <c:pt idx="50">
                  <c:v>2.08888888888889</c:v>
                </c:pt>
                <c:pt idx="51">
                  <c:v>2.08888888888889</c:v>
                </c:pt>
                <c:pt idx="52">
                  <c:v>2.08888888888889</c:v>
                </c:pt>
                <c:pt idx="53">
                  <c:v>2.08888888888889</c:v>
                </c:pt>
                <c:pt idx="54">
                  <c:v>2.08888888888889</c:v>
                </c:pt>
                <c:pt idx="55">
                  <c:v>2.08888888888889</c:v>
                </c:pt>
                <c:pt idx="56">
                  <c:v>2.08888888888889</c:v>
                </c:pt>
                <c:pt idx="57">
                  <c:v>2.08888888888889</c:v>
                </c:pt>
                <c:pt idx="58">
                  <c:v>2.08888888888889</c:v>
                </c:pt>
                <c:pt idx="59">
                  <c:v>2.08888888888889</c:v>
                </c:pt>
                <c:pt idx="60">
                  <c:v>2.08888888888889</c:v>
                </c:pt>
                <c:pt idx="61">
                  <c:v>2.08888888888889</c:v>
                </c:pt>
                <c:pt idx="62">
                  <c:v>2.08888888888889</c:v>
                </c:pt>
                <c:pt idx="63">
                  <c:v>2.08888888888889</c:v>
                </c:pt>
                <c:pt idx="64">
                  <c:v>2.08888888888889</c:v>
                </c:pt>
                <c:pt idx="65">
                  <c:v>2.08888888888889</c:v>
                </c:pt>
                <c:pt idx="66">
                  <c:v>2.08888888888889</c:v>
                </c:pt>
                <c:pt idx="67">
                  <c:v>2.08888888888889</c:v>
                </c:pt>
                <c:pt idx="68">
                  <c:v>2.08888888888889</c:v>
                </c:pt>
                <c:pt idx="69">
                  <c:v>2.08888888888889</c:v>
                </c:pt>
                <c:pt idx="70">
                  <c:v>2.08888888888889</c:v>
                </c:pt>
                <c:pt idx="71">
                  <c:v>2.08888888888889</c:v>
                </c:pt>
                <c:pt idx="72">
                  <c:v>2.08888888888889</c:v>
                </c:pt>
                <c:pt idx="73">
                  <c:v>2.08888888888889</c:v>
                </c:pt>
                <c:pt idx="74">
                  <c:v>2.08888888888889</c:v>
                </c:pt>
                <c:pt idx="75">
                  <c:v>2.08888888888889</c:v>
                </c:pt>
                <c:pt idx="76">
                  <c:v>2.08888888888889</c:v>
                </c:pt>
                <c:pt idx="77">
                  <c:v>2.08888888888889</c:v>
                </c:pt>
                <c:pt idx="78">
                  <c:v>2.08888888888889</c:v>
                </c:pt>
                <c:pt idx="79">
                  <c:v>2.08888888888889</c:v>
                </c:pt>
                <c:pt idx="80">
                  <c:v>2.08888888888889</c:v>
                </c:pt>
                <c:pt idx="81">
                  <c:v>2.08888888888889</c:v>
                </c:pt>
                <c:pt idx="82">
                  <c:v>2.08888888888889</c:v>
                </c:pt>
                <c:pt idx="83">
                  <c:v>2.08888888888889</c:v>
                </c:pt>
                <c:pt idx="84">
                  <c:v>2.08888888888889</c:v>
                </c:pt>
                <c:pt idx="85">
                  <c:v>2.08888888888889</c:v>
                </c:pt>
                <c:pt idx="86">
                  <c:v>2.08888888888889</c:v>
                </c:pt>
                <c:pt idx="87">
                  <c:v>2.08888888888889</c:v>
                </c:pt>
                <c:pt idx="88">
                  <c:v>2.08888888888889</c:v>
                </c:pt>
                <c:pt idx="89">
                  <c:v>2.08888888888889</c:v>
                </c:pt>
                <c:pt idx="90">
                  <c:v>2.08888888888889</c:v>
                </c:pt>
                <c:pt idx="91">
                  <c:v>2.08888888888889</c:v>
                </c:pt>
                <c:pt idx="92">
                  <c:v>2.08888888888889</c:v>
                </c:pt>
                <c:pt idx="93">
                  <c:v>2.08888888888889</c:v>
                </c:pt>
                <c:pt idx="94">
                  <c:v>2.08888888888889</c:v>
                </c:pt>
                <c:pt idx="95">
                  <c:v>2.08888888888889</c:v>
                </c:pt>
                <c:pt idx="96">
                  <c:v>2.08888888888889</c:v>
                </c:pt>
                <c:pt idx="97">
                  <c:v>2.08888888888889</c:v>
                </c:pt>
                <c:pt idx="98">
                  <c:v>2.08888888888889</c:v>
                </c:pt>
                <c:pt idx="99">
                  <c:v>2.08888888888889</c:v>
                </c:pt>
                <c:pt idx="100">
                  <c:v>2.08888888888889</c:v>
                </c:pt>
              </c:numCache>
            </c:numRef>
          </c:val>
          <c:smooth val="0"/>
        </c:ser>
        <c:ser>
          <c:idx val="2"/>
          <c:order val="2"/>
          <c:tx>
            <c:strRef>
              <c:f>"VIN-max"</c:f>
              <c:strCache>
                <c:ptCount val="1"/>
                <c:pt idx="0">
                  <c:v>VIN-max</c:v>
                </c:pt>
              </c:strCache>
            </c:strRef>
          </c:tx>
          <c:spPr>
            <a:ln w="28575" cap="rnd" cmpd="sng" algn="ctr">
              <a:solidFill>
                <a:srgbClr val="FF0000"/>
              </a:solidFill>
              <a:prstDash val="solid"/>
              <a:round/>
            </a:ln>
          </c:spPr>
          <c:marker>
            <c:symbol val="none"/>
          </c:marker>
          <c:dLbls>
            <c:delete val="1"/>
          </c:dLbls>
          <c:val>
            <c:numRef>
              <c:f>'Calculations - Dual'!$AJ$216:$AJ$316</c:f>
              <c:numCache>
                <c:formatCode>0.000</c:formatCode>
                <c:ptCount val="101"/>
                <c:pt idx="0">
                  <c:v>1.00571428571429</c:v>
                </c:pt>
                <c:pt idx="1">
                  <c:v>1.05711463844797</c:v>
                </c:pt>
                <c:pt idx="2">
                  <c:v>1.11422927689594</c:v>
                </c:pt>
                <c:pt idx="3">
                  <c:v>1.17134391534392</c:v>
                </c:pt>
                <c:pt idx="4">
                  <c:v>1.2126888791621</c:v>
                </c:pt>
                <c:pt idx="5">
                  <c:v>1.24041637346012</c:v>
                </c:pt>
                <c:pt idx="6">
                  <c:v>1.26548394443118</c:v>
                </c:pt>
                <c:pt idx="7">
                  <c:v>1.28853595501338</c:v>
                </c:pt>
                <c:pt idx="8">
                  <c:v>1.30999224330749</c:v>
                </c:pt>
                <c:pt idx="9">
                  <c:v>1.33014442985426</c:v>
                </c:pt>
                <c:pt idx="10">
                  <c:v>1.34920484179438</c:v>
                </c:pt>
                <c:pt idx="11">
                  <c:v>1.36733376896825</c:v>
                </c:pt>
                <c:pt idx="12">
                  <c:v>1.38465574063739</c:v>
                </c:pt>
                <c:pt idx="13">
                  <c:v>1.40126978838623</c:v>
                </c:pt>
                <c:pt idx="14">
                  <c:v>1.41725620664271</c:v>
                </c:pt>
                <c:pt idx="15">
                  <c:v>1.43268116952814</c:v>
                </c:pt>
                <c:pt idx="16">
                  <c:v>1.44759998054642</c:v>
                </c:pt>
                <c:pt idx="17">
                  <c:v>1.46205941959665</c:v>
                </c:pt>
                <c:pt idx="18">
                  <c:v>1.47609947607234</c:v>
                </c:pt>
                <c:pt idx="19">
                  <c:v>1.48975465360283</c:v>
                </c:pt>
                <c:pt idx="20">
                  <c:v>1.50305496914247</c:v>
                </c:pt>
                <c:pt idx="21">
                  <c:v>1.51602672961733</c:v>
                </c:pt>
                <c:pt idx="22">
                  <c:v>1.58689902805671</c:v>
                </c:pt>
                <c:pt idx="23">
                  <c:v>1.61458635761484</c:v>
                </c:pt>
                <c:pt idx="24">
                  <c:v>1.64227368717298</c:v>
                </c:pt>
                <c:pt idx="25">
                  <c:v>1.66996101673111</c:v>
                </c:pt>
                <c:pt idx="26">
                  <c:v>1.69764834628924</c:v>
                </c:pt>
                <c:pt idx="27">
                  <c:v>1.72533567584738</c:v>
                </c:pt>
                <c:pt idx="28">
                  <c:v>1.75302300540551</c:v>
                </c:pt>
                <c:pt idx="29">
                  <c:v>1.78071033496364</c:v>
                </c:pt>
                <c:pt idx="30">
                  <c:v>1.80839766452178</c:v>
                </c:pt>
                <c:pt idx="31">
                  <c:v>1.83608499407991</c:v>
                </c:pt>
                <c:pt idx="32">
                  <c:v>1.86377232363804</c:v>
                </c:pt>
                <c:pt idx="33">
                  <c:v>1.89145965319618</c:v>
                </c:pt>
                <c:pt idx="34">
                  <c:v>1.91914698275431</c:v>
                </c:pt>
                <c:pt idx="35">
                  <c:v>1.94683431231244</c:v>
                </c:pt>
                <c:pt idx="36">
                  <c:v>1.97452164187058</c:v>
                </c:pt>
                <c:pt idx="37">
                  <c:v>2.00220897142871</c:v>
                </c:pt>
                <c:pt idx="38">
                  <c:v>2.02989630098684</c:v>
                </c:pt>
                <c:pt idx="39">
                  <c:v>2.05758363054498</c:v>
                </c:pt>
                <c:pt idx="40">
                  <c:v>2.08527096010311</c:v>
                </c:pt>
                <c:pt idx="41">
                  <c:v>2.08888888888889</c:v>
                </c:pt>
                <c:pt idx="42">
                  <c:v>2.08888888888889</c:v>
                </c:pt>
                <c:pt idx="43">
                  <c:v>2.08888888888889</c:v>
                </c:pt>
                <c:pt idx="44">
                  <c:v>2.08888888888889</c:v>
                </c:pt>
                <c:pt idx="45">
                  <c:v>2.08888888888889</c:v>
                </c:pt>
                <c:pt idx="46">
                  <c:v>2.08888888888889</c:v>
                </c:pt>
                <c:pt idx="47">
                  <c:v>2.08888888888889</c:v>
                </c:pt>
                <c:pt idx="48">
                  <c:v>2.08888888888889</c:v>
                </c:pt>
                <c:pt idx="49">
                  <c:v>2.08888888888889</c:v>
                </c:pt>
                <c:pt idx="50">
                  <c:v>2.08888888888889</c:v>
                </c:pt>
                <c:pt idx="51">
                  <c:v>2.08888888888889</c:v>
                </c:pt>
                <c:pt idx="52">
                  <c:v>2.08888888888889</c:v>
                </c:pt>
                <c:pt idx="53">
                  <c:v>2.08888888888889</c:v>
                </c:pt>
                <c:pt idx="54">
                  <c:v>2.08888888888889</c:v>
                </c:pt>
                <c:pt idx="55">
                  <c:v>2.08888888888889</c:v>
                </c:pt>
                <c:pt idx="56">
                  <c:v>2.08888888888889</c:v>
                </c:pt>
                <c:pt idx="57">
                  <c:v>2.08888888888889</c:v>
                </c:pt>
                <c:pt idx="58">
                  <c:v>2.08888888888889</c:v>
                </c:pt>
                <c:pt idx="59">
                  <c:v>2.08888888888889</c:v>
                </c:pt>
                <c:pt idx="60">
                  <c:v>2.08888888888889</c:v>
                </c:pt>
                <c:pt idx="61">
                  <c:v>2.08888888888889</c:v>
                </c:pt>
                <c:pt idx="62">
                  <c:v>2.08888888888889</c:v>
                </c:pt>
                <c:pt idx="63">
                  <c:v>2.08888888888889</c:v>
                </c:pt>
                <c:pt idx="64">
                  <c:v>2.08888888888889</c:v>
                </c:pt>
                <c:pt idx="65">
                  <c:v>2.08888888888889</c:v>
                </c:pt>
                <c:pt idx="66">
                  <c:v>2.08888888888889</c:v>
                </c:pt>
                <c:pt idx="67">
                  <c:v>2.08888888888889</c:v>
                </c:pt>
                <c:pt idx="68">
                  <c:v>2.08888888888889</c:v>
                </c:pt>
                <c:pt idx="69">
                  <c:v>2.08888888888889</c:v>
                </c:pt>
                <c:pt idx="70">
                  <c:v>2.08888888888889</c:v>
                </c:pt>
                <c:pt idx="71">
                  <c:v>2.08888888888889</c:v>
                </c:pt>
                <c:pt idx="72">
                  <c:v>2.08888888888889</c:v>
                </c:pt>
                <c:pt idx="73">
                  <c:v>2.08888888888889</c:v>
                </c:pt>
                <c:pt idx="74">
                  <c:v>2.08888888888889</c:v>
                </c:pt>
                <c:pt idx="75">
                  <c:v>2.08888888888889</c:v>
                </c:pt>
                <c:pt idx="76">
                  <c:v>2.08888888888889</c:v>
                </c:pt>
                <c:pt idx="77">
                  <c:v>2.08888888888889</c:v>
                </c:pt>
                <c:pt idx="78">
                  <c:v>2.08888888888889</c:v>
                </c:pt>
                <c:pt idx="79">
                  <c:v>2.08888888888889</c:v>
                </c:pt>
                <c:pt idx="80">
                  <c:v>2.08888888888889</c:v>
                </c:pt>
                <c:pt idx="81">
                  <c:v>2.08888888888889</c:v>
                </c:pt>
                <c:pt idx="82">
                  <c:v>2.08888888888889</c:v>
                </c:pt>
                <c:pt idx="83">
                  <c:v>2.08888888888889</c:v>
                </c:pt>
                <c:pt idx="84">
                  <c:v>2.08888888888889</c:v>
                </c:pt>
                <c:pt idx="85">
                  <c:v>2.08888888888889</c:v>
                </c:pt>
                <c:pt idx="86">
                  <c:v>2.08888888888889</c:v>
                </c:pt>
                <c:pt idx="87">
                  <c:v>2.08888888888889</c:v>
                </c:pt>
                <c:pt idx="88">
                  <c:v>2.08888888888889</c:v>
                </c:pt>
                <c:pt idx="89">
                  <c:v>2.08888888888889</c:v>
                </c:pt>
                <c:pt idx="90">
                  <c:v>2.08888888888889</c:v>
                </c:pt>
                <c:pt idx="91">
                  <c:v>2.08888888888889</c:v>
                </c:pt>
                <c:pt idx="92">
                  <c:v>2.08888888888889</c:v>
                </c:pt>
                <c:pt idx="93">
                  <c:v>2.08888888888889</c:v>
                </c:pt>
                <c:pt idx="94">
                  <c:v>2.08888888888889</c:v>
                </c:pt>
                <c:pt idx="95">
                  <c:v>2.08888888888889</c:v>
                </c:pt>
                <c:pt idx="96">
                  <c:v>2.08888888888889</c:v>
                </c:pt>
                <c:pt idx="97">
                  <c:v>2.08888888888889</c:v>
                </c:pt>
                <c:pt idx="98">
                  <c:v>2.08888888888889</c:v>
                </c:pt>
                <c:pt idx="99">
                  <c:v>2.08888888888889</c:v>
                </c:pt>
                <c:pt idx="100">
                  <c:v>2.08888888888889</c:v>
                </c:pt>
              </c:numCache>
            </c:numRef>
          </c:val>
          <c:smooth val="0"/>
        </c:ser>
        <c:dLbls>
          <c:showLegendKey val="0"/>
          <c:showVal val="0"/>
          <c:showCatName val="0"/>
          <c:showSerName val="0"/>
          <c:showPercent val="0"/>
          <c:showBubbleSize val="0"/>
        </c:dLbls>
        <c:marker val="0"/>
        <c:smooth val="0"/>
        <c:axId val="180579712"/>
        <c:axId val="180594176"/>
      </c:lineChart>
      <c:catAx>
        <c:axId val="180579712"/>
        <c:scaling>
          <c:orientation val="minMax"/>
        </c:scaling>
        <c:delete val="0"/>
        <c:axPos val="b"/>
        <c:majorGridlines>
          <c:spPr>
            <a:ln w="15875" cap="flat" cmpd="sng" algn="ctr">
              <a:solidFill>
                <a:srgbClr val="969696"/>
              </a:solidFill>
              <a:prstDash val="sysDash"/>
              <a:round/>
            </a:ln>
          </c:spPr>
        </c:majorGridlines>
        <c:title>
          <c:tx>
            <c:rich>
              <a:bodyPr rot="0" spcFirstLastPara="0" vertOverflow="ellipsis" vert="horz" wrap="square" anchor="ctr" anchorCtr="1"/>
              <a:lstStyle/>
              <a:p>
                <a:pPr>
                  <a:defRPr lang="zh-CN" sz="12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200">
                    <a:solidFill>
                      <a:schemeClr val="tx1"/>
                    </a:solidFill>
                    <a:latin typeface="Arial" panose="020B0604020202020204" pitchFamily="7" charset="0"/>
                    <a:cs typeface="Arial" panose="020B0604020202020204" pitchFamily="7" charset="0"/>
                  </a:rPr>
                  <a:t>Load Current (mA)</a:t>
                </a:r>
                <a:endParaRPr lang="en-US" sz="1200">
                  <a:solidFill>
                    <a:schemeClr val="tx1"/>
                  </a:solidFill>
                  <a:latin typeface="Arial" panose="020B0604020202020204" pitchFamily="7" charset="0"/>
                  <a:cs typeface="Arial" panose="020B0604020202020204" pitchFamily="7" charset="0"/>
                </a:endParaRPr>
              </a:p>
            </c:rich>
          </c:tx>
          <c:layout>
            <c:manualLayout>
              <c:xMode val="edge"/>
              <c:yMode val="edge"/>
              <c:x val="0.454241359364963"/>
              <c:y val="0.941066916105386"/>
            </c:manualLayout>
          </c:layout>
          <c:overlay val="0"/>
          <c:spPr>
            <a:noFill/>
            <a:ln w="25400">
              <a:noFill/>
            </a:ln>
          </c:spPr>
        </c:title>
        <c:numFmt formatCode="0" sourceLinked="1"/>
        <c:majorTickMark val="in"/>
        <c:minorTickMark val="in"/>
        <c:tickLblPos val="nextTo"/>
        <c:spPr>
          <a:ln w="3175" cap="flat" cmpd="sng" algn="ctr">
            <a:solidFill>
              <a:schemeClr val="tx1"/>
            </a:solidFill>
            <a:prstDash val="solid"/>
            <a:round/>
          </a:ln>
        </c:spPr>
        <c:txPr>
          <a:bodyPr rot="0" spcFirstLastPara="0" vertOverflow="ellipsis" vert="horz" wrap="square" anchor="ctr" anchorCtr="1"/>
          <a:lstStyle/>
          <a:p>
            <a:pPr>
              <a:defRPr lang="zh-CN" sz="11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80594176"/>
        <c:crosses val="autoZero"/>
        <c:auto val="1"/>
        <c:lblAlgn val="ctr"/>
        <c:lblOffset val="100"/>
        <c:tickLblSkip val="20"/>
        <c:tickMarkSkip val="10"/>
        <c:noMultiLvlLbl val="0"/>
      </c:catAx>
      <c:valAx>
        <c:axId val="180594176"/>
        <c:scaling>
          <c:orientation val="minMax"/>
          <c:max val="2.2"/>
          <c:min val="1"/>
        </c:scaling>
        <c:delete val="0"/>
        <c:axPos val="l"/>
        <c:majorGridlines>
          <c:spPr>
            <a:ln w="15875" cap="flat" cmpd="sng" algn="ctr">
              <a:solidFill>
                <a:srgbClr val="808080"/>
              </a:solidFill>
              <a:prstDash val="solid"/>
              <a:round/>
            </a:ln>
          </c:spPr>
        </c:majorGridlines>
        <c:title>
          <c:tx>
            <c:rich>
              <a:bodyPr rot="-5400000" spcFirstLastPara="0" vertOverflow="ellipsis" vert="horz" wrap="square" anchor="ctr" anchorCtr="1"/>
              <a:lstStyle/>
              <a:p>
                <a:pPr>
                  <a:defRPr lang="zh-CN" sz="14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200" b="1">
                    <a:solidFill>
                      <a:schemeClr val="tx1"/>
                    </a:solidFill>
                    <a:latin typeface="Arial" panose="020B0604020202020204" pitchFamily="7" charset="0"/>
                    <a:cs typeface="Arial" panose="020B0604020202020204" pitchFamily="7" charset="0"/>
                  </a:rPr>
                  <a:t>COMP</a:t>
                </a:r>
                <a:r>
                  <a:rPr lang="en-US" sz="1200" b="1" baseline="0">
                    <a:solidFill>
                      <a:schemeClr val="tx1"/>
                    </a:solidFill>
                    <a:latin typeface="Arial" panose="020B0604020202020204" pitchFamily="7" charset="0"/>
                    <a:cs typeface="Arial" panose="020B0604020202020204" pitchFamily="7" charset="0"/>
                  </a:rPr>
                  <a:t> Voltage (V)</a:t>
                </a:r>
                <a:endParaRPr lang="en-US" sz="1200" b="1">
                  <a:solidFill>
                    <a:schemeClr val="tx1"/>
                  </a:solidFill>
                  <a:latin typeface="Arial" panose="020B0604020202020204" pitchFamily="7" charset="0"/>
                  <a:cs typeface="Arial" panose="020B0604020202020204" pitchFamily="7" charset="0"/>
                </a:endParaRPr>
              </a:p>
            </c:rich>
          </c:tx>
          <c:layout>
            <c:manualLayout>
              <c:xMode val="edge"/>
              <c:yMode val="edge"/>
              <c:x val="0.0159396354525452"/>
              <c:y val="0.346031699880133"/>
            </c:manualLayout>
          </c:layout>
          <c:overlay val="0"/>
          <c:spPr>
            <a:noFill/>
            <a:ln w="25400">
              <a:noFill/>
            </a:ln>
          </c:spPr>
        </c:title>
        <c:numFmt formatCode="#,##0.0" sourceLinked="0"/>
        <c:majorTickMark val="out"/>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80579712"/>
        <c:crossesAt val="0"/>
        <c:crossBetween val="between"/>
        <c:majorUnit val="0.2"/>
        <c:minorUnit val="0.1"/>
      </c:valAx>
      <c:spPr>
        <a:solidFill>
          <a:srgbClr val="FFFFFF"/>
        </a:solidFill>
        <a:ln w="25400">
          <a:noFill/>
        </a:ln>
      </c:spPr>
    </c:plotArea>
    <c:legend>
      <c:legendPos val="t"/>
      <c:layout>
        <c:manualLayout>
          <c:xMode val="edge"/>
          <c:yMode val="edge"/>
          <c:x val="0.502793429891031"/>
          <c:y val="0.0169510258778068"/>
          <c:w val="0.444179477565304"/>
          <c:h val="0.0897950493206176"/>
        </c:manualLayout>
      </c:layout>
      <c:overlay val="0"/>
      <c:spPr>
        <a:solidFill>
          <a:srgbClr val="FFFFFF"/>
        </a:solidFill>
        <a:ln w="25400">
          <a:noFill/>
        </a:ln>
      </c:spPr>
      <c:txPr>
        <a:bodyPr rot="0" spcFirstLastPara="0" vertOverflow="ellipsis" vert="horz" wrap="square" anchor="ctr" anchorCtr="1"/>
        <a:lstStyle/>
        <a:p>
          <a:pPr>
            <a:defRPr lang="zh-CN" sz="1400" b="0"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6ca18df5-7a31-45a6-8a08-88b8d95dec23}"/>
      </c:ext>
    </c:extLst>
  </c:chart>
  <c:spPr>
    <a:solidFill>
      <a:srgbClr val="FFFFFF"/>
    </a:solidFill>
    <a:ln w="9525" cap="flat" cmpd="sng" algn="ctr">
      <a:solidFill>
        <a:srgbClr val="808080"/>
      </a:solid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defRPr lang="zh-CN" sz="1800" b="1"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r>
              <a:rPr lang="en-US" sz="1800" b="1" i="0" baseline="0">
                <a:effectLst/>
                <a:sym typeface="Symbol" panose="05050102010706020507"/>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0.0825867049166182"/>
          <c:y val="0.0183632897461127"/>
        </c:manualLayout>
      </c:layout>
      <c:overlay val="0"/>
      <c:spPr>
        <a:noFill/>
        <a:ln w="25400">
          <a:noFill/>
        </a:ln>
      </c:spPr>
    </c:title>
    <c:autoTitleDeleted val="0"/>
    <c:plotArea>
      <c:layout>
        <c:manualLayout>
          <c:layoutTarget val="inner"/>
          <c:xMode val="edge"/>
          <c:yMode val="edge"/>
          <c:x val="0.0767618840858043"/>
          <c:y val="0.121335233430015"/>
          <c:w val="0.825799902285061"/>
          <c:h val="0.755898026893831"/>
        </c:manualLayout>
      </c:layout>
      <c:lineChart>
        <c:grouping val="standard"/>
        <c:varyColors val="0"/>
        <c:ser>
          <c:idx val="0"/>
          <c:order val="0"/>
          <c:tx>
            <c:strRef>
              <c:f>"Efficiency"</c:f>
              <c:strCache>
                <c:ptCount val="1"/>
                <c:pt idx="0">
                  <c:v>Efficiency</c:v>
                </c:pt>
              </c:strCache>
            </c:strRef>
          </c:tx>
          <c:spPr>
            <a:ln w="38100" cap="rnd" cmpd="sng" algn="ctr">
              <a:solidFill>
                <a:srgbClr val="FF0000"/>
              </a:solidFill>
              <a:prstDash val="solid"/>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0.000153478953477578</c:v>
                </c:pt>
                <c:pt idx="1">
                  <c:v>79.3383681450899</c:v>
                </c:pt>
                <c:pt idx="2">
                  <c:v>83.5955781568989</c:v>
                </c:pt>
                <c:pt idx="3">
                  <c:v>85.1166005416404</c:v>
                </c:pt>
                <c:pt idx="4">
                  <c:v>86.2181011085601</c:v>
                </c:pt>
                <c:pt idx="5">
                  <c:v>87.0471439047306</c:v>
                </c:pt>
                <c:pt idx="6">
                  <c:v>87.6180994833587</c:v>
                </c:pt>
                <c:pt idx="7">
                  <c:v>88.035432971216</c:v>
                </c:pt>
                <c:pt idx="8">
                  <c:v>88.3535868471656</c:v>
                </c:pt>
                <c:pt idx="9">
                  <c:v>88.6038183076085</c:v>
                </c:pt>
                <c:pt idx="10">
                  <c:v>88.8053987800793</c:v>
                </c:pt>
                <c:pt idx="11">
                  <c:v>88.9708789539066</c:v>
                </c:pt>
                <c:pt idx="12">
                  <c:v>89.1087957401233</c:v>
                </c:pt>
                <c:pt idx="13">
                  <c:v>89.2251649228415</c:v>
                </c:pt>
                <c:pt idx="14">
                  <c:v>89.3243519345449</c:v>
                </c:pt>
                <c:pt idx="15">
                  <c:v>89.4096039744089</c:v>
                </c:pt>
                <c:pt idx="16">
                  <c:v>89.4833880841961</c:v>
                </c:pt>
                <c:pt idx="17">
                  <c:v>89.5476131779505</c:v>
                </c:pt>
                <c:pt idx="18">
                  <c:v>89.7227307965584</c:v>
                </c:pt>
                <c:pt idx="19">
                  <c:v>89.0239067859924</c:v>
                </c:pt>
                <c:pt idx="20">
                  <c:v>88.9499031309634</c:v>
                </c:pt>
                <c:pt idx="21">
                  <c:v>88.8625625505393</c:v>
                </c:pt>
                <c:pt idx="22">
                  <c:v>88.7639413756465</c:v>
                </c:pt>
                <c:pt idx="23">
                  <c:v>88.6556902938908</c:v>
                </c:pt>
                <c:pt idx="24">
                  <c:v>88.5391465758454</c:v>
                </c:pt>
                <c:pt idx="25">
                  <c:v>88.4154024602024</c:v>
                </c:pt>
                <c:pt idx="26">
                  <c:v>88.2853565288998</c:v>
                </c:pt>
                <c:pt idx="27">
                  <c:v>88.1497527690351</c:v>
                </c:pt>
                <c:pt idx="28">
                  <c:v>88.0092106019558</c:v>
                </c:pt>
                <c:pt idx="29">
                  <c:v>87.8642482039895</c:v>
                </c:pt>
                <c:pt idx="30">
                  <c:v>87.7153007880428</c:v>
                </c:pt>
                <c:pt idx="31">
                  <c:v>87.5627350596897</c:v>
                </c:pt>
                <c:pt idx="32">
                  <c:v>87.4068607403083</c:v>
                </c:pt>
                <c:pt idx="33">
                  <c:v>87.2479398207678</c:v>
                </c:pt>
                <c:pt idx="34">
                  <c:v>87.0861940438387</c:v>
                </c:pt>
                <c:pt idx="35">
                  <c:v>86.9218109928738</c:v>
                </c:pt>
                <c:pt idx="36">
                  <c:v>86.7549490754041</c:v>
                </c:pt>
                <c:pt idx="37">
                  <c:v>86.585741624142</c:v>
                </c:pt>
                <c:pt idx="38">
                  <c:v>86.4925460771151</c:v>
                </c:pt>
                <c:pt idx="39">
                  <c:v>86.4218133089911</c:v>
                </c:pt>
                <c:pt idx="40">
                  <c:v>86.3500947102178</c:v>
                </c:pt>
                <c:pt idx="41">
                  <c:v>86.2774428569733</c:v>
                </c:pt>
                <c:pt idx="42">
                  <c:v>86.203907389819</c:v>
                </c:pt>
                <c:pt idx="43">
                  <c:v>86.1295352115359</c:v>
                </c:pt>
                <c:pt idx="44">
                  <c:v>86.0543706692486</c:v>
                </c:pt>
                <c:pt idx="45">
                  <c:v>85.9784557222696</c:v>
                </c:pt>
                <c:pt idx="46">
                  <c:v>85.9018300969509</c:v>
                </c:pt>
                <c:pt idx="47">
                  <c:v>85.824531429696</c:v>
                </c:pt>
                <c:pt idx="48">
                  <c:v>85.7465953991734</c:v>
                </c:pt>
                <c:pt idx="49">
                  <c:v>85.6680558486688</c:v>
                </c:pt>
                <c:pt idx="50">
                  <c:v>85.5889448994205</c:v>
                </c:pt>
                <c:pt idx="51">
                  <c:v>85.5092930557014</c:v>
                </c:pt>
                <c:pt idx="52">
                  <c:v>85.4291293023398</c:v>
                </c:pt>
                <c:pt idx="53">
                  <c:v>85.3484811953039</c:v>
                </c:pt>
                <c:pt idx="54">
                  <c:v>85.2673749459167</c:v>
                </c:pt>
                <c:pt idx="55">
                  <c:v>85.1858354992174</c:v>
                </c:pt>
                <c:pt idx="56">
                  <c:v>85.103886606937</c:v>
                </c:pt>
                <c:pt idx="57">
                  <c:v>85.0215508955136</c:v>
                </c:pt>
                <c:pt idx="58">
                  <c:v>84.938849929536</c:v>
                </c:pt>
                <c:pt idx="59">
                  <c:v>84.8558042709681</c:v>
                </c:pt>
                <c:pt idx="60">
                  <c:v>84.772433534479</c:v>
                </c:pt>
                <c:pt idx="61">
                  <c:v>84.688756439171</c:v>
                </c:pt>
                <c:pt idx="62">
                  <c:v>84.6047908569775</c:v>
                </c:pt>
                <c:pt idx="63">
                  <c:v>84.520553857977</c:v>
                </c:pt>
                <c:pt idx="64">
                  <c:v>84.4360617528487</c:v>
                </c:pt>
                <c:pt idx="65">
                  <c:v>84.351330132679</c:v>
                </c:pt>
                <c:pt idx="66">
                  <c:v>84.2663739063073</c:v>
                </c:pt>
                <c:pt idx="67">
                  <c:v>84.1812073353877</c:v>
                </c:pt>
                <c:pt idx="68">
                  <c:v>84.0958440673275</c:v>
                </c:pt>
                <c:pt idx="69">
                  <c:v>84.0102971662493</c:v>
                </c:pt>
                <c:pt idx="70">
                  <c:v>83.9245791421151</c:v>
                </c:pt>
                <c:pt idx="71">
                  <c:v>83.8387019781368</c:v>
                </c:pt>
                <c:pt idx="72">
                  <c:v>83.75267715659</c:v>
                </c:pt>
                <c:pt idx="73">
                  <c:v>83.6665156831376</c:v>
                </c:pt>
                <c:pt idx="74">
                  <c:v>83.5802281097633</c:v>
                </c:pt>
                <c:pt idx="75">
                  <c:v>83.493824556406</c:v>
                </c:pt>
                <c:pt idx="76">
                  <c:v>83.4073147313793</c:v>
                </c:pt>
                <c:pt idx="77">
                  <c:v>83.3207079506561</c:v>
                </c:pt>
                <c:pt idx="78">
                  <c:v>83.2340131560903</c:v>
                </c:pt>
                <c:pt idx="79">
                  <c:v>83.1472389326426</c:v>
                </c:pt>
                <c:pt idx="80">
                  <c:v>83.060393524674</c:v>
                </c:pt>
                <c:pt idx="81">
                  <c:v>82.9734848513652</c:v>
                </c:pt>
                <c:pt idx="82">
                  <c:v>82.8865205213151</c:v>
                </c:pt>
                <c:pt idx="83">
                  <c:v>82.7995078463696</c:v>
                </c:pt>
                <c:pt idx="84">
                  <c:v>82.7124538547271</c:v>
                </c:pt>
                <c:pt idx="85">
                  <c:v>82.6253653033649</c:v>
                </c:pt>
                <c:pt idx="86">
                  <c:v>82.5382486898258</c:v>
                </c:pt>
                <c:pt idx="87">
                  <c:v>82.4511102634042</c:v>
                </c:pt>
                <c:pt idx="88">
                  <c:v>82.3639560357668</c:v>
                </c:pt>
                <c:pt idx="89">
                  <c:v>82.2767917910398</c:v>
                </c:pt>
                <c:pt idx="90">
                  <c:v>82.1896230953947</c:v>
                </c:pt>
                <c:pt idx="91">
                  <c:v>82.1024553061613</c:v>
                </c:pt>
                <c:pt idx="92">
                  <c:v>82.0152935804934</c:v>
                </c:pt>
                <c:pt idx="93">
                  <c:v>81.9281428836148</c:v>
                </c:pt>
                <c:pt idx="94">
                  <c:v>81.8410079966671</c:v>
                </c:pt>
                <c:pt idx="95">
                  <c:v>81.7538935241827</c:v>
                </c:pt>
                <c:pt idx="96">
                  <c:v>81.6668039012024</c:v>
                </c:pt>
                <c:pt idx="97">
                  <c:v>81.5797434000587</c:v>
                </c:pt>
                <c:pt idx="98">
                  <c:v>81.4927161368415</c:v>
                </c:pt>
                <c:pt idx="99">
                  <c:v>81.4057260775642</c:v>
                </c:pt>
                <c:pt idx="100">
                  <c:v>81.3187770440455</c:v>
                </c:pt>
              </c:numCache>
            </c:numRef>
          </c:val>
          <c:smooth val="0"/>
        </c:ser>
        <c:dLbls>
          <c:showLegendKey val="0"/>
          <c:showVal val="0"/>
          <c:showCatName val="0"/>
          <c:showSerName val="0"/>
          <c:showPercent val="0"/>
          <c:showBubbleSize val="0"/>
        </c:dLbls>
        <c:marker val="0"/>
        <c:smooth val="0"/>
        <c:axId val="180651136"/>
        <c:axId val="180653056"/>
      </c:lineChart>
      <c:lineChart>
        <c:grouping val="standard"/>
        <c:varyColors val="0"/>
        <c:ser>
          <c:idx val="2"/>
          <c:order val="1"/>
          <c:tx>
            <c:strRef>
              <c:f>'Calculations - Dual'!$BP$3</c:f>
              <c:strCache>
                <c:ptCount val="1"/>
                <c:pt idx="0">
                  <c:v>Flyback Diode Loss</c:v>
                </c:pt>
              </c:strCache>
            </c:strRef>
          </c:tx>
          <c:spPr>
            <a:ln w="38100" cap="rnd" cmpd="sng" algn="ctr">
              <a:solidFill>
                <a:srgbClr val="808000"/>
              </a:solidFill>
              <a:prstDash val="sysDash"/>
              <a:round/>
            </a:ln>
          </c:spPr>
          <c:marker>
            <c:symbol val="none"/>
          </c:marker>
          <c:dLbls>
            <c:delete val="1"/>
          </c:dLbls>
          <c:cat>
            <c:numRef>
              <c:f>{0,0.025,0.05,0.075,0.1,0.125,0.15,0.175,0.2,0.225,0.25,0.275,0.3,0.325,0.35,0.375,0.4,0.425,0.45,0.475,0.5,0.525,0.55,0.575,0.6,0.625,0.65,0.675,0.7,0.725,0.75,0.775,0.8,0.825,0.85,0.875,0.9,0.925,0.95,0.975,1,1.025,1.05,1.075,1.1,1.125,1.15,1.175,1.2,1.225,1.25,1.275,1.3,1.325,1.35,1.375,1.4,1.425,1.45,1.475,1.5,1.525,1.55,1.575,1.6,1.625,1.65,1.675,1.7,1.725,1.75,1.775,1.8,1.825,1.85,1.875,1.9,1.925,1.95,1.975,2,2.025,2.05,2.075,2.1,2.125,2.15,2.175,2.2,2.225,2.25,2.275,2.3,2.325,2.35,2.375,2.4,2.425,2.45,2.475,2.5,2.525,2.55,2.575,2.6,2.625,2.65,2.675,2.7,2.725,2.75,2.775,2.8,2.825,2.85,2.875,2.9,2.925,2.95,2.975,3,3.025,3.05,3.075,3.1,3.125,3.15,3.175,3.2,3.225,3.25,3.275,3.3,3.325,3.35,3.375,3.4,3.425,3.45,3.475,3.5,3.525,3.55,3.575,3.6,3.625,3.65,3.675,3.7,3.725,3.75,3.775,3.8,3.825,3.85,3.875,3.9,3.925,3.95,3.975,4,4.025,4.05,4.075,4.1,4.125,4.15,4.175,4.2,4.225,4.25,4.275,4.3,4.325,4.35,4.375,4.4,4.425,4.45,4.475,4.5,4.525,4.55,4.575,4.6,4.625,4.65,4.675,4.7,4.725,4.75,4.775,4.8,4.825,4.85,4.875,4.9,4.925,4.95,4.975,5}</c:f>
              <c:numCache>
                <c:formatCode>General</c:formatCode>
                <c:ptCount val="201"/>
                <c:pt idx="0">
                  <c:v>0</c:v>
                </c:pt>
                <c:pt idx="1">
                  <c:v>0.025</c:v>
                </c:pt>
                <c:pt idx="2">
                  <c:v>0.05</c:v>
                </c:pt>
                <c:pt idx="3">
                  <c:v>0.075</c:v>
                </c:pt>
                <c:pt idx="4">
                  <c:v>0.1</c:v>
                </c:pt>
                <c:pt idx="5">
                  <c:v>0.125</c:v>
                </c:pt>
                <c:pt idx="6">
                  <c:v>0.15</c:v>
                </c:pt>
                <c:pt idx="7">
                  <c:v>0.175</c:v>
                </c:pt>
                <c:pt idx="8">
                  <c:v>0.2</c:v>
                </c:pt>
                <c:pt idx="9">
                  <c:v>0.225</c:v>
                </c:pt>
                <c:pt idx="10">
                  <c:v>0.25</c:v>
                </c:pt>
                <c:pt idx="11">
                  <c:v>0.275</c:v>
                </c:pt>
                <c:pt idx="12">
                  <c:v>0.3</c:v>
                </c:pt>
                <c:pt idx="13">
                  <c:v>0.325</c:v>
                </c:pt>
                <c:pt idx="14">
                  <c:v>0.35</c:v>
                </c:pt>
                <c:pt idx="15">
                  <c:v>0.375</c:v>
                </c:pt>
                <c:pt idx="16">
                  <c:v>0.4</c:v>
                </c:pt>
                <c:pt idx="17">
                  <c:v>0.425</c:v>
                </c:pt>
                <c:pt idx="18">
                  <c:v>0.45</c:v>
                </c:pt>
                <c:pt idx="19">
                  <c:v>0.475</c:v>
                </c:pt>
                <c:pt idx="20">
                  <c:v>0.5</c:v>
                </c:pt>
                <c:pt idx="21">
                  <c:v>0.525</c:v>
                </c:pt>
                <c:pt idx="22">
                  <c:v>0.55</c:v>
                </c:pt>
                <c:pt idx="23">
                  <c:v>0.575</c:v>
                </c:pt>
                <c:pt idx="24">
                  <c:v>0.6</c:v>
                </c:pt>
                <c:pt idx="25">
                  <c:v>0.625</c:v>
                </c:pt>
                <c:pt idx="26">
                  <c:v>0.65</c:v>
                </c:pt>
                <c:pt idx="27">
                  <c:v>0.675</c:v>
                </c:pt>
                <c:pt idx="28">
                  <c:v>0.7</c:v>
                </c:pt>
                <c:pt idx="29">
                  <c:v>0.725</c:v>
                </c:pt>
                <c:pt idx="30">
                  <c:v>0.75</c:v>
                </c:pt>
                <c:pt idx="31">
                  <c:v>0.775</c:v>
                </c:pt>
                <c:pt idx="32">
                  <c:v>0.8</c:v>
                </c:pt>
                <c:pt idx="33">
                  <c:v>0.825</c:v>
                </c:pt>
                <c:pt idx="34">
                  <c:v>0.85</c:v>
                </c:pt>
                <c:pt idx="35">
                  <c:v>0.875</c:v>
                </c:pt>
                <c:pt idx="36">
                  <c:v>0.9</c:v>
                </c:pt>
                <c:pt idx="37">
                  <c:v>0.925</c:v>
                </c:pt>
                <c:pt idx="38">
                  <c:v>0.95</c:v>
                </c:pt>
                <c:pt idx="39">
                  <c:v>0.975</c:v>
                </c:pt>
                <c:pt idx="40">
                  <c:v>1</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pt idx="151">
                  <c:v>3.775</c:v>
                </c:pt>
                <c:pt idx="152">
                  <c:v>3.8</c:v>
                </c:pt>
                <c:pt idx="153">
                  <c:v>3.825</c:v>
                </c:pt>
                <c:pt idx="154">
                  <c:v>3.85</c:v>
                </c:pt>
                <c:pt idx="155">
                  <c:v>3.875</c:v>
                </c:pt>
                <c:pt idx="156">
                  <c:v>3.9</c:v>
                </c:pt>
                <c:pt idx="157">
                  <c:v>3.925</c:v>
                </c:pt>
                <c:pt idx="158">
                  <c:v>3.95</c:v>
                </c:pt>
                <c:pt idx="159">
                  <c:v>3.975</c:v>
                </c:pt>
                <c:pt idx="160">
                  <c:v>4</c:v>
                </c:pt>
                <c:pt idx="161">
                  <c:v>4.025</c:v>
                </c:pt>
                <c:pt idx="162">
                  <c:v>4.05</c:v>
                </c:pt>
                <c:pt idx="163">
                  <c:v>4.075</c:v>
                </c:pt>
                <c:pt idx="164">
                  <c:v>4.1</c:v>
                </c:pt>
                <c:pt idx="165">
                  <c:v>4.125</c:v>
                </c:pt>
                <c:pt idx="166">
                  <c:v>4.15</c:v>
                </c:pt>
                <c:pt idx="167">
                  <c:v>4.175</c:v>
                </c:pt>
                <c:pt idx="168">
                  <c:v>4.2</c:v>
                </c:pt>
                <c:pt idx="169">
                  <c:v>4.225</c:v>
                </c:pt>
                <c:pt idx="170">
                  <c:v>4.25</c:v>
                </c:pt>
                <c:pt idx="171">
                  <c:v>4.275</c:v>
                </c:pt>
                <c:pt idx="172">
                  <c:v>4.3</c:v>
                </c:pt>
                <c:pt idx="173">
                  <c:v>4.325</c:v>
                </c:pt>
                <c:pt idx="174">
                  <c:v>4.35</c:v>
                </c:pt>
                <c:pt idx="175">
                  <c:v>4.375</c:v>
                </c:pt>
                <c:pt idx="176">
                  <c:v>4.4</c:v>
                </c:pt>
                <c:pt idx="177">
                  <c:v>4.425</c:v>
                </c:pt>
                <c:pt idx="178">
                  <c:v>4.45</c:v>
                </c:pt>
                <c:pt idx="179">
                  <c:v>4.475</c:v>
                </c:pt>
                <c:pt idx="180">
                  <c:v>4.5</c:v>
                </c:pt>
                <c:pt idx="181">
                  <c:v>4.525</c:v>
                </c:pt>
                <c:pt idx="182">
                  <c:v>4.55</c:v>
                </c:pt>
                <c:pt idx="183">
                  <c:v>4.575</c:v>
                </c:pt>
                <c:pt idx="184">
                  <c:v>4.6</c:v>
                </c:pt>
                <c:pt idx="185">
                  <c:v>4.625</c:v>
                </c:pt>
                <c:pt idx="186">
                  <c:v>4.65</c:v>
                </c:pt>
                <c:pt idx="187">
                  <c:v>4.675</c:v>
                </c:pt>
                <c:pt idx="188">
                  <c:v>4.7</c:v>
                </c:pt>
                <c:pt idx="189">
                  <c:v>4.725</c:v>
                </c:pt>
                <c:pt idx="190">
                  <c:v>4.75</c:v>
                </c:pt>
                <c:pt idx="191">
                  <c:v>4.775</c:v>
                </c:pt>
                <c:pt idx="192">
                  <c:v>4.8</c:v>
                </c:pt>
                <c:pt idx="193">
                  <c:v>4.825</c:v>
                </c:pt>
                <c:pt idx="194">
                  <c:v>4.85</c:v>
                </c:pt>
                <c:pt idx="195">
                  <c:v>4.875</c:v>
                </c:pt>
                <c:pt idx="196">
                  <c:v>4.9</c:v>
                </c:pt>
                <c:pt idx="197">
                  <c:v>4.925</c:v>
                </c:pt>
                <c:pt idx="198">
                  <c:v>4.95</c:v>
                </c:pt>
                <c:pt idx="199">
                  <c:v>4.975</c:v>
                </c:pt>
                <c:pt idx="200">
                  <c:v>5</c:v>
                </c:pt>
              </c:numCache>
            </c:numRef>
          </c:cat>
          <c:val>
            <c:numRef>
              <c:f>'Calculations - Dual'!$BT$5:$BT$105</c:f>
              <c:numCache>
                <c:formatCode>0.0</c:formatCode>
                <c:ptCount val="101"/>
                <c:pt idx="0">
                  <c:v>8.86425347698031</c:v>
                </c:pt>
                <c:pt idx="1">
                  <c:v>14.3052523430772</c:v>
                </c:pt>
                <c:pt idx="2">
                  <c:v>19.6905025161616</c:v>
                </c:pt>
                <c:pt idx="3">
                  <c:v>25.075752689246</c:v>
                </c:pt>
                <c:pt idx="4">
                  <c:v>31.4327001691129</c:v>
                </c:pt>
                <c:pt idx="5">
                  <c:v>38.9507974110943</c:v>
                </c:pt>
                <c:pt idx="6">
                  <c:v>46.372012294007</c:v>
                </c:pt>
                <c:pt idx="7">
                  <c:v>53.7048548396742</c:v>
                </c:pt>
                <c:pt idx="8">
                  <c:v>60.9559186557121</c:v>
                </c:pt>
                <c:pt idx="9">
                  <c:v>68.1305085570509</c:v>
                </c:pt>
                <c:pt idx="10">
                  <c:v>75.2330130447563</c:v>
                </c:pt>
                <c:pt idx="11">
                  <c:v>82.267141388297</c:v>
                </c:pt>
                <c:pt idx="12">
                  <c:v>89.2360827415016</c:v>
                </c:pt>
                <c:pt idx="13">
                  <c:v>96.1426174724102</c:v>
                </c:pt>
                <c:pt idx="14">
                  <c:v>102.989197722504</c:v>
                </c:pt>
                <c:pt idx="15">
                  <c:v>109.778007340956</c:v>
                </c:pt>
                <c:pt idx="16">
                  <c:v>116.511007526396</c:v>
                </c:pt>
                <c:pt idx="17">
                  <c:v>123.189972282275</c:v>
                </c:pt>
                <c:pt idx="18">
                  <c:v>130.780215324241</c:v>
                </c:pt>
                <c:pt idx="19">
                  <c:v>141.617561817126</c:v>
                </c:pt>
                <c:pt idx="20">
                  <c:v>150.66172916025</c:v>
                </c:pt>
                <c:pt idx="21">
                  <c:v>159.864957649176</c:v>
                </c:pt>
                <c:pt idx="22">
                  <c:v>169.227247283903</c:v>
                </c:pt>
                <c:pt idx="23">
                  <c:v>178.748598064431</c:v>
                </c:pt>
                <c:pt idx="24">
                  <c:v>188.429009990761</c:v>
                </c:pt>
                <c:pt idx="25">
                  <c:v>198.268483062891</c:v>
                </c:pt>
                <c:pt idx="26">
                  <c:v>208.267017280823</c:v>
                </c:pt>
                <c:pt idx="27">
                  <c:v>218.424612644557</c:v>
                </c:pt>
                <c:pt idx="28">
                  <c:v>228.741269154091</c:v>
                </c:pt>
                <c:pt idx="29">
                  <c:v>239.216986809426</c:v>
                </c:pt>
                <c:pt idx="30">
                  <c:v>249.851765610564</c:v>
                </c:pt>
                <c:pt idx="31">
                  <c:v>260.645605557502</c:v>
                </c:pt>
                <c:pt idx="32">
                  <c:v>271.598506650241</c:v>
                </c:pt>
                <c:pt idx="33">
                  <c:v>282.710468888781</c:v>
                </c:pt>
                <c:pt idx="34">
                  <c:v>293.981492273124</c:v>
                </c:pt>
                <c:pt idx="35">
                  <c:v>305.411576803267</c:v>
                </c:pt>
                <c:pt idx="36">
                  <c:v>317.000722479211</c:v>
                </c:pt>
                <c:pt idx="37">
                  <c:v>328.748929300958</c:v>
                </c:pt>
                <c:pt idx="38">
                  <c:v>337.174201467414</c:v>
                </c:pt>
                <c:pt idx="39">
                  <c:v>344.532227027851</c:v>
                </c:pt>
                <c:pt idx="40">
                  <c:v>351.853215877062</c:v>
                </c:pt>
                <c:pt idx="41">
                  <c:v>359.138602797534</c:v>
                </c:pt>
                <c:pt idx="42">
                  <c:v>366.389749406273</c:v>
                </c:pt>
                <c:pt idx="43">
                  <c:v>373.607948759856</c:v>
                </c:pt>
                <c:pt idx="44">
                  <c:v>380.794429615998</c:v>
                </c:pt>
                <c:pt idx="45">
                  <c:v>387.950360381156</c:v>
                </c:pt>
                <c:pt idx="46">
                  <c:v>395.076852770823</c:v>
                </c:pt>
                <c:pt idx="47">
                  <c:v>402.174965206622</c:v>
                </c:pt>
                <c:pt idx="48">
                  <c:v>409.245705972016</c:v>
                </c:pt>
                <c:pt idx="49">
                  <c:v>416.290036146408</c:v>
                </c:pt>
                <c:pt idx="50">
                  <c:v>423.30887233558</c:v>
                </c:pt>
                <c:pt idx="51">
                  <c:v>430.303089214779</c:v>
                </c:pt>
                <c:pt idx="52">
                  <c:v>437.273521899263</c:v>
                </c:pt>
                <c:pt idx="53">
                  <c:v>444.220968155837</c:v>
                </c:pt>
                <c:pt idx="54">
                  <c:v>451.146190467657</c:v>
                </c:pt>
                <c:pt idx="55">
                  <c:v>458.049917963557</c:v>
                </c:pt>
                <c:pt idx="56">
                  <c:v>464.93284822215</c:v>
                </c:pt>
                <c:pt idx="57">
                  <c:v>471.795648960076</c:v>
                </c:pt>
                <c:pt idx="58">
                  <c:v>478.638959613005</c:v>
                </c:pt>
                <c:pt idx="59">
                  <c:v>485.463392817234</c:v>
                </c:pt>
                <c:pt idx="60">
                  <c:v>492.269535799117</c:v>
                </c:pt>
                <c:pt idx="61">
                  <c:v>499.057951678938</c:v>
                </c:pt>
                <c:pt idx="62">
                  <c:v>505.829180695303</c:v>
                </c:pt>
                <c:pt idx="63">
                  <c:v>512.583741355671</c:v>
                </c:pt>
                <c:pt idx="64">
                  <c:v>519.322131518142</c:v>
                </c:pt>
                <c:pt idx="65">
                  <c:v>526.044829409263</c:v>
                </c:pt>
                <c:pt idx="66">
                  <c:v>532.752294582226</c:v>
                </c:pt>
                <c:pt idx="67">
                  <c:v>539.444968819482</c:v>
                </c:pt>
                <c:pt idx="68">
                  <c:v>546.123276983497</c:v>
                </c:pt>
                <c:pt idx="69">
                  <c:v>552.787627819104</c:v>
                </c:pt>
                <c:pt idx="70">
                  <c:v>559.43841471062</c:v>
                </c:pt>
                <c:pt idx="71">
                  <c:v>566.076016396687</c:v>
                </c:pt>
                <c:pt idx="72">
                  <c:v>572.70079764556</c:v>
                </c:pt>
                <c:pt idx="73">
                  <c:v>579.31310989337</c:v>
                </c:pt>
                <c:pt idx="74">
                  <c:v>585.913291847709</c:v>
                </c:pt>
                <c:pt idx="75">
                  <c:v>592.501670058732</c:v>
                </c:pt>
                <c:pt idx="76">
                  <c:v>599.078559459762</c:v>
                </c:pt>
                <c:pt idx="77">
                  <c:v>605.644263879323</c:v>
                </c:pt>
                <c:pt idx="78">
                  <c:v>612.199076526313</c:v>
                </c:pt>
                <c:pt idx="79">
                  <c:v>618.743280449968</c:v>
                </c:pt>
                <c:pt idx="80">
                  <c:v>625.27714897612</c:v>
                </c:pt>
                <c:pt idx="81">
                  <c:v>631.80094612117</c:v>
                </c:pt>
                <c:pt idx="82">
                  <c:v>638.314926985091</c:v>
                </c:pt>
                <c:pt idx="83">
                  <c:v>644.819338124679</c:v>
                </c:pt>
                <c:pt idx="84">
                  <c:v>651.314417908229</c:v>
                </c:pt>
                <c:pt idx="85">
                  <c:v>657.800396852662</c:v>
                </c:pt>
                <c:pt idx="86">
                  <c:v>664.277497944158</c:v>
                </c:pt>
                <c:pt idx="87">
                  <c:v>670.745936943181</c:v>
                </c:pt>
                <c:pt idx="88">
                  <c:v>677.205922674815</c:v>
                </c:pt>
                <c:pt idx="89">
                  <c:v>683.657657305201</c:v>
                </c:pt>
                <c:pt idx="90">
                  <c:v>690.101336604862</c:v>
                </c:pt>
                <c:pt idx="91">
                  <c:v>696.537150199628</c:v>
                </c:pt>
                <c:pt idx="92">
                  <c:v>702.965281809841</c:v>
                </c:pt>
                <c:pt idx="93">
                  <c:v>709.38590947847</c:v>
                </c:pt>
                <c:pt idx="94">
                  <c:v>715.799205788736</c:v>
                </c:pt>
                <c:pt idx="95">
                  <c:v>722.205338071799</c:v>
                </c:pt>
                <c:pt idx="96">
                  <c:v>728.604468605039</c:v>
                </c:pt>
                <c:pt idx="97">
                  <c:v>734.996754801422</c:v>
                </c:pt>
                <c:pt idx="98">
                  <c:v>741.38234939041</c:v>
                </c:pt>
                <c:pt idx="99">
                  <c:v>747.761400590865</c:v>
                </c:pt>
                <c:pt idx="100">
                  <c:v>754.134052276341</c:v>
                </c:pt>
              </c:numCache>
            </c:numRef>
          </c:val>
          <c:smooth val="0"/>
        </c:ser>
        <c:ser>
          <c:idx val="3"/>
          <c:order val="2"/>
          <c:tx>
            <c:strRef>
              <c:f>'Calculations - Dual'!$BH$3</c:f>
              <c:strCache>
                <c:ptCount val="1"/>
                <c:pt idx="0">
                  <c:v>IC Loss</c:v>
                </c:pt>
              </c:strCache>
            </c:strRef>
          </c:tx>
          <c:spPr>
            <a:ln w="38100" cap="rnd" cmpd="sng" algn="ctr">
              <a:solidFill>
                <a:srgbClr val="800080"/>
              </a:solidFill>
              <a:prstDash val="dash"/>
              <a:round/>
            </a:ln>
          </c:spPr>
          <c:marker>
            <c:symbol val="none"/>
          </c:marker>
          <c:dLbls>
            <c:delete val="1"/>
          </c:dLbls>
          <c:cat>
            <c:numRef>
              <c:f>{0,0.025,0.05,0.075,0.1,0.125,0.15,0.175,0.2,0.225,0.25,0.275,0.3,0.325,0.35,0.375,0.4,0.425,0.45,0.475,0.5,0.525,0.55,0.575,0.6,0.625,0.65,0.675,0.7,0.725,0.75,0.775,0.8,0.825,0.85,0.875,0.9,0.925,0.95,0.975,1,1.025,1.05,1.075,1.1,1.125,1.15,1.175,1.2,1.225,1.25,1.275,1.3,1.325,1.35,1.375,1.4,1.425,1.45,1.475,1.5,1.525,1.55,1.575,1.6,1.625,1.65,1.675,1.7,1.725,1.75,1.775,1.8,1.825,1.85,1.875,1.9,1.925,1.95,1.975,2,2.025,2.05,2.075,2.1,2.125,2.15,2.175,2.2,2.225,2.25,2.275,2.3,2.325,2.35,2.375,2.4,2.425,2.45,2.475,2.5,2.525,2.55,2.575,2.6,2.625,2.65,2.675,2.7,2.725,2.75,2.775,2.8,2.825,2.85,2.875,2.9,2.925,2.95,2.975,3,3.025,3.05,3.075,3.1,3.125,3.15,3.175,3.2,3.225,3.25,3.275,3.3,3.325,3.35,3.375,3.4,3.425,3.45,3.475,3.5,3.525,3.55,3.575,3.6,3.625,3.65,3.675,3.7,3.725,3.75,3.775,3.8,3.825,3.85,3.875,3.9,3.925,3.95,3.975,4,4.025,4.05,4.075,4.1,4.125,4.15,4.175,4.2,4.225,4.25,4.275,4.3,4.325,4.35,4.375,4.4,4.425,4.45,4.475,4.5,4.525,4.55,4.575,4.6,4.625,4.65,4.675,4.7,4.725,4.75,4.775,4.8,4.825,4.85,4.875,4.9,4.925,4.95,4.975,5}</c:f>
              <c:numCache>
                <c:formatCode>General</c:formatCode>
                <c:ptCount val="201"/>
                <c:pt idx="0">
                  <c:v>0</c:v>
                </c:pt>
                <c:pt idx="1">
                  <c:v>0.025</c:v>
                </c:pt>
                <c:pt idx="2">
                  <c:v>0.05</c:v>
                </c:pt>
                <c:pt idx="3">
                  <c:v>0.075</c:v>
                </c:pt>
                <c:pt idx="4">
                  <c:v>0.1</c:v>
                </c:pt>
                <c:pt idx="5">
                  <c:v>0.125</c:v>
                </c:pt>
                <c:pt idx="6">
                  <c:v>0.15</c:v>
                </c:pt>
                <c:pt idx="7">
                  <c:v>0.175</c:v>
                </c:pt>
                <c:pt idx="8">
                  <c:v>0.2</c:v>
                </c:pt>
                <c:pt idx="9">
                  <c:v>0.225</c:v>
                </c:pt>
                <c:pt idx="10">
                  <c:v>0.25</c:v>
                </c:pt>
                <c:pt idx="11">
                  <c:v>0.275</c:v>
                </c:pt>
                <c:pt idx="12">
                  <c:v>0.3</c:v>
                </c:pt>
                <c:pt idx="13">
                  <c:v>0.325</c:v>
                </c:pt>
                <c:pt idx="14">
                  <c:v>0.35</c:v>
                </c:pt>
                <c:pt idx="15">
                  <c:v>0.375</c:v>
                </c:pt>
                <c:pt idx="16">
                  <c:v>0.4</c:v>
                </c:pt>
                <c:pt idx="17">
                  <c:v>0.425</c:v>
                </c:pt>
                <c:pt idx="18">
                  <c:v>0.45</c:v>
                </c:pt>
                <c:pt idx="19">
                  <c:v>0.475</c:v>
                </c:pt>
                <c:pt idx="20">
                  <c:v>0.5</c:v>
                </c:pt>
                <c:pt idx="21">
                  <c:v>0.525</c:v>
                </c:pt>
                <c:pt idx="22">
                  <c:v>0.55</c:v>
                </c:pt>
                <c:pt idx="23">
                  <c:v>0.575</c:v>
                </c:pt>
                <c:pt idx="24">
                  <c:v>0.6</c:v>
                </c:pt>
                <c:pt idx="25">
                  <c:v>0.625</c:v>
                </c:pt>
                <c:pt idx="26">
                  <c:v>0.65</c:v>
                </c:pt>
                <c:pt idx="27">
                  <c:v>0.675</c:v>
                </c:pt>
                <c:pt idx="28">
                  <c:v>0.7</c:v>
                </c:pt>
                <c:pt idx="29">
                  <c:v>0.725</c:v>
                </c:pt>
                <c:pt idx="30">
                  <c:v>0.75</c:v>
                </c:pt>
                <c:pt idx="31">
                  <c:v>0.775</c:v>
                </c:pt>
                <c:pt idx="32">
                  <c:v>0.8</c:v>
                </c:pt>
                <c:pt idx="33">
                  <c:v>0.825</c:v>
                </c:pt>
                <c:pt idx="34">
                  <c:v>0.85</c:v>
                </c:pt>
                <c:pt idx="35">
                  <c:v>0.875</c:v>
                </c:pt>
                <c:pt idx="36">
                  <c:v>0.9</c:v>
                </c:pt>
                <c:pt idx="37">
                  <c:v>0.925</c:v>
                </c:pt>
                <c:pt idx="38">
                  <c:v>0.95</c:v>
                </c:pt>
                <c:pt idx="39">
                  <c:v>0.975</c:v>
                </c:pt>
                <c:pt idx="40">
                  <c:v>1</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pt idx="151">
                  <c:v>3.775</c:v>
                </c:pt>
                <c:pt idx="152">
                  <c:v>3.8</c:v>
                </c:pt>
                <c:pt idx="153">
                  <c:v>3.825</c:v>
                </c:pt>
                <c:pt idx="154">
                  <c:v>3.85</c:v>
                </c:pt>
                <c:pt idx="155">
                  <c:v>3.875</c:v>
                </c:pt>
                <c:pt idx="156">
                  <c:v>3.9</c:v>
                </c:pt>
                <c:pt idx="157">
                  <c:v>3.925</c:v>
                </c:pt>
                <c:pt idx="158">
                  <c:v>3.95</c:v>
                </c:pt>
                <c:pt idx="159">
                  <c:v>3.975</c:v>
                </c:pt>
                <c:pt idx="160">
                  <c:v>4</c:v>
                </c:pt>
                <c:pt idx="161">
                  <c:v>4.025</c:v>
                </c:pt>
                <c:pt idx="162">
                  <c:v>4.05</c:v>
                </c:pt>
                <c:pt idx="163">
                  <c:v>4.075</c:v>
                </c:pt>
                <c:pt idx="164">
                  <c:v>4.1</c:v>
                </c:pt>
                <c:pt idx="165">
                  <c:v>4.125</c:v>
                </c:pt>
                <c:pt idx="166">
                  <c:v>4.15</c:v>
                </c:pt>
                <c:pt idx="167">
                  <c:v>4.175</c:v>
                </c:pt>
                <c:pt idx="168">
                  <c:v>4.2</c:v>
                </c:pt>
                <c:pt idx="169">
                  <c:v>4.225</c:v>
                </c:pt>
                <c:pt idx="170">
                  <c:v>4.25</c:v>
                </c:pt>
                <c:pt idx="171">
                  <c:v>4.275</c:v>
                </c:pt>
                <c:pt idx="172">
                  <c:v>4.3</c:v>
                </c:pt>
                <c:pt idx="173">
                  <c:v>4.325</c:v>
                </c:pt>
                <c:pt idx="174">
                  <c:v>4.35</c:v>
                </c:pt>
                <c:pt idx="175">
                  <c:v>4.375</c:v>
                </c:pt>
                <c:pt idx="176">
                  <c:v>4.4</c:v>
                </c:pt>
                <c:pt idx="177">
                  <c:v>4.425</c:v>
                </c:pt>
                <c:pt idx="178">
                  <c:v>4.45</c:v>
                </c:pt>
                <c:pt idx="179">
                  <c:v>4.475</c:v>
                </c:pt>
                <c:pt idx="180">
                  <c:v>4.5</c:v>
                </c:pt>
                <c:pt idx="181">
                  <c:v>4.525</c:v>
                </c:pt>
                <c:pt idx="182">
                  <c:v>4.55</c:v>
                </c:pt>
                <c:pt idx="183">
                  <c:v>4.575</c:v>
                </c:pt>
                <c:pt idx="184">
                  <c:v>4.6</c:v>
                </c:pt>
                <c:pt idx="185">
                  <c:v>4.625</c:v>
                </c:pt>
                <c:pt idx="186">
                  <c:v>4.65</c:v>
                </c:pt>
                <c:pt idx="187">
                  <c:v>4.675</c:v>
                </c:pt>
                <c:pt idx="188">
                  <c:v>4.7</c:v>
                </c:pt>
                <c:pt idx="189">
                  <c:v>4.725</c:v>
                </c:pt>
                <c:pt idx="190">
                  <c:v>4.75</c:v>
                </c:pt>
                <c:pt idx="191">
                  <c:v>4.775</c:v>
                </c:pt>
                <c:pt idx="192">
                  <c:v>4.8</c:v>
                </c:pt>
                <c:pt idx="193">
                  <c:v>4.825</c:v>
                </c:pt>
                <c:pt idx="194">
                  <c:v>4.85</c:v>
                </c:pt>
                <c:pt idx="195">
                  <c:v>4.875</c:v>
                </c:pt>
                <c:pt idx="196">
                  <c:v>4.9</c:v>
                </c:pt>
                <c:pt idx="197">
                  <c:v>4.925</c:v>
                </c:pt>
                <c:pt idx="198">
                  <c:v>4.95</c:v>
                </c:pt>
                <c:pt idx="199">
                  <c:v>4.975</c:v>
                </c:pt>
                <c:pt idx="200">
                  <c:v>5</c:v>
                </c:pt>
              </c:numCache>
            </c:numRef>
          </c:cat>
          <c:val>
            <c:numRef>
              <c:f>'Calculations - Dual'!$BO$5:$BO$105</c:f>
              <c:numCache>
                <c:formatCode>0.0</c:formatCode>
                <c:ptCount val="101"/>
                <c:pt idx="0">
                  <c:v>4.35769195753327</c:v>
                </c:pt>
                <c:pt idx="1">
                  <c:v>12.2554992558788</c:v>
                </c:pt>
                <c:pt idx="2">
                  <c:v>21.0374788808892</c:v>
                </c:pt>
                <c:pt idx="3">
                  <c:v>29.8259460559382</c:v>
                </c:pt>
                <c:pt idx="4">
                  <c:v>35.5698490784077</c:v>
                </c:pt>
                <c:pt idx="5">
                  <c:v>38.7279172810749</c:v>
                </c:pt>
                <c:pt idx="6">
                  <c:v>41.9028163737007</c:v>
                </c:pt>
                <c:pt idx="7">
                  <c:v>45.1176696588087</c:v>
                </c:pt>
                <c:pt idx="8">
                  <c:v>48.385971789176</c:v>
                </c:pt>
                <c:pt idx="9">
                  <c:v>51.7160494612633</c:v>
                </c:pt>
                <c:pt idx="10">
                  <c:v>55.1132367455003</c:v>
                </c:pt>
                <c:pt idx="11">
                  <c:v>58.581037013581</c:v>
                </c:pt>
                <c:pt idx="12">
                  <c:v>62.1217872058688</c:v>
                </c:pt>
                <c:pt idx="13">
                  <c:v>65.7370581101263</c:v>
                </c:pt>
                <c:pt idx="14">
                  <c:v>69.4279058722984</c:v>
                </c:pt>
                <c:pt idx="15">
                  <c:v>73.1950354839096</c:v>
                </c:pt>
                <c:pt idx="16">
                  <c:v>77.0389100579383</c:v>
                </c:pt>
                <c:pt idx="17">
                  <c:v>80.9598255800228</c:v>
                </c:pt>
                <c:pt idx="18">
                  <c:v>81.3389164699497</c:v>
                </c:pt>
                <c:pt idx="19">
                  <c:v>97.4792587853052</c:v>
                </c:pt>
                <c:pt idx="20">
                  <c:v>102.456210066879</c:v>
                </c:pt>
                <c:pt idx="21">
                  <c:v>107.811353226908</c:v>
                </c:pt>
                <c:pt idx="22">
                  <c:v>113.540164081841</c:v>
                </c:pt>
                <c:pt idx="23">
                  <c:v>119.639871929391</c:v>
                </c:pt>
                <c:pt idx="24">
                  <c:v>126.109154281035</c:v>
                </c:pt>
                <c:pt idx="25">
                  <c:v>132.947907290149</c:v>
                </c:pt>
                <c:pt idx="26">
                  <c:v>140.1570716729</c:v>
                </c:pt>
                <c:pt idx="27">
                  <c:v>147.738499916235</c:v>
                </c:pt>
                <c:pt idx="28">
                  <c:v>155.694854637674</c:v>
                </c:pt>
                <c:pt idx="29">
                  <c:v>164.029530769941</c:v>
                </c:pt>
                <c:pt idx="30">
                  <c:v>172.746596210154</c:v>
                </c:pt>
                <c:pt idx="31">
                  <c:v>181.850746970342</c:v>
                </c:pt>
                <c:pt idx="32">
                  <c:v>191.347273871248</c:v>
                </c:pt>
                <c:pt idx="33">
                  <c:v>201.242038553709</c:v>
                </c:pt>
                <c:pt idx="34">
                  <c:v>211.541457121787</c:v>
                </c:pt>
                <c:pt idx="35">
                  <c:v>222.252490134228</c:v>
                </c:pt>
                <c:pt idx="36">
                  <c:v>233.382637964274</c:v>
                </c:pt>
                <c:pt idx="37">
                  <c:v>244.93994077897</c:v>
                </c:pt>
                <c:pt idx="38">
                  <c:v>245.079337728294</c:v>
                </c:pt>
                <c:pt idx="39">
                  <c:v>241.774773550202</c:v>
                </c:pt>
                <c:pt idx="40">
                  <c:v>238.563086623055</c:v>
                </c:pt>
                <c:pt idx="41">
                  <c:v>235.440415632381</c:v>
                </c:pt>
                <c:pt idx="42">
                  <c:v>232.403110380388</c:v>
                </c:pt>
                <c:pt idx="43">
                  <c:v>229.447717552064</c:v>
                </c:pt>
                <c:pt idx="44">
                  <c:v>226.57096761756</c:v>
                </c:pt>
                <c:pt idx="45">
                  <c:v>223.769762766446</c:v>
                </c:pt>
                <c:pt idx="46">
                  <c:v>221.041165780188</c:v>
                </c:pt>
                <c:pt idx="47">
                  <c:v>218.382389758845</c:v>
                </c:pt>
                <c:pt idx="48">
                  <c:v>215.790788626446</c:v>
                </c:pt>
                <c:pt idx="49">
                  <c:v>213.263848347034</c:v>
                </c:pt>
                <c:pt idx="50">
                  <c:v>210.799178790105</c:v>
                </c:pt>
                <c:pt idx="51">
                  <c:v>208.394506190088</c:v>
                </c:pt>
                <c:pt idx="52">
                  <c:v>206.047666149884</c:v>
                </c:pt>
                <c:pt idx="53">
                  <c:v>203.756597143201</c:v>
                </c:pt>
                <c:pt idx="54">
                  <c:v>201.519334474684</c:v>
                </c:pt>
                <c:pt idx="55">
                  <c:v>199.334004660655</c:v>
                </c:pt>
                <c:pt idx="56">
                  <c:v>197.198820196669</c:v>
                </c:pt>
                <c:pt idx="57">
                  <c:v>195.112074681195</c:v>
                </c:pt>
                <c:pt idx="58">
                  <c:v>193.072138267432</c:v>
                </c:pt>
                <c:pt idx="59">
                  <c:v>191.077453417811</c:v>
                </c:pt>
                <c:pt idx="60">
                  <c:v>189.126530937924</c:v>
                </c:pt>
                <c:pt idx="61">
                  <c:v>187.217946268667</c:v>
                </c:pt>
                <c:pt idx="62">
                  <c:v>185.350336017179</c:v>
                </c:pt>
                <c:pt idx="63">
                  <c:v>183.522394708845</c:v>
                </c:pt>
                <c:pt idx="64">
                  <c:v>181.732871744087</c:v>
                </c:pt>
                <c:pt idx="65">
                  <c:v>179.980568545036</c:v>
                </c:pt>
                <c:pt idx="66">
                  <c:v>178.264335878414</c:v>
                </c:pt>
                <c:pt idx="67">
                  <c:v>176.583071342052</c:v>
                </c:pt>
                <c:pt idx="68">
                  <c:v>174.935717003493</c:v>
                </c:pt>
                <c:pt idx="69">
                  <c:v>173.321257180057</c:v>
                </c:pt>
                <c:pt idx="70">
                  <c:v>171.738716350568</c:v>
                </c:pt>
                <c:pt idx="71">
                  <c:v>170.187157189737</c:v>
                </c:pt>
                <c:pt idx="72">
                  <c:v>168.665678716862</c:v>
                </c:pt>
                <c:pt idx="73">
                  <c:v>167.173414551176</c:v>
                </c:pt>
                <c:pt idx="74">
                  <c:v>165.709531266732</c:v>
                </c:pt>
                <c:pt idx="75">
                  <c:v>164.273226840272</c:v>
                </c:pt>
                <c:pt idx="76">
                  <c:v>162.863729186004</c:v>
                </c:pt>
                <c:pt idx="77">
                  <c:v>161.480294771646</c:v>
                </c:pt>
                <c:pt idx="78">
                  <c:v>160.122207310562</c:v>
                </c:pt>
                <c:pt idx="79">
                  <c:v>158.788776525111</c:v>
                </c:pt>
                <c:pt idx="80">
                  <c:v>157.479336976759</c:v>
                </c:pt>
                <c:pt idx="81">
                  <c:v>156.193246958771</c:v>
                </c:pt>
                <c:pt idx="82">
                  <c:v>154.929887447611</c:v>
                </c:pt>
                <c:pt idx="83">
                  <c:v>153.688661109461</c:v>
                </c:pt>
                <c:pt idx="84">
                  <c:v>152.468991358497</c:v>
                </c:pt>
                <c:pt idx="85">
                  <c:v>151.270321463812</c:v>
                </c:pt>
                <c:pt idx="86">
                  <c:v>150.092113702067</c:v>
                </c:pt>
                <c:pt idx="87">
                  <c:v>148.933848553179</c:v>
                </c:pt>
                <c:pt idx="88">
                  <c:v>147.795023936506</c:v>
                </c:pt>
                <c:pt idx="89">
                  <c:v>146.675154485165</c:v>
                </c:pt>
                <c:pt idx="90">
                  <c:v>145.573770856295</c:v>
                </c:pt>
                <c:pt idx="91">
                  <c:v>144.490419075195</c:v>
                </c:pt>
                <c:pt idx="92">
                  <c:v>143.424659911408</c:v>
                </c:pt>
                <c:pt idx="93">
                  <c:v>142.376068284968</c:v>
                </c:pt>
                <c:pt idx="94">
                  <c:v>141.344232701092</c:v>
                </c:pt>
                <c:pt idx="95">
                  <c:v>140.328754711782</c:v>
                </c:pt>
                <c:pt idx="96">
                  <c:v>139.329248402806</c:v>
                </c:pt>
                <c:pt idx="97">
                  <c:v>138.345339904713</c:v>
                </c:pt>
                <c:pt idx="98">
                  <c:v>137.376666926561</c:v>
                </c:pt>
                <c:pt idx="99">
                  <c:v>136.422878311131</c:v>
                </c:pt>
                <c:pt idx="100">
                  <c:v>135.4836336105</c:v>
                </c:pt>
              </c:numCache>
            </c:numRef>
          </c:val>
          <c:smooth val="0"/>
        </c:ser>
        <c:ser>
          <c:idx val="1"/>
          <c:order val="3"/>
          <c:tx>
            <c:strRef>
              <c:f>'Calculations - Dual'!$BU$3</c:f>
              <c:strCache>
                <c:ptCount val="1"/>
                <c:pt idx="0">
                  <c:v>Transformer Loss</c:v>
                </c:pt>
              </c:strCache>
            </c:strRef>
          </c:tx>
          <c:spPr>
            <a:ln w="38100" cap="rnd" cmpd="sng" algn="ctr">
              <a:solidFill>
                <a:srgbClr val="002060"/>
              </a:solidFill>
              <a:prstDash val="sysDot"/>
              <a:round/>
            </a:ln>
          </c:spPr>
          <c:marker>
            <c:symbol val="none"/>
          </c:marker>
          <c:dLbls>
            <c:delete val="1"/>
          </c:dLbls>
          <c:cat>
            <c:numRef>
              <c:f>{0,0.025,0.05,0.075,0.1,0.125,0.15,0.175,0.2,0.225,0.25,0.275,0.3,0.325,0.35,0.375,0.4,0.425,0.45,0.475,0.5,0.525,0.55,0.575,0.6,0.625,0.65,0.675,0.7,0.725,0.75,0.775,0.8,0.825,0.85,0.875,0.9,0.925,0.95,0.975,1,1.025,1.05,1.075,1.1,1.125,1.15,1.175,1.2,1.225,1.25,1.275,1.3,1.325,1.35,1.375,1.4,1.425,1.45,1.475,1.5,1.525,1.55,1.575,1.6,1.625,1.65,1.675,1.7,1.725,1.75,1.775,1.8,1.825,1.85,1.875,1.9,1.925,1.95,1.975,2,2.025,2.05,2.075,2.1,2.125,2.15,2.175,2.2,2.225,2.25,2.275,2.3,2.325,2.35,2.375,2.4,2.425,2.45,2.475,2.5,2.525,2.55,2.575,2.6,2.625,2.65,2.675,2.7,2.725,2.75,2.775,2.8,2.825,2.85,2.875,2.9,2.925,2.95,2.975,3,3.025,3.05,3.075,3.1,3.125,3.15,3.175,3.2,3.225,3.25,3.275,3.3,3.325,3.35,3.375,3.4,3.425,3.45,3.475,3.5,3.525,3.55,3.575,3.6,3.625,3.65,3.675,3.7,3.725,3.75,3.775,3.8,3.825,3.85,3.875,3.9,3.925,3.95,3.975,4,4.025,4.05,4.075,4.1,4.125,4.15,4.175,4.2,4.225,4.25,4.275,4.3,4.325,4.35,4.375,4.4,4.425,4.45,4.475,4.5,4.525,4.55,4.575,4.6,4.625,4.65,4.675,4.7,4.725,4.75,4.775,4.8,4.825,4.85,4.875,4.9,4.925,4.95,4.975,5}</c:f>
              <c:numCache>
                <c:formatCode>General</c:formatCode>
                <c:ptCount val="201"/>
                <c:pt idx="0">
                  <c:v>0</c:v>
                </c:pt>
                <c:pt idx="1">
                  <c:v>0.025</c:v>
                </c:pt>
                <c:pt idx="2">
                  <c:v>0.05</c:v>
                </c:pt>
                <c:pt idx="3">
                  <c:v>0.075</c:v>
                </c:pt>
                <c:pt idx="4">
                  <c:v>0.1</c:v>
                </c:pt>
                <c:pt idx="5">
                  <c:v>0.125</c:v>
                </c:pt>
                <c:pt idx="6">
                  <c:v>0.15</c:v>
                </c:pt>
                <c:pt idx="7">
                  <c:v>0.175</c:v>
                </c:pt>
                <c:pt idx="8">
                  <c:v>0.2</c:v>
                </c:pt>
                <c:pt idx="9">
                  <c:v>0.225</c:v>
                </c:pt>
                <c:pt idx="10">
                  <c:v>0.25</c:v>
                </c:pt>
                <c:pt idx="11">
                  <c:v>0.275</c:v>
                </c:pt>
                <c:pt idx="12">
                  <c:v>0.3</c:v>
                </c:pt>
                <c:pt idx="13">
                  <c:v>0.325</c:v>
                </c:pt>
                <c:pt idx="14">
                  <c:v>0.35</c:v>
                </c:pt>
                <c:pt idx="15">
                  <c:v>0.375</c:v>
                </c:pt>
                <c:pt idx="16">
                  <c:v>0.4</c:v>
                </c:pt>
                <c:pt idx="17">
                  <c:v>0.425</c:v>
                </c:pt>
                <c:pt idx="18">
                  <c:v>0.45</c:v>
                </c:pt>
                <c:pt idx="19">
                  <c:v>0.475</c:v>
                </c:pt>
                <c:pt idx="20">
                  <c:v>0.5</c:v>
                </c:pt>
                <c:pt idx="21">
                  <c:v>0.525</c:v>
                </c:pt>
                <c:pt idx="22">
                  <c:v>0.55</c:v>
                </c:pt>
                <c:pt idx="23">
                  <c:v>0.575</c:v>
                </c:pt>
                <c:pt idx="24">
                  <c:v>0.6</c:v>
                </c:pt>
                <c:pt idx="25">
                  <c:v>0.625</c:v>
                </c:pt>
                <c:pt idx="26">
                  <c:v>0.65</c:v>
                </c:pt>
                <c:pt idx="27">
                  <c:v>0.675</c:v>
                </c:pt>
                <c:pt idx="28">
                  <c:v>0.7</c:v>
                </c:pt>
                <c:pt idx="29">
                  <c:v>0.725</c:v>
                </c:pt>
                <c:pt idx="30">
                  <c:v>0.75</c:v>
                </c:pt>
                <c:pt idx="31">
                  <c:v>0.775</c:v>
                </c:pt>
                <c:pt idx="32">
                  <c:v>0.8</c:v>
                </c:pt>
                <c:pt idx="33">
                  <c:v>0.825</c:v>
                </c:pt>
                <c:pt idx="34">
                  <c:v>0.85</c:v>
                </c:pt>
                <c:pt idx="35">
                  <c:v>0.875</c:v>
                </c:pt>
                <c:pt idx="36">
                  <c:v>0.9</c:v>
                </c:pt>
                <c:pt idx="37">
                  <c:v>0.925</c:v>
                </c:pt>
                <c:pt idx="38">
                  <c:v>0.95</c:v>
                </c:pt>
                <c:pt idx="39">
                  <c:v>0.975</c:v>
                </c:pt>
                <c:pt idx="40">
                  <c:v>1</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pt idx="151">
                  <c:v>3.775</c:v>
                </c:pt>
                <c:pt idx="152">
                  <c:v>3.8</c:v>
                </c:pt>
                <c:pt idx="153">
                  <c:v>3.825</c:v>
                </c:pt>
                <c:pt idx="154">
                  <c:v>3.85</c:v>
                </c:pt>
                <c:pt idx="155">
                  <c:v>3.875</c:v>
                </c:pt>
                <c:pt idx="156">
                  <c:v>3.9</c:v>
                </c:pt>
                <c:pt idx="157">
                  <c:v>3.925</c:v>
                </c:pt>
                <c:pt idx="158">
                  <c:v>3.95</c:v>
                </c:pt>
                <c:pt idx="159">
                  <c:v>3.975</c:v>
                </c:pt>
                <c:pt idx="160">
                  <c:v>4</c:v>
                </c:pt>
                <c:pt idx="161">
                  <c:v>4.025</c:v>
                </c:pt>
                <c:pt idx="162">
                  <c:v>4.05</c:v>
                </c:pt>
                <c:pt idx="163">
                  <c:v>4.075</c:v>
                </c:pt>
                <c:pt idx="164">
                  <c:v>4.1</c:v>
                </c:pt>
                <c:pt idx="165">
                  <c:v>4.125</c:v>
                </c:pt>
                <c:pt idx="166">
                  <c:v>4.15</c:v>
                </c:pt>
                <c:pt idx="167">
                  <c:v>4.175</c:v>
                </c:pt>
                <c:pt idx="168">
                  <c:v>4.2</c:v>
                </c:pt>
                <c:pt idx="169">
                  <c:v>4.225</c:v>
                </c:pt>
                <c:pt idx="170">
                  <c:v>4.25</c:v>
                </c:pt>
                <c:pt idx="171">
                  <c:v>4.275</c:v>
                </c:pt>
                <c:pt idx="172">
                  <c:v>4.3</c:v>
                </c:pt>
                <c:pt idx="173">
                  <c:v>4.325</c:v>
                </c:pt>
                <c:pt idx="174">
                  <c:v>4.35</c:v>
                </c:pt>
                <c:pt idx="175">
                  <c:v>4.375</c:v>
                </c:pt>
                <c:pt idx="176">
                  <c:v>4.4</c:v>
                </c:pt>
                <c:pt idx="177">
                  <c:v>4.425</c:v>
                </c:pt>
                <c:pt idx="178">
                  <c:v>4.45</c:v>
                </c:pt>
                <c:pt idx="179">
                  <c:v>4.475</c:v>
                </c:pt>
                <c:pt idx="180">
                  <c:v>4.5</c:v>
                </c:pt>
                <c:pt idx="181">
                  <c:v>4.525</c:v>
                </c:pt>
                <c:pt idx="182">
                  <c:v>4.55</c:v>
                </c:pt>
                <c:pt idx="183">
                  <c:v>4.575</c:v>
                </c:pt>
                <c:pt idx="184">
                  <c:v>4.6</c:v>
                </c:pt>
                <c:pt idx="185">
                  <c:v>4.625</c:v>
                </c:pt>
                <c:pt idx="186">
                  <c:v>4.65</c:v>
                </c:pt>
                <c:pt idx="187">
                  <c:v>4.675</c:v>
                </c:pt>
                <c:pt idx="188">
                  <c:v>4.7</c:v>
                </c:pt>
                <c:pt idx="189">
                  <c:v>4.725</c:v>
                </c:pt>
                <c:pt idx="190">
                  <c:v>4.75</c:v>
                </c:pt>
                <c:pt idx="191">
                  <c:v>4.775</c:v>
                </c:pt>
                <c:pt idx="192">
                  <c:v>4.8</c:v>
                </c:pt>
                <c:pt idx="193">
                  <c:v>4.825</c:v>
                </c:pt>
                <c:pt idx="194">
                  <c:v>4.85</c:v>
                </c:pt>
                <c:pt idx="195">
                  <c:v>4.875</c:v>
                </c:pt>
                <c:pt idx="196">
                  <c:v>4.9</c:v>
                </c:pt>
                <c:pt idx="197">
                  <c:v>4.925</c:v>
                </c:pt>
                <c:pt idx="198">
                  <c:v>4.95</c:v>
                </c:pt>
                <c:pt idx="199">
                  <c:v>4.975</c:v>
                </c:pt>
                <c:pt idx="200">
                  <c:v>5</c:v>
                </c:pt>
              </c:numCache>
            </c:numRef>
          </c:cat>
          <c:val>
            <c:numRef>
              <c:f>'Calculations - Dual'!$CB$5:$CB$105</c:f>
              <c:numCache>
                <c:formatCode>0.0</c:formatCode>
                <c:ptCount val="101"/>
                <c:pt idx="0">
                  <c:v>1.76379963261103</c:v>
                </c:pt>
                <c:pt idx="1">
                  <c:v>2.08591151218556</c:v>
                </c:pt>
                <c:pt idx="2">
                  <c:v>2.44383324975537</c:v>
                </c:pt>
                <c:pt idx="3">
                  <c:v>2.8017549877439</c:v>
                </c:pt>
                <c:pt idx="4">
                  <c:v>3.33112122613215</c:v>
                </c:pt>
                <c:pt idx="5">
                  <c:v>4.16280856556278</c:v>
                </c:pt>
                <c:pt idx="6">
                  <c:v>4.99419210733628</c:v>
                </c:pt>
                <c:pt idx="7">
                  <c:v>5.82530082857405</c:v>
                </c:pt>
                <c:pt idx="8">
                  <c:v>6.65615717509981</c:v>
                </c:pt>
                <c:pt idx="9">
                  <c:v>7.48677920084269</c:v>
                </c:pt>
                <c:pt idx="10">
                  <c:v>8.31718183745</c:v>
                </c:pt>
                <c:pt idx="11">
                  <c:v>9.14737770234775</c:v>
                </c:pt>
                <c:pt idx="12">
                  <c:v>9.9773776410335</c:v>
                </c:pt>
                <c:pt idx="13">
                  <c:v>10.8071911064849</c:v>
                </c:pt>
                <c:pt idx="14">
                  <c:v>11.6368264336872</c:v>
                </c:pt>
                <c:pt idx="15">
                  <c:v>12.4662910438645</c:v>
                </c:pt>
                <c:pt idx="16">
                  <c:v>13.2955915999986</c:v>
                </c:pt>
                <c:pt idx="17">
                  <c:v>14.124734127633</c:v>
                </c:pt>
                <c:pt idx="18">
                  <c:v>14.6795048740887</c:v>
                </c:pt>
                <c:pt idx="19">
                  <c:v>18.5871616611451</c:v>
                </c:pt>
                <c:pt idx="20">
                  <c:v>20.1843607887327</c:v>
                </c:pt>
                <c:pt idx="21">
                  <c:v>21.8435923297469</c:v>
                </c:pt>
                <c:pt idx="22">
                  <c:v>23.5648835901867</c:v>
                </c:pt>
                <c:pt idx="23">
                  <c:v>25.3482632188252</c:v>
                </c:pt>
                <c:pt idx="24">
                  <c:v>27.1937612087539</c:v>
                </c:pt>
                <c:pt idx="25">
                  <c:v>29.1014088990001</c:v>
                </c:pt>
                <c:pt idx="26">
                  <c:v>31.0712389762171</c:v>
                </c:pt>
                <c:pt idx="27">
                  <c:v>33.103285476449</c:v>
                </c:pt>
                <c:pt idx="28">
                  <c:v>35.1975837869655</c:v>
                </c:pt>
                <c:pt idx="29">
                  <c:v>37.3541706481761</c:v>
                </c:pt>
                <c:pt idx="30">
                  <c:v>39.5730841556141</c:v>
                </c:pt>
                <c:pt idx="31">
                  <c:v>41.8543637619931</c:v>
                </c:pt>
                <c:pt idx="32">
                  <c:v>44.1980502793443</c:v>
                </c:pt>
                <c:pt idx="33">
                  <c:v>46.6041858812221</c:v>
                </c:pt>
                <c:pt idx="34">
                  <c:v>49.0728141049876</c:v>
                </c:pt>
                <c:pt idx="35">
                  <c:v>51.6039798541643</c:v>
                </c:pt>
                <c:pt idx="36">
                  <c:v>54.1977294008741</c:v>
                </c:pt>
                <c:pt idx="37">
                  <c:v>56.8541103883443</c:v>
                </c:pt>
                <c:pt idx="38">
                  <c:v>57.3393275112516</c:v>
                </c:pt>
                <c:pt idx="39">
                  <c:v>57.1613630552128</c:v>
                </c:pt>
                <c:pt idx="40">
                  <c:v>56.9880548947905</c:v>
                </c:pt>
                <c:pt idx="41">
                  <c:v>56.8192226474699</c:v>
                </c:pt>
                <c:pt idx="42">
                  <c:v>56.6546951291903</c:v>
                </c:pt>
                <c:pt idx="43">
                  <c:v>56.4943097753919</c:v>
                </c:pt>
                <c:pt idx="44">
                  <c:v>56.3379121052456</c:v>
                </c:pt>
                <c:pt idx="45">
                  <c:v>56.1853552253565</c:v>
                </c:pt>
                <c:pt idx="46">
                  <c:v>56.0364993695855</c:v>
                </c:pt>
                <c:pt idx="47">
                  <c:v>55.8912114719633</c:v>
                </c:pt>
                <c:pt idx="48">
                  <c:v>55.7493647699504</c:v>
                </c:pt>
                <c:pt idx="49">
                  <c:v>55.6108384355579</c:v>
                </c:pt>
                <c:pt idx="50">
                  <c:v>55.4755172320737</c:v>
                </c:pt>
                <c:pt idx="51">
                  <c:v>55.3432911943427</c:v>
                </c:pt>
                <c:pt idx="52">
                  <c:v>55.2140553307378</c:v>
                </c:pt>
                <c:pt idx="53">
                  <c:v>55.0877093451244</c:v>
                </c:pt>
                <c:pt idx="54">
                  <c:v>54.9641573772692</c:v>
                </c:pt>
                <c:pt idx="55">
                  <c:v>54.8433077602836</c:v>
                </c:pt>
                <c:pt idx="56">
                  <c:v>54.72507279381</c:v>
                </c:pt>
                <c:pt idx="57">
                  <c:v>54.6093685317724</c:v>
                </c:pt>
                <c:pt idx="58">
                  <c:v>54.4961145836119</c:v>
                </c:pt>
                <c:pt idx="59">
                  <c:v>54.3852339280175</c:v>
                </c:pt>
                <c:pt idx="60">
                  <c:v>54.2766527382458</c:v>
                </c:pt>
                <c:pt idx="61">
                  <c:v>54.1703002181965</c:v>
                </c:pt>
                <c:pt idx="62">
                  <c:v>54.06610844848</c:v>
                </c:pt>
                <c:pt idx="63">
                  <c:v>53.9640122417717</c:v>
                </c:pt>
                <c:pt idx="64">
                  <c:v>53.863949006808</c:v>
                </c:pt>
                <c:pt idx="65">
                  <c:v>53.7658586204266</c:v>
                </c:pt>
                <c:pt idx="66">
                  <c:v>53.6696833071006</c:v>
                </c:pt>
                <c:pt idx="67">
                  <c:v>53.5753675254613</c:v>
                </c:pt>
                <c:pt idx="68">
                  <c:v>53.4828578613393</c:v>
                </c:pt>
                <c:pt idx="69">
                  <c:v>53.3921029268927</c:v>
                </c:pt>
                <c:pt idx="70">
                  <c:v>53.3030532654205</c:v>
                </c:pt>
                <c:pt idx="71">
                  <c:v>53.215661261493</c:v>
                </c:pt>
                <c:pt idx="72">
                  <c:v>53.129881056053</c:v>
                </c:pt>
                <c:pt idx="73">
                  <c:v>53.0456684661733</c:v>
                </c:pt>
                <c:pt idx="74">
                  <c:v>52.9629809091723</c:v>
                </c:pt>
                <c:pt idx="75">
                  <c:v>52.8817773308156</c:v>
                </c:pt>
                <c:pt idx="76">
                  <c:v>52.8020181373494</c:v>
                </c:pt>
                <c:pt idx="77">
                  <c:v>52.7236651311279</c:v>
                </c:pt>
                <c:pt idx="78">
                  <c:v>52.6466814496165</c:v>
                </c:pt>
                <c:pt idx="79">
                  <c:v>52.5710315075646</c:v>
                </c:pt>
                <c:pt idx="80">
                  <c:v>52.4966809421585</c:v>
                </c:pt>
                <c:pt idx="81">
                  <c:v>52.4235965609765</c:v>
                </c:pt>
                <c:pt idx="82">
                  <c:v>52.3517462925807</c:v>
                </c:pt>
                <c:pt idx="83">
                  <c:v>52.2810991395898</c:v>
                </c:pt>
                <c:pt idx="84">
                  <c:v>52.2116251340908</c:v>
                </c:pt>
                <c:pt idx="85">
                  <c:v>52.1432952952534</c:v>
                </c:pt>
                <c:pt idx="86">
                  <c:v>52.0760815890208</c:v>
                </c:pt>
                <c:pt idx="87">
                  <c:v>52.0099568897607</c:v>
                </c:pt>
                <c:pt idx="88">
                  <c:v>51.9448949437647</c:v>
                </c:pt>
                <c:pt idx="89">
                  <c:v>51.8808703344938</c:v>
                </c:pt>
                <c:pt idx="90">
                  <c:v>51.8178584494733</c:v>
                </c:pt>
                <c:pt idx="91">
                  <c:v>51.7558354487456</c:v>
                </c:pt>
                <c:pt idx="92">
                  <c:v>51.6947782347977</c:v>
                </c:pt>
                <c:pt idx="93">
                  <c:v>51.6346644238822</c:v>
                </c:pt>
                <c:pt idx="94">
                  <c:v>51.5754723186569</c:v>
                </c:pt>
                <c:pt idx="95">
                  <c:v>51.5171808820745</c:v>
                </c:pt>
                <c:pt idx="96">
                  <c:v>51.4597697124545</c:v>
                </c:pt>
                <c:pt idx="97">
                  <c:v>51.4032190196755</c:v>
                </c:pt>
                <c:pt idx="98">
                  <c:v>51.3475096024313</c:v>
                </c:pt>
                <c:pt idx="99">
                  <c:v>51.2926228264936</c:v>
                </c:pt>
                <c:pt idx="100">
                  <c:v>51.2385406039304</c:v>
                </c:pt>
              </c:numCache>
            </c:numRef>
          </c:val>
          <c:smooth val="0"/>
        </c:ser>
        <c:dLbls>
          <c:showLegendKey val="0"/>
          <c:showVal val="0"/>
          <c:showCatName val="0"/>
          <c:showSerName val="0"/>
          <c:showPercent val="0"/>
          <c:showBubbleSize val="0"/>
        </c:dLbls>
        <c:marker val="0"/>
        <c:smooth val="0"/>
        <c:axId val="180665344"/>
        <c:axId val="180663424"/>
      </c:lineChart>
      <c:catAx>
        <c:axId val="180651136"/>
        <c:scaling>
          <c:orientation val="minMax"/>
        </c:scaling>
        <c:delete val="0"/>
        <c:axPos val="b"/>
        <c:majorGridlines>
          <c:spPr>
            <a:ln w="15875" cap="flat" cmpd="sng" algn="ctr">
              <a:solidFill>
                <a:srgbClr val="969696"/>
              </a:solidFill>
              <a:prstDash val="sysDash"/>
              <a:round/>
            </a:ln>
          </c:spPr>
        </c:majorGridlines>
        <c:minorGridlines/>
        <c:title>
          <c:tx>
            <c:rich>
              <a:bodyPr rot="0" spcFirstLastPara="0" vertOverflow="ellipsis" vert="horz" wrap="square" anchor="ctr" anchorCtr="1"/>
              <a:lstStyle/>
              <a:p>
                <a:pPr>
                  <a:defRPr lang="zh-CN" sz="1200" b="1" i="0" u="none" strike="noStrike" kern="1200" baseline="0">
                    <a:solidFill>
                      <a:srgbClr val="0000FF"/>
                    </a:solidFill>
                    <a:latin typeface="Arial" panose="020B0604020202020204" pitchFamily="7" charset="0"/>
                    <a:ea typeface="Calibri" panose="020F0502020204030204"/>
                    <a:cs typeface="Arial" panose="020B0604020202020204" pitchFamily="7" charset="0"/>
                  </a:defRPr>
                </a:pPr>
                <a:r>
                  <a:rPr lang="en-US" sz="1200">
                    <a:solidFill>
                      <a:srgbClr val="0000FF"/>
                    </a:solidFill>
                    <a:latin typeface="Arial" panose="020B0604020202020204" pitchFamily="7" charset="0"/>
                    <a:cs typeface="Arial" panose="020B0604020202020204" pitchFamily="7" charset="0"/>
                  </a:rPr>
                  <a:t>%</a:t>
                </a:r>
                <a:r>
                  <a:rPr lang="en-US" sz="1200" baseline="0">
                    <a:solidFill>
                      <a:srgbClr val="0000FF"/>
                    </a:solidFill>
                    <a:latin typeface="Arial" panose="020B0604020202020204" pitchFamily="7" charset="0"/>
                    <a:cs typeface="Arial" panose="020B0604020202020204" pitchFamily="7" charset="0"/>
                  </a:rPr>
                  <a:t> Total Rated Output Power</a:t>
                </a:r>
                <a:endParaRPr lang="en-US" sz="1200">
                  <a:solidFill>
                    <a:srgbClr val="0000FF"/>
                  </a:solidFill>
                  <a:latin typeface="Arial" panose="020B0604020202020204" pitchFamily="7" charset="0"/>
                  <a:cs typeface="Arial" panose="020B0604020202020204" pitchFamily="7" charset="0"/>
                </a:endParaRPr>
              </a:p>
            </c:rich>
          </c:tx>
          <c:layout>
            <c:manualLayout>
              <c:xMode val="edge"/>
              <c:yMode val="edge"/>
              <c:x val="0.424710113963945"/>
              <c:y val="0.938537716369556"/>
            </c:manualLayout>
          </c:layout>
          <c:overlay val="0"/>
          <c:spPr>
            <a:noFill/>
            <a:ln w="25400">
              <a:noFill/>
            </a:ln>
          </c:spPr>
        </c:title>
        <c:numFmt formatCode="General" sourceLinked="1"/>
        <c:majorTickMark val="in"/>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rgbClr val="0000FF"/>
                </a:solidFill>
                <a:latin typeface="Arial" panose="020B0604020202020204" pitchFamily="7" charset="0"/>
                <a:ea typeface="Calibri" panose="020F0502020204030204"/>
                <a:cs typeface="Arial" panose="020B0604020202020204" pitchFamily="7" charset="0"/>
              </a:defRPr>
            </a:pPr>
          </a:p>
        </c:txPr>
        <c:crossAx val="180653056"/>
        <c:crosses val="autoZero"/>
        <c:auto val="1"/>
        <c:lblAlgn val="ctr"/>
        <c:lblOffset val="100"/>
        <c:tickLblSkip val="20"/>
        <c:tickMarkSkip val="20"/>
        <c:noMultiLvlLbl val="0"/>
      </c:catAx>
      <c:valAx>
        <c:axId val="180653056"/>
        <c:scaling>
          <c:orientation val="minMax"/>
          <c:max val="100"/>
          <c:min val="55"/>
        </c:scaling>
        <c:delete val="0"/>
        <c:axPos val="l"/>
        <c:majorGridlines>
          <c:spPr>
            <a:ln w="15875" cap="flat" cmpd="sng" algn="ctr">
              <a:solidFill>
                <a:srgbClr val="808080"/>
              </a:solidFill>
              <a:prstDash val="solid"/>
              <a:round/>
            </a:ln>
          </c:spPr>
        </c:majorGridlines>
        <c:title>
          <c:tx>
            <c:rich>
              <a:bodyPr rot="-5400000" spcFirstLastPara="0" vertOverflow="ellipsis" vert="horz" wrap="square" anchor="ctr" anchorCtr="1"/>
              <a:lstStyle/>
              <a:p>
                <a:pPr>
                  <a:defRPr lang="zh-CN" sz="1400" b="1" i="0" u="none" strike="noStrike" kern="1200" baseline="0">
                    <a:solidFill>
                      <a:srgbClr val="FF0000"/>
                    </a:solidFill>
                    <a:latin typeface="Arial" panose="020B0604020202020204" pitchFamily="7" charset="0"/>
                    <a:ea typeface="Calibri" panose="020F0502020204030204"/>
                    <a:cs typeface="Arial" panose="020B0604020202020204" pitchFamily="7" charset="0"/>
                  </a:defRPr>
                </a:pPr>
                <a:r>
                  <a:rPr lang="en-US" sz="1200" b="1">
                    <a:solidFill>
                      <a:srgbClr val="FF0000"/>
                    </a:solidFill>
                    <a:latin typeface="Arial" panose="020B0604020202020204" pitchFamily="7" charset="0"/>
                    <a:cs typeface="Arial" panose="020B0604020202020204" pitchFamily="7" charset="0"/>
                  </a:rPr>
                  <a:t>Efficiency  (%)</a:t>
                </a:r>
                <a:endParaRPr lang="en-US" sz="1200" b="1">
                  <a:solidFill>
                    <a:srgbClr val="FF0000"/>
                  </a:solidFill>
                  <a:latin typeface="Arial" panose="020B0604020202020204" pitchFamily="7" charset="0"/>
                  <a:cs typeface="Arial" panose="020B0604020202020204" pitchFamily="7" charset="0"/>
                </a:endParaRPr>
              </a:p>
            </c:rich>
          </c:tx>
          <c:layout>
            <c:manualLayout>
              <c:xMode val="edge"/>
              <c:yMode val="edge"/>
              <c:x val="0.0128718586740814"/>
              <c:y val="0.376381779156883"/>
            </c:manualLayout>
          </c:layout>
          <c:overlay val="0"/>
          <c:spPr>
            <a:noFill/>
            <a:ln w="25400">
              <a:noFill/>
            </a:ln>
          </c:spPr>
        </c:title>
        <c:numFmt formatCode="General" sourceLinked="0"/>
        <c:majorTickMark val="in"/>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rgbClr val="FF0000"/>
                </a:solidFill>
                <a:latin typeface="Arial" panose="020B0604020202020204" pitchFamily="7" charset="0"/>
                <a:ea typeface="Calibri" panose="020F0502020204030204"/>
                <a:cs typeface="Arial" panose="020B0604020202020204" pitchFamily="7" charset="0"/>
              </a:defRPr>
            </a:pPr>
          </a:p>
        </c:txPr>
        <c:crossAx val="180651136"/>
        <c:crossesAt val="0"/>
        <c:crossBetween val="between"/>
        <c:majorUnit val="5"/>
        <c:minorUnit val="2.5"/>
      </c:valAx>
      <c:catAx>
        <c:axId val="180665344"/>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850" b="0" i="0" u="none" strike="noStrike" kern="1200" baseline="0">
                <a:solidFill>
                  <a:srgbClr val="000000"/>
                </a:solidFill>
                <a:latin typeface="Arial" panose="020B0604020202020204"/>
                <a:ea typeface="Arial" panose="020B0604020202020204"/>
                <a:cs typeface="Arial" panose="020B0604020202020204"/>
              </a:defRPr>
            </a:pPr>
          </a:p>
        </c:txPr>
        <c:crossAx val="180663424"/>
        <c:crosses val="autoZero"/>
        <c:auto val="1"/>
        <c:lblAlgn val="ctr"/>
        <c:lblOffset val="100"/>
        <c:noMultiLvlLbl val="0"/>
      </c:catAx>
      <c:valAx>
        <c:axId val="180663424"/>
        <c:scaling>
          <c:orientation val="minMax"/>
        </c:scaling>
        <c:delete val="0"/>
        <c:axPos val="r"/>
        <c:title>
          <c:tx>
            <c:rich>
              <a:bodyPr rot="-540000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r>
                  <a:rPr lang="en-US" sz="1200" b="1"/>
                  <a:t>Power Loss (mW)</a:t>
                </a:r>
                <a:endParaRPr lang="en-US" sz="1200" b="1"/>
              </a:p>
            </c:rich>
          </c:tx>
          <c:layout>
            <c:manualLayout>
              <c:xMode val="edge"/>
              <c:yMode val="edge"/>
              <c:x val="0.951684743056013"/>
              <c:y val="0.381177140453683"/>
            </c:manualLayout>
          </c:layout>
          <c:overlay val="0"/>
        </c:title>
        <c:numFmt formatCode="General" sourceLinked="0"/>
        <c:majorTickMark val="out"/>
        <c:minorTickMark val="none"/>
        <c:tickLblPos val="nextTo"/>
        <c:txPr>
          <a:bodyPr rot="-60000000" spcFirstLastPara="0" vertOverflow="ellipsis" vert="horz" wrap="square" anchor="ctr" anchorCtr="1"/>
          <a:lstStyle/>
          <a:p>
            <a:pPr>
              <a:defRPr lang="zh-CN" sz="1100" b="1" i="0" u="none" strike="noStrike" kern="1200" baseline="0">
                <a:solidFill>
                  <a:sysClr val="windowText" lastClr="000000"/>
                </a:solidFill>
                <a:latin typeface="Arial" panose="020B0604020202020204"/>
                <a:ea typeface="Arial" panose="020B0604020202020204"/>
                <a:cs typeface="Arial" panose="020B0604020202020204"/>
              </a:defRPr>
            </a:pPr>
          </a:p>
        </c:txPr>
        <c:crossAx val="180665344"/>
        <c:crosses val="max"/>
        <c:crossBetween val="between"/>
      </c:valAx>
      <c:spPr>
        <a:noFill/>
        <a:ln w="25400">
          <a:noFill/>
        </a:ln>
      </c:spPr>
    </c:plotArea>
    <c:legend>
      <c:legendPos val="t"/>
      <c:layout>
        <c:manualLayout>
          <c:xMode val="edge"/>
          <c:yMode val="edge"/>
          <c:x val="0.401025575662313"/>
          <c:y val="0.0118926330381677"/>
          <c:w val="0.505509626192673"/>
          <c:h val="0.0897950493206176"/>
        </c:manualLayout>
      </c:layout>
      <c:overlay val="0"/>
      <c:spPr>
        <a:solidFill>
          <a:srgbClr val="FFFFFF"/>
        </a:solidFill>
        <a:ln w="25400">
          <a:noFill/>
        </a:ln>
      </c:spPr>
      <c:txPr>
        <a:bodyPr rot="0" spcFirstLastPara="0" vertOverflow="ellipsis" vert="horz" wrap="square" anchor="ctr" anchorCtr="1"/>
        <a:lstStyle/>
        <a:p>
          <a:pPr>
            <a:defRPr lang="zh-CN" sz="1100" b="0"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cd4524e1-e65b-406d-a561-40a00f8a1ba9}"/>
      </c:ext>
    </c:extLst>
  </c:chart>
  <c:spPr>
    <a:solidFill>
      <a:srgbClr val="FFFFFF"/>
    </a:solidFill>
    <a:ln w="9525" cap="flat" cmpd="sng" algn="ctr">
      <a:solidFill>
        <a:srgbClr val="808080"/>
      </a:solid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3"/>
          <c:y val="0.0960435989355175"/>
          <c:w val="0.793875474202561"/>
          <c:h val="0.750839754674337"/>
        </c:manualLayout>
      </c:layout>
      <c:lineChart>
        <c:grouping val="standard"/>
        <c:varyColors val="0"/>
        <c:ser>
          <c:idx val="9"/>
          <c:order val="6"/>
          <c:tx>
            <c:strRef>
              <c:f>"VIN-min"</c:f>
              <c:strCache>
                <c:ptCount val="1"/>
                <c:pt idx="0">
                  <c:v>VIN-min</c:v>
                </c:pt>
              </c:strCache>
            </c:strRef>
          </c:tx>
          <c:spPr>
            <a:ln w="28575" cap="rnd" cmpd="sng" algn="ctr">
              <a:solidFill>
                <a:srgbClr val="00B050"/>
              </a:solidFill>
              <a:prstDash val="sysDash"/>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99.9506172839506</c:v>
                </c:pt>
                <c:pt idx="2">
                  <c:v>199.901234567901</c:v>
                </c:pt>
                <c:pt idx="3">
                  <c:v>299.851851851852</c:v>
                </c:pt>
                <c:pt idx="4">
                  <c:v>350</c:v>
                </c:pt>
                <c:pt idx="5">
                  <c:v>350</c:v>
                </c:pt>
                <c:pt idx="6">
                  <c:v>350</c:v>
                </c:pt>
                <c:pt idx="7">
                  <c:v>350</c:v>
                </c:pt>
                <c:pt idx="8">
                  <c:v>350</c:v>
                </c:pt>
                <c:pt idx="9">
                  <c:v>350</c:v>
                </c:pt>
                <c:pt idx="10">
                  <c:v>350</c:v>
                </c:pt>
                <c:pt idx="11">
                  <c:v>350</c:v>
                </c:pt>
                <c:pt idx="12">
                  <c:v>350</c:v>
                </c:pt>
                <c:pt idx="13">
                  <c:v>350</c:v>
                </c:pt>
                <c:pt idx="14">
                  <c:v>350</c:v>
                </c:pt>
                <c:pt idx="15">
                  <c:v>331.227388213775</c:v>
                </c:pt>
                <c:pt idx="16">
                  <c:v>310.525676450414</c:v>
                </c:pt>
                <c:pt idx="17">
                  <c:v>292.259460188625</c:v>
                </c:pt>
                <c:pt idx="18">
                  <c:v>276.022823511479</c:v>
                </c:pt>
                <c:pt idx="19">
                  <c:v>261.495306484559</c:v>
                </c:pt>
                <c:pt idx="20">
                  <c:v>248.420541160331</c:v>
                </c:pt>
                <c:pt idx="21">
                  <c:v>236.590991581268</c:v>
                </c:pt>
                <c:pt idx="22">
                  <c:v>225.836855600301</c:v>
                </c:pt>
                <c:pt idx="23">
                  <c:v>216.017861878549</c:v>
                </c:pt>
                <c:pt idx="24">
                  <c:v>207.017117633609</c:v>
                </c:pt>
                <c:pt idx="25">
                  <c:v>198.736432928265</c:v>
                </c:pt>
                <c:pt idx="26">
                  <c:v>191.092723969485</c:v>
                </c:pt>
                <c:pt idx="27">
                  <c:v>184.015215674319</c:v>
                </c:pt>
                <c:pt idx="28">
                  <c:v>177.443243685951</c:v>
                </c:pt>
                <c:pt idx="29">
                  <c:v>171.324511145056</c:v>
                </c:pt>
                <c:pt idx="30">
                  <c:v>165.613694106887</c:v>
                </c:pt>
                <c:pt idx="31">
                  <c:v>160.271316877634</c:v>
                </c:pt>
                <c:pt idx="32">
                  <c:v>155.262838225207</c:v>
                </c:pt>
                <c:pt idx="33">
                  <c:v>150.557903733534</c:v>
                </c:pt>
                <c:pt idx="34">
                  <c:v>146.582588832375</c:v>
                </c:pt>
                <c:pt idx="35">
                  <c:v>144.709075281638</c:v>
                </c:pt>
                <c:pt idx="36">
                  <c:v>142.885164560524</c:v>
                </c:pt>
                <c:pt idx="37">
                  <c:v>141.108912491627</c:v>
                </c:pt>
                <c:pt idx="38">
                  <c:v>139.378475189658</c:v>
                </c:pt>
                <c:pt idx="39">
                  <c:v>137.692102676702</c:v>
                </c:pt>
                <c:pt idx="40">
                  <c:v>136.048132979117</c:v>
                </c:pt>
                <c:pt idx="41">
                  <c:v>134.444986664181</c:v>
                </c:pt>
                <c:pt idx="42">
                  <c:v>132.88116177875</c:v>
                </c:pt>
                <c:pt idx="43">
                  <c:v>131.355229155841</c:v>
                </c:pt>
                <c:pt idx="44">
                  <c:v>129.865828058294</c:v>
                </c:pt>
                <c:pt idx="45">
                  <c:v>128.411662131616</c:v>
                </c:pt>
                <c:pt idx="46">
                  <c:v>126.991495640693</c:v>
                </c:pt>
                <c:pt idx="47">
                  <c:v>125.604149967434</c:v>
                </c:pt>
                <c:pt idx="48">
                  <c:v>124.248500348444</c:v>
                </c:pt>
                <c:pt idx="49">
                  <c:v>122.923472833789</c:v>
                </c:pt>
                <c:pt idx="50">
                  <c:v>121.628041449535</c:v>
                </c:pt>
                <c:pt idx="51">
                  <c:v>120.361225548335</c:v>
                </c:pt>
                <c:pt idx="52">
                  <c:v>119.122087333659</c:v>
                </c:pt>
                <c:pt idx="53">
                  <c:v>117.909729544555</c:v>
                </c:pt>
                <c:pt idx="54">
                  <c:v>116.723293288907</c:v>
                </c:pt>
                <c:pt idx="55">
                  <c:v>115.561956014212</c:v>
                </c:pt>
                <c:pt idx="56">
                  <c:v>114.42492960579</c:v>
                </c:pt>
                <c:pt idx="57">
                  <c:v>113.311458603192</c:v>
                </c:pt>
                <c:pt idx="58">
                  <c:v>112.22081852632</c:v>
                </c:pt>
                <c:pt idx="59">
                  <c:v>111.152314303468</c:v>
                </c:pt>
                <c:pt idx="60">
                  <c:v>110.105278794116</c:v>
                </c:pt>
                <c:pt idx="61">
                  <c:v>109.079071399882</c:v>
                </c:pt>
                <c:pt idx="62">
                  <c:v>108.073076757548</c:v>
                </c:pt>
                <c:pt idx="63">
                  <c:v>107.086703508561</c:v>
                </c:pt>
                <c:pt idx="64">
                  <c:v>106.11938313985</c:v>
                </c:pt>
                <c:pt idx="65">
                  <c:v>105.170568891157</c:v>
                </c:pt>
                <c:pt idx="66">
                  <c:v>104.239734724498</c:v>
                </c:pt>
                <c:pt idx="67">
                  <c:v>103.326374351657</c:v>
                </c:pt>
                <c:pt idx="68">
                  <c:v>102.43000031594</c:v>
                </c:pt>
                <c:pt idx="69">
                  <c:v>101.550143124684</c:v>
                </c:pt>
                <c:pt idx="70">
                  <c:v>100.686350429288</c:v>
                </c:pt>
                <c:pt idx="71">
                  <c:v>99.8381862497491</c:v>
                </c:pt>
                <c:pt idx="72">
                  <c:v>99.0052302409097</c:v>
                </c:pt>
                <c:pt idx="73">
                  <c:v>98.1870769978277</c:v>
                </c:pt>
                <c:pt idx="74">
                  <c:v>97.3833353978517</c:v>
                </c:pt>
                <c:pt idx="75">
                  <c:v>96.5936279771617</c:v>
                </c:pt>
                <c:pt idx="76">
                  <c:v>95.8175903396849</c:v>
                </c:pt>
                <c:pt idx="77">
                  <c:v>95.0548705964441</c:v>
                </c:pt>
                <c:pt idx="78">
                  <c:v>94.3051288335242</c:v>
                </c:pt>
                <c:pt idx="79">
                  <c:v>93.5680366069687</c:v>
                </c:pt>
                <c:pt idx="80">
                  <c:v>92.843276463028</c:v>
                </c:pt>
                <c:pt idx="81">
                  <c:v>92.1305414822873</c:v>
                </c:pt>
                <c:pt idx="82">
                  <c:v>91.4295348463005</c:v>
                </c:pt>
                <c:pt idx="83">
                  <c:v>90.7399694254418</c:v>
                </c:pt>
                <c:pt idx="84">
                  <c:v>90.0615673867743</c:v>
                </c:pt>
                <c:pt idx="85">
                  <c:v>89.3940598208119</c:v>
                </c:pt>
                <c:pt idx="86">
                  <c:v>88.7371863861168</c:v>
                </c:pt>
                <c:pt idx="87">
                  <c:v>88.0906949707513</c:v>
                </c:pt>
                <c:pt idx="88">
                  <c:v>87.4543413696544</c:v>
                </c:pt>
                <c:pt idx="89">
                  <c:v>86.8278889770784</c:v>
                </c:pt>
                <c:pt idx="90">
                  <c:v>86.2111084932713</c:v>
                </c:pt>
                <c:pt idx="91">
                  <c:v>85.6037776446404</c:v>
                </c:pt>
                <c:pt idx="92">
                  <c:v>85.0056809166807</c:v>
                </c:pt>
                <c:pt idx="93">
                  <c:v>84.4166092989929</c:v>
                </c:pt>
                <c:pt idx="94">
                  <c:v>83.8363600417579</c:v>
                </c:pt>
                <c:pt idx="95">
                  <c:v>83.2647364230716</c:v>
                </c:pt>
                <c:pt idx="96">
                  <c:v>82.7015475265798</c:v>
                </c:pt>
                <c:pt idx="97">
                  <c:v>82.1466080288831</c:v>
                </c:pt>
                <c:pt idx="98">
                  <c:v>81.5997379962178</c:v>
                </c:pt>
                <c:pt idx="99">
                  <c:v>81.0607626899399</c:v>
                </c:pt>
                <c:pt idx="100">
                  <c:v>80.5295123803755</c:v>
                </c:pt>
              </c:numCache>
            </c:numRef>
          </c:val>
          <c:smooth val="0"/>
        </c:ser>
        <c:ser>
          <c:idx val="10"/>
          <c:order val="7"/>
          <c:tx>
            <c:strRef>
              <c:f>"VIN-nom"</c:f>
              <c:strCache>
                <c:ptCount val="1"/>
                <c:pt idx="0">
                  <c:v>VIN-nom</c:v>
                </c:pt>
              </c:strCache>
            </c:strRef>
          </c:tx>
          <c:spPr>
            <a:ln w="28575" cap="rnd" cmpd="sng" algn="ctr">
              <a:solidFill>
                <a:srgbClr val="0000FF"/>
              </a:solidFill>
              <a:prstDash val="lgDash"/>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99.9506172839506</c:v>
                </c:pt>
                <c:pt idx="2">
                  <c:v>199.901234567901</c:v>
                </c:pt>
                <c:pt idx="3">
                  <c:v>299.851851851852</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334.670448613758</c:v>
                </c:pt>
                <c:pt idx="19">
                  <c:v>317.056214476191</c:v>
                </c:pt>
                <c:pt idx="20">
                  <c:v>301.203403752382</c:v>
                </c:pt>
                <c:pt idx="21">
                  <c:v>286.860384526078</c:v>
                </c:pt>
                <c:pt idx="22">
                  <c:v>273.821276138529</c:v>
                </c:pt>
                <c:pt idx="23">
                  <c:v>261.916003262941</c:v>
                </c:pt>
                <c:pt idx="24">
                  <c:v>251.002836460318</c:v>
                </c:pt>
                <c:pt idx="25">
                  <c:v>240.962723001906</c:v>
                </c:pt>
                <c:pt idx="26">
                  <c:v>231.694925963372</c:v>
                </c:pt>
                <c:pt idx="27">
                  <c:v>223.113632409171</c:v>
                </c:pt>
                <c:pt idx="28">
                  <c:v>215.145288394558</c:v>
                </c:pt>
                <c:pt idx="29">
                  <c:v>207.726485346471</c:v>
                </c:pt>
                <c:pt idx="30">
                  <c:v>200.802269168254</c:v>
                </c:pt>
                <c:pt idx="31">
                  <c:v>194.32477661444</c:v>
                </c:pt>
                <c:pt idx="32">
                  <c:v>188.252127345239</c:v>
                </c:pt>
                <c:pt idx="33">
                  <c:v>182.547517425686</c:v>
                </c:pt>
                <c:pt idx="34">
                  <c:v>177.178472795518</c:v>
                </c:pt>
                <c:pt idx="35">
                  <c:v>172.116230715647</c:v>
                </c:pt>
                <c:pt idx="36">
                  <c:v>167.335224306879</c:v>
                </c:pt>
                <c:pt idx="37">
                  <c:v>162.812650676963</c:v>
                </c:pt>
                <c:pt idx="38">
                  <c:v>160.200718383452</c:v>
                </c:pt>
                <c:pt idx="39">
                  <c:v>158.169435562181</c:v>
                </c:pt>
                <c:pt idx="40">
                  <c:v>156.191299578173</c:v>
                </c:pt>
                <c:pt idx="41">
                  <c:v>154.264251551226</c:v>
                </c:pt>
                <c:pt idx="42">
                  <c:v>152.386337591944</c:v>
                </c:pt>
                <c:pt idx="43">
                  <c:v>150.555702193582</c:v>
                </c:pt>
                <c:pt idx="44">
                  <c:v>148.770582116797</c:v>
                </c:pt>
                <c:pt idx="45">
                  <c:v>147.02930072493</c:v>
                </c:pt>
                <c:pt idx="46">
                  <c:v>145.330262731562</c:v>
                </c:pt>
                <c:pt idx="47">
                  <c:v>143.671949325766</c:v>
                </c:pt>
                <c:pt idx="48">
                  <c:v>142.052913643732</c:v>
                </c:pt>
                <c:pt idx="49">
                  <c:v>140.4717765584</c:v>
                </c:pt>
                <c:pt idx="50">
                  <c:v>138.927222761344</c:v>
                </c:pt>
                <c:pt idx="51">
                  <c:v>137.417997113504</c:v>
                </c:pt>
                <c:pt idx="52">
                  <c:v>135.942901243498</c:v>
                </c:pt>
                <c:pt idx="53">
                  <c:v>134.500790374129</c:v>
                </c:pt>
                <c:pt idx="54">
                  <c:v>133.090570359429</c:v>
                </c:pt>
                <c:pt idx="55">
                  <c:v>131.711194916123</c:v>
                </c:pt>
                <c:pt idx="56">
                  <c:v>130.361663034788</c:v>
                </c:pt>
                <c:pt idx="57">
                  <c:v>129.041016557247</c:v>
                </c:pt>
                <c:pt idx="58">
                  <c:v>127.748337907876</c:v>
                </c:pt>
                <c:pt idx="59">
                  <c:v>126.482747967539</c:v>
                </c:pt>
                <c:pt idx="60">
                  <c:v>125.243404079787</c:v>
                </c:pt>
                <c:pt idx="61">
                  <c:v>124.02949817984</c:v>
                </c:pt>
                <c:pt idx="62">
                  <c:v>122.840255037594</c:v>
                </c:pt>
                <c:pt idx="63">
                  <c:v>121.674930606656</c:v>
                </c:pt>
                <c:pt idx="64">
                  <c:v>120.53281047199</c:v>
                </c:pt>
                <c:pt idx="65">
                  <c:v>119.413208389387</c:v>
                </c:pt>
                <c:pt idx="66">
                  <c:v>118.315464910481</c:v>
                </c:pt>
                <c:pt idx="67">
                  <c:v>117.238946087517</c:v>
                </c:pt>
                <c:pt idx="68">
                  <c:v>116.183042252529</c:v>
                </c:pt>
                <c:pt idx="69">
                  <c:v>115.147166865991</c:v>
                </c:pt>
                <c:pt idx="70">
                  <c:v>114.130755430364</c:v>
                </c:pt>
                <c:pt idx="71">
                  <c:v>113.133264464319</c:v>
                </c:pt>
                <c:pt idx="72">
                  <c:v>112.154170533719</c:v>
                </c:pt>
                <c:pt idx="73">
                  <c:v>111.192969335719</c:v>
                </c:pt>
                <c:pt idx="74">
                  <c:v>110.249174832634</c:v>
                </c:pt>
                <c:pt idx="75">
                  <c:v>109.322318432431</c:v>
                </c:pt>
                <c:pt idx="76">
                  <c:v>108.411948212959</c:v>
                </c:pt>
                <c:pt idx="77">
                  <c:v>107.517628187206</c:v>
                </c:pt>
                <c:pt idx="78">
                  <c:v>106.63893760708</c:v>
                </c:pt>
                <c:pt idx="79">
                  <c:v>105.775470303373</c:v>
                </c:pt>
                <c:pt idx="80">
                  <c:v>104.92683405974</c:v>
                </c:pt>
                <c:pt idx="81">
                  <c:v>104.092650018656</c:v>
                </c:pt>
                <c:pt idx="82">
                  <c:v>103.272552117471</c:v>
                </c:pt>
                <c:pt idx="83">
                  <c:v>102.466186552792</c:v>
                </c:pt>
                <c:pt idx="84">
                  <c:v>101.67321127155</c:v>
                </c:pt>
                <c:pt idx="85">
                  <c:v>100.893295487207</c:v>
                </c:pt>
                <c:pt idx="86">
                  <c:v>100.126119219677</c:v>
                </c:pt>
                <c:pt idx="87">
                  <c:v>99.3713728576023</c:v>
                </c:pt>
                <c:pt idx="88">
                  <c:v>98.6287567417454</c:v>
                </c:pt>
                <c:pt idx="89">
                  <c:v>97.8979807682966</c:v>
                </c:pt>
                <c:pt idx="90">
                  <c:v>97.1787640110137</c:v>
                </c:pt>
                <c:pt idx="91">
                  <c:v>96.4708343611479</c:v>
                </c:pt>
                <c:pt idx="92">
                  <c:v>95.7739281841922</c:v>
                </c:pt>
                <c:pt idx="93">
                  <c:v>95.0877899925397</c:v>
                </c:pt>
                <c:pt idx="94">
                  <c:v>94.4121721331991</c:v>
                </c:pt>
                <c:pt idx="95">
                  <c:v>93.7468344897655</c:v>
                </c:pt>
                <c:pt idx="96">
                  <c:v>93.0915441978936</c:v>
                </c:pt>
                <c:pt idx="97">
                  <c:v>92.4460753735623</c:v>
                </c:pt>
                <c:pt idx="98">
                  <c:v>91.8102088534694</c:v>
                </c:pt>
                <c:pt idx="99">
                  <c:v>91.1837319469249</c:v>
                </c:pt>
                <c:pt idx="100">
                  <c:v>90.5664381986552</c:v>
                </c:pt>
              </c:numCache>
            </c:numRef>
          </c:val>
          <c:smooth val="0"/>
        </c:ser>
        <c:ser>
          <c:idx val="11"/>
          <c:order val="8"/>
          <c:tx>
            <c:strRef>
              <c:f>"VIN-max"</c:f>
              <c:strCache>
                <c:ptCount val="1"/>
                <c:pt idx="0">
                  <c:v>VIN-max</c:v>
                </c:pt>
              </c:strCache>
            </c:strRef>
          </c:tx>
          <c:spPr>
            <a:ln w="28575" cap="rnd" cmpd="sng" algn="ctr">
              <a:solidFill>
                <a:srgbClr val="FF0000"/>
              </a:solidFill>
              <a:prstDash val="solid"/>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99.9506172839506</c:v>
                </c:pt>
                <c:pt idx="2">
                  <c:v>199.901234567901</c:v>
                </c:pt>
                <c:pt idx="3">
                  <c:v>299.851851851852</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349.929446560189</c:v>
                </c:pt>
                <c:pt idx="21">
                  <c:v>333.266139581132</c:v>
                </c:pt>
                <c:pt idx="22">
                  <c:v>318.117678691081</c:v>
                </c:pt>
                <c:pt idx="23">
                  <c:v>304.28647526973</c:v>
                </c:pt>
                <c:pt idx="24">
                  <c:v>291.607872133491</c:v>
                </c:pt>
                <c:pt idx="25">
                  <c:v>279.943557248151</c:v>
                </c:pt>
                <c:pt idx="26">
                  <c:v>269.176497353992</c:v>
                </c:pt>
                <c:pt idx="27">
                  <c:v>259.206997451991</c:v>
                </c:pt>
                <c:pt idx="28">
                  <c:v>249.949604685849</c:v>
                </c:pt>
                <c:pt idx="29">
                  <c:v>241.33065280013</c:v>
                </c:pt>
                <c:pt idx="30">
                  <c:v>233.286297706792</c:v>
                </c:pt>
                <c:pt idx="31">
                  <c:v>225.760933264638</c:v>
                </c:pt>
                <c:pt idx="32">
                  <c:v>218.705904100118</c:v>
                </c:pt>
                <c:pt idx="33">
                  <c:v>212.07845246072</c:v>
                </c:pt>
                <c:pt idx="34">
                  <c:v>205.840850917758</c:v>
                </c:pt>
                <c:pt idx="35">
                  <c:v>199.959683748679</c:v>
                </c:pt>
                <c:pt idx="36">
                  <c:v>194.405248088994</c:v>
                </c:pt>
                <c:pt idx="37">
                  <c:v>189.151052194696</c:v>
                </c:pt>
                <c:pt idx="38">
                  <c:v>184.173392926415</c:v>
                </c:pt>
                <c:pt idx="39">
                  <c:v>179.450998235994</c:v>
                </c:pt>
                <c:pt idx="40">
                  <c:v>174.964723280094</c:v>
                </c:pt>
                <c:pt idx="41">
                  <c:v>172.448582064446</c:v>
                </c:pt>
                <c:pt idx="42">
                  <c:v>170.264814650499</c:v>
                </c:pt>
                <c:pt idx="43">
                  <c:v>168.137937415887</c:v>
                </c:pt>
                <c:pt idx="44">
                  <c:v>166.065755843242</c:v>
                </c:pt>
                <c:pt idx="45">
                  <c:v>164.04618685256</c:v>
                </c:pt>
                <c:pt idx="46">
                  <c:v>162.077251816402</c:v>
                </c:pt>
                <c:pt idx="47">
                  <c:v>160.157070093945</c:v>
                </c:pt>
                <c:pt idx="48">
                  <c:v>158.283853039487</c:v>
                </c:pt>
                <c:pt idx="49">
                  <c:v>156.455898445257</c:v>
                </c:pt>
                <c:pt idx="50">
                  <c:v>154.671585382257</c:v>
                </c:pt>
                <c:pt idx="51">
                  <c:v>152.929369406263</c:v>
                </c:pt>
                <c:pt idx="52">
                  <c:v>151.227778099177</c:v>
                </c:pt>
                <c:pt idx="53">
                  <c:v>149.565406918688</c:v>
                </c:pt>
                <c:pt idx="54">
                  <c:v>147.940915331647</c:v>
                </c:pt>
                <c:pt idx="55">
                  <c:v>146.353023208779</c:v>
                </c:pt>
                <c:pt idx="56">
                  <c:v>144.80050746037</c:v>
                </c:pt>
                <c:pt idx="57">
                  <c:v>143.282198894325</c:v>
                </c:pt>
                <c:pt idx="58">
                  <c:v>141.796979279655</c:v>
                </c:pt>
                <c:pt idx="59">
                  <c:v>140.343778599876</c:v>
                </c:pt>
                <c:pt idx="60">
                  <c:v>138.921572482156</c:v>
                </c:pt>
                <c:pt idx="61">
                  <c:v>137.529379789218</c:v>
                </c:pt>
                <c:pt idx="62">
                  <c:v>136.166260362116</c:v>
                </c:pt>
                <c:pt idx="63">
                  <c:v>134.831312902955</c:v>
                </c:pt>
                <c:pt idx="64">
                  <c:v>133.52367298755</c:v>
                </c:pt>
                <c:pt idx="65">
                  <c:v>132.242511198802</c:v>
                </c:pt>
                <c:pt idx="66">
                  <c:v>130.987031372337</c:v>
                </c:pt>
                <c:pt idx="67">
                  <c:v>129.756468946592</c:v>
                </c:pt>
                <c:pt idx="68">
                  <c:v>128.550089410177</c:v>
                </c:pt>
                <c:pt idx="69">
                  <c:v>127.367186839887</c:v>
                </c:pt>
                <c:pt idx="70">
                  <c:v>126.207082523238</c:v>
                </c:pt>
                <c:pt idx="71">
                  <c:v>125.069123659888</c:v>
                </c:pt>
                <c:pt idx="72">
                  <c:v>123.952682136731</c:v>
                </c:pt>
                <c:pt idx="73">
                  <c:v>122.85715337181</c:v>
                </c:pt>
                <c:pt idx="74">
                  <c:v>121.781955222604</c:v>
                </c:pt>
                <c:pt idx="75">
                  <c:v>120.726526954532</c:v>
                </c:pt>
                <c:pt idx="76">
                  <c:v>119.690328265836</c:v>
                </c:pt>
                <c:pt idx="77">
                  <c:v>118.672838365287</c:v>
                </c:pt>
                <c:pt idx="78">
                  <c:v>117.673555099393</c:v>
                </c:pt>
                <c:pt idx="79">
                  <c:v>116.691994126051</c:v>
                </c:pt>
                <c:pt idx="80">
                  <c:v>115.727688131774</c:v>
                </c:pt>
                <c:pt idx="81">
                  <c:v>114.780186089844</c:v>
                </c:pt>
                <c:pt idx="82">
                  <c:v>113.849052556905</c:v>
                </c:pt>
                <c:pt idx="83">
                  <c:v>112.933867005709</c:v>
                </c:pt>
                <c:pt idx="84">
                  <c:v>112.034223191843</c:v>
                </c:pt>
                <c:pt idx="85">
                  <c:v>111.149728552463</c:v>
                </c:pt>
                <c:pt idx="86">
                  <c:v>110.280003635134</c:v>
                </c:pt>
                <c:pt idx="87">
                  <c:v>109.424681555052</c:v>
                </c:pt>
                <c:pt idx="88">
                  <c:v>108.583407479015</c:v>
                </c:pt>
                <c:pt idx="89">
                  <c:v>107.755838134602</c:v>
                </c:pt>
                <c:pt idx="90">
                  <c:v>106.941641343156</c:v>
                </c:pt>
                <c:pt idx="91">
                  <c:v>106.140495575216</c:v>
                </c:pt>
                <c:pt idx="92">
                  <c:v>105.352089527165</c:v>
                </c:pt>
                <c:pt idx="93">
                  <c:v>104.57612171791</c:v>
                </c:pt>
                <c:pt idx="94">
                  <c:v>103.812300104502</c:v>
                </c:pt>
                <c:pt idx="95">
                  <c:v>103.06034171567</c:v>
                </c:pt>
                <c:pt idx="96">
                  <c:v>102.319972302292</c:v>
                </c:pt>
                <c:pt idx="97">
                  <c:v>101.590926003909</c:v>
                </c:pt>
                <c:pt idx="98">
                  <c:v>100.872945030418</c:v>
                </c:pt>
                <c:pt idx="99">
                  <c:v>100.165779358157</c:v>
                </c:pt>
                <c:pt idx="100">
                  <c:v>99.4691864396134</c:v>
                </c:pt>
              </c:numCache>
            </c:numRef>
          </c:val>
          <c:smooth val="0"/>
        </c:ser>
        <c:ser>
          <c:idx val="12"/>
          <c:order val="9"/>
          <c:spPr>
            <a:ln w="28575" cap="rnd" cmpd="sng" algn="ctr">
              <a:noFill/>
              <a:prstDash val="solid"/>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146.582588832375</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3"/>
          <c:order val="10"/>
          <c:spPr>
            <a:ln w="28575" cap="rnd" cmpd="sng" algn="ctr">
              <a:noFill/>
              <a:prstDash val="solid"/>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162.812650676963</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4"/>
          <c:order val="11"/>
          <c:spPr>
            <a:ln w="28575" cap="rnd" cmpd="sng" algn="ctr">
              <a:noFill/>
              <a:prstDash val="solid"/>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174.964723280094</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
          <c:order val="0"/>
          <c:tx>
            <c:strRef>
              <c:f>"VIN-min"</c:f>
              <c:strCache>
                <c:ptCount val="1"/>
                <c:pt idx="0">
                  <c:v>VIN-min</c:v>
                </c:pt>
              </c:strCache>
            </c:strRef>
          </c:tx>
          <c:spPr>
            <a:ln w="28575" cap="rnd" cmpd="sng" algn="ctr">
              <a:solidFill>
                <a:srgbClr val="00B050"/>
              </a:solidFill>
              <a:prstDash val="sysDash"/>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99.9506172839506</c:v>
                </c:pt>
                <c:pt idx="2">
                  <c:v>199.901234567901</c:v>
                </c:pt>
                <c:pt idx="3">
                  <c:v>299.851851851852</c:v>
                </c:pt>
                <c:pt idx="4">
                  <c:v>350</c:v>
                </c:pt>
                <c:pt idx="5">
                  <c:v>350</c:v>
                </c:pt>
                <c:pt idx="6">
                  <c:v>350</c:v>
                </c:pt>
                <c:pt idx="7">
                  <c:v>350</c:v>
                </c:pt>
                <c:pt idx="8">
                  <c:v>350</c:v>
                </c:pt>
                <c:pt idx="9">
                  <c:v>350</c:v>
                </c:pt>
                <c:pt idx="10">
                  <c:v>350</c:v>
                </c:pt>
                <c:pt idx="11">
                  <c:v>350</c:v>
                </c:pt>
                <c:pt idx="12">
                  <c:v>350</c:v>
                </c:pt>
                <c:pt idx="13">
                  <c:v>350</c:v>
                </c:pt>
                <c:pt idx="14">
                  <c:v>350</c:v>
                </c:pt>
                <c:pt idx="15">
                  <c:v>331.227388213775</c:v>
                </c:pt>
                <c:pt idx="16">
                  <c:v>310.525676450414</c:v>
                </c:pt>
                <c:pt idx="17">
                  <c:v>292.259460188625</c:v>
                </c:pt>
                <c:pt idx="18">
                  <c:v>276.022823511479</c:v>
                </c:pt>
                <c:pt idx="19">
                  <c:v>261.495306484559</c:v>
                </c:pt>
                <c:pt idx="20">
                  <c:v>248.420541160331</c:v>
                </c:pt>
                <c:pt idx="21">
                  <c:v>236.590991581268</c:v>
                </c:pt>
                <c:pt idx="22">
                  <c:v>225.836855600301</c:v>
                </c:pt>
                <c:pt idx="23">
                  <c:v>216.017861878549</c:v>
                </c:pt>
                <c:pt idx="24">
                  <c:v>207.017117633609</c:v>
                </c:pt>
                <c:pt idx="25">
                  <c:v>198.736432928265</c:v>
                </c:pt>
                <c:pt idx="26">
                  <c:v>191.092723969485</c:v>
                </c:pt>
                <c:pt idx="27">
                  <c:v>184.015215674319</c:v>
                </c:pt>
                <c:pt idx="28">
                  <c:v>177.443243685951</c:v>
                </c:pt>
                <c:pt idx="29">
                  <c:v>171.324511145056</c:v>
                </c:pt>
                <c:pt idx="30">
                  <c:v>165.613694106887</c:v>
                </c:pt>
                <c:pt idx="31">
                  <c:v>160.271316877634</c:v>
                </c:pt>
                <c:pt idx="32">
                  <c:v>155.262838225207</c:v>
                </c:pt>
                <c:pt idx="33">
                  <c:v>150.557903733534</c:v>
                </c:pt>
                <c:pt idx="34">
                  <c:v>146.582588832375</c:v>
                </c:pt>
                <c:pt idx="35">
                  <c:v>144.709075281638</c:v>
                </c:pt>
                <c:pt idx="36">
                  <c:v>142.885164560524</c:v>
                </c:pt>
                <c:pt idx="37">
                  <c:v>141.108912491627</c:v>
                </c:pt>
                <c:pt idx="38">
                  <c:v>139.378475189658</c:v>
                </c:pt>
                <c:pt idx="39">
                  <c:v>137.692102676702</c:v>
                </c:pt>
                <c:pt idx="40">
                  <c:v>136.048132979117</c:v>
                </c:pt>
                <c:pt idx="41">
                  <c:v>134.444986664181</c:v>
                </c:pt>
                <c:pt idx="42">
                  <c:v>132.88116177875</c:v>
                </c:pt>
                <c:pt idx="43">
                  <c:v>131.355229155841</c:v>
                </c:pt>
                <c:pt idx="44">
                  <c:v>129.865828058294</c:v>
                </c:pt>
                <c:pt idx="45">
                  <c:v>128.411662131616</c:v>
                </c:pt>
                <c:pt idx="46">
                  <c:v>126.991495640693</c:v>
                </c:pt>
                <c:pt idx="47">
                  <c:v>125.604149967434</c:v>
                </c:pt>
                <c:pt idx="48">
                  <c:v>124.248500348444</c:v>
                </c:pt>
                <c:pt idx="49">
                  <c:v>122.923472833789</c:v>
                </c:pt>
                <c:pt idx="50">
                  <c:v>121.628041449535</c:v>
                </c:pt>
                <c:pt idx="51">
                  <c:v>120.361225548335</c:v>
                </c:pt>
                <c:pt idx="52">
                  <c:v>119.122087333659</c:v>
                </c:pt>
                <c:pt idx="53">
                  <c:v>117.909729544555</c:v>
                </c:pt>
                <c:pt idx="54">
                  <c:v>116.723293288907</c:v>
                </c:pt>
                <c:pt idx="55">
                  <c:v>115.561956014212</c:v>
                </c:pt>
                <c:pt idx="56">
                  <c:v>114.42492960579</c:v>
                </c:pt>
                <c:pt idx="57">
                  <c:v>113.311458603192</c:v>
                </c:pt>
                <c:pt idx="58">
                  <c:v>112.22081852632</c:v>
                </c:pt>
                <c:pt idx="59">
                  <c:v>111.152314303468</c:v>
                </c:pt>
                <c:pt idx="60">
                  <c:v>110.105278794116</c:v>
                </c:pt>
                <c:pt idx="61">
                  <c:v>109.079071399882</c:v>
                </c:pt>
                <c:pt idx="62">
                  <c:v>108.073076757548</c:v>
                </c:pt>
                <c:pt idx="63">
                  <c:v>107.086703508561</c:v>
                </c:pt>
                <c:pt idx="64">
                  <c:v>106.11938313985</c:v>
                </c:pt>
                <c:pt idx="65">
                  <c:v>105.170568891157</c:v>
                </c:pt>
                <c:pt idx="66">
                  <c:v>104.239734724498</c:v>
                </c:pt>
                <c:pt idx="67">
                  <c:v>103.326374351657</c:v>
                </c:pt>
                <c:pt idx="68">
                  <c:v>102.43000031594</c:v>
                </c:pt>
                <c:pt idx="69">
                  <c:v>101.550143124684</c:v>
                </c:pt>
                <c:pt idx="70">
                  <c:v>100.686350429288</c:v>
                </c:pt>
                <c:pt idx="71">
                  <c:v>99.8381862497491</c:v>
                </c:pt>
                <c:pt idx="72">
                  <c:v>99.0052302409097</c:v>
                </c:pt>
                <c:pt idx="73">
                  <c:v>98.1870769978277</c:v>
                </c:pt>
                <c:pt idx="74">
                  <c:v>97.3833353978517</c:v>
                </c:pt>
                <c:pt idx="75">
                  <c:v>96.5936279771617</c:v>
                </c:pt>
                <c:pt idx="76">
                  <c:v>95.8175903396849</c:v>
                </c:pt>
                <c:pt idx="77">
                  <c:v>95.0548705964441</c:v>
                </c:pt>
                <c:pt idx="78">
                  <c:v>94.3051288335242</c:v>
                </c:pt>
                <c:pt idx="79">
                  <c:v>93.5680366069687</c:v>
                </c:pt>
                <c:pt idx="80">
                  <c:v>92.843276463028</c:v>
                </c:pt>
                <c:pt idx="81">
                  <c:v>92.1305414822873</c:v>
                </c:pt>
                <c:pt idx="82">
                  <c:v>91.4295348463005</c:v>
                </c:pt>
                <c:pt idx="83">
                  <c:v>90.7399694254418</c:v>
                </c:pt>
                <c:pt idx="84">
                  <c:v>90.0615673867743</c:v>
                </c:pt>
                <c:pt idx="85">
                  <c:v>89.3940598208119</c:v>
                </c:pt>
                <c:pt idx="86">
                  <c:v>88.7371863861168</c:v>
                </c:pt>
                <c:pt idx="87">
                  <c:v>88.0906949707513</c:v>
                </c:pt>
                <c:pt idx="88">
                  <c:v>87.4543413696544</c:v>
                </c:pt>
                <c:pt idx="89">
                  <c:v>86.8278889770784</c:v>
                </c:pt>
                <c:pt idx="90">
                  <c:v>86.2111084932713</c:v>
                </c:pt>
                <c:pt idx="91">
                  <c:v>85.6037776446404</c:v>
                </c:pt>
                <c:pt idx="92">
                  <c:v>85.0056809166807</c:v>
                </c:pt>
                <c:pt idx="93">
                  <c:v>84.4166092989929</c:v>
                </c:pt>
                <c:pt idx="94">
                  <c:v>83.8363600417579</c:v>
                </c:pt>
                <c:pt idx="95">
                  <c:v>83.2647364230716</c:v>
                </c:pt>
                <c:pt idx="96">
                  <c:v>82.7015475265798</c:v>
                </c:pt>
                <c:pt idx="97">
                  <c:v>82.1466080288831</c:v>
                </c:pt>
                <c:pt idx="98">
                  <c:v>81.5997379962178</c:v>
                </c:pt>
                <c:pt idx="99">
                  <c:v>81.0607626899399</c:v>
                </c:pt>
                <c:pt idx="100">
                  <c:v>80.5295123803755</c:v>
                </c:pt>
              </c:numCache>
            </c:numRef>
          </c:val>
          <c:smooth val="0"/>
        </c:ser>
        <c:ser>
          <c:idx val="0"/>
          <c:order val="1"/>
          <c:tx>
            <c:strRef>
              <c:f>"VIN-nom"</c:f>
              <c:strCache>
                <c:ptCount val="1"/>
                <c:pt idx="0">
                  <c:v>VIN-nom</c:v>
                </c:pt>
              </c:strCache>
            </c:strRef>
          </c:tx>
          <c:spPr>
            <a:ln w="28575" cap="rnd" cmpd="sng" algn="ctr">
              <a:solidFill>
                <a:srgbClr val="0000FF"/>
              </a:solidFill>
              <a:prstDash val="lgDash"/>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99.9506172839506</c:v>
                </c:pt>
                <c:pt idx="2">
                  <c:v>199.901234567901</c:v>
                </c:pt>
                <c:pt idx="3">
                  <c:v>299.851851851852</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334.670448613758</c:v>
                </c:pt>
                <c:pt idx="19">
                  <c:v>317.056214476191</c:v>
                </c:pt>
                <c:pt idx="20">
                  <c:v>301.203403752382</c:v>
                </c:pt>
                <c:pt idx="21">
                  <c:v>286.860384526078</c:v>
                </c:pt>
                <c:pt idx="22">
                  <c:v>273.821276138529</c:v>
                </c:pt>
                <c:pt idx="23">
                  <c:v>261.916003262941</c:v>
                </c:pt>
                <c:pt idx="24">
                  <c:v>251.002836460318</c:v>
                </c:pt>
                <c:pt idx="25">
                  <c:v>240.962723001906</c:v>
                </c:pt>
                <c:pt idx="26">
                  <c:v>231.694925963372</c:v>
                </c:pt>
                <c:pt idx="27">
                  <c:v>223.113632409171</c:v>
                </c:pt>
                <c:pt idx="28">
                  <c:v>215.145288394558</c:v>
                </c:pt>
                <c:pt idx="29">
                  <c:v>207.726485346471</c:v>
                </c:pt>
                <c:pt idx="30">
                  <c:v>200.802269168254</c:v>
                </c:pt>
                <c:pt idx="31">
                  <c:v>194.32477661444</c:v>
                </c:pt>
                <c:pt idx="32">
                  <c:v>188.252127345239</c:v>
                </c:pt>
                <c:pt idx="33">
                  <c:v>182.547517425686</c:v>
                </c:pt>
                <c:pt idx="34">
                  <c:v>177.178472795518</c:v>
                </c:pt>
                <c:pt idx="35">
                  <c:v>172.116230715647</c:v>
                </c:pt>
                <c:pt idx="36">
                  <c:v>167.335224306879</c:v>
                </c:pt>
                <c:pt idx="37">
                  <c:v>162.812650676963</c:v>
                </c:pt>
                <c:pt idx="38">
                  <c:v>160.200718383452</c:v>
                </c:pt>
                <c:pt idx="39">
                  <c:v>158.169435562181</c:v>
                </c:pt>
                <c:pt idx="40">
                  <c:v>156.191299578173</c:v>
                </c:pt>
                <c:pt idx="41">
                  <c:v>154.264251551226</c:v>
                </c:pt>
                <c:pt idx="42">
                  <c:v>152.386337591944</c:v>
                </c:pt>
                <c:pt idx="43">
                  <c:v>150.555702193582</c:v>
                </c:pt>
                <c:pt idx="44">
                  <c:v>148.770582116797</c:v>
                </c:pt>
                <c:pt idx="45">
                  <c:v>147.02930072493</c:v>
                </c:pt>
                <c:pt idx="46">
                  <c:v>145.330262731562</c:v>
                </c:pt>
                <c:pt idx="47">
                  <c:v>143.671949325766</c:v>
                </c:pt>
                <c:pt idx="48">
                  <c:v>142.052913643732</c:v>
                </c:pt>
                <c:pt idx="49">
                  <c:v>140.4717765584</c:v>
                </c:pt>
                <c:pt idx="50">
                  <c:v>138.927222761344</c:v>
                </c:pt>
                <c:pt idx="51">
                  <c:v>137.417997113504</c:v>
                </c:pt>
                <c:pt idx="52">
                  <c:v>135.942901243498</c:v>
                </c:pt>
                <c:pt idx="53">
                  <c:v>134.500790374129</c:v>
                </c:pt>
                <c:pt idx="54">
                  <c:v>133.090570359429</c:v>
                </c:pt>
                <c:pt idx="55">
                  <c:v>131.711194916123</c:v>
                </c:pt>
                <c:pt idx="56">
                  <c:v>130.361663034788</c:v>
                </c:pt>
                <c:pt idx="57">
                  <c:v>129.041016557247</c:v>
                </c:pt>
                <c:pt idx="58">
                  <c:v>127.748337907876</c:v>
                </c:pt>
                <c:pt idx="59">
                  <c:v>126.482747967539</c:v>
                </c:pt>
                <c:pt idx="60">
                  <c:v>125.243404079787</c:v>
                </c:pt>
                <c:pt idx="61">
                  <c:v>124.02949817984</c:v>
                </c:pt>
                <c:pt idx="62">
                  <c:v>122.840255037594</c:v>
                </c:pt>
                <c:pt idx="63">
                  <c:v>121.674930606656</c:v>
                </c:pt>
                <c:pt idx="64">
                  <c:v>120.53281047199</c:v>
                </c:pt>
                <c:pt idx="65">
                  <c:v>119.413208389387</c:v>
                </c:pt>
                <c:pt idx="66">
                  <c:v>118.315464910481</c:v>
                </c:pt>
                <c:pt idx="67">
                  <c:v>117.238946087517</c:v>
                </c:pt>
                <c:pt idx="68">
                  <c:v>116.183042252529</c:v>
                </c:pt>
                <c:pt idx="69">
                  <c:v>115.147166865991</c:v>
                </c:pt>
                <c:pt idx="70">
                  <c:v>114.130755430364</c:v>
                </c:pt>
                <c:pt idx="71">
                  <c:v>113.133264464319</c:v>
                </c:pt>
                <c:pt idx="72">
                  <c:v>112.154170533719</c:v>
                </c:pt>
                <c:pt idx="73">
                  <c:v>111.192969335719</c:v>
                </c:pt>
                <c:pt idx="74">
                  <c:v>110.249174832634</c:v>
                </c:pt>
                <c:pt idx="75">
                  <c:v>109.322318432431</c:v>
                </c:pt>
                <c:pt idx="76">
                  <c:v>108.411948212959</c:v>
                </c:pt>
                <c:pt idx="77">
                  <c:v>107.517628187206</c:v>
                </c:pt>
                <c:pt idx="78">
                  <c:v>106.63893760708</c:v>
                </c:pt>
                <c:pt idx="79">
                  <c:v>105.775470303373</c:v>
                </c:pt>
                <c:pt idx="80">
                  <c:v>104.92683405974</c:v>
                </c:pt>
                <c:pt idx="81">
                  <c:v>104.092650018656</c:v>
                </c:pt>
                <c:pt idx="82">
                  <c:v>103.272552117471</c:v>
                </c:pt>
                <c:pt idx="83">
                  <c:v>102.466186552792</c:v>
                </c:pt>
                <c:pt idx="84">
                  <c:v>101.67321127155</c:v>
                </c:pt>
                <c:pt idx="85">
                  <c:v>100.893295487207</c:v>
                </c:pt>
                <c:pt idx="86">
                  <c:v>100.126119219677</c:v>
                </c:pt>
                <c:pt idx="87">
                  <c:v>99.3713728576023</c:v>
                </c:pt>
                <c:pt idx="88">
                  <c:v>98.6287567417454</c:v>
                </c:pt>
                <c:pt idx="89">
                  <c:v>97.8979807682966</c:v>
                </c:pt>
                <c:pt idx="90">
                  <c:v>97.1787640110137</c:v>
                </c:pt>
                <c:pt idx="91">
                  <c:v>96.4708343611479</c:v>
                </c:pt>
                <c:pt idx="92">
                  <c:v>95.7739281841922</c:v>
                </c:pt>
                <c:pt idx="93">
                  <c:v>95.0877899925397</c:v>
                </c:pt>
                <c:pt idx="94">
                  <c:v>94.4121721331991</c:v>
                </c:pt>
                <c:pt idx="95">
                  <c:v>93.7468344897655</c:v>
                </c:pt>
                <c:pt idx="96">
                  <c:v>93.0915441978936</c:v>
                </c:pt>
                <c:pt idx="97">
                  <c:v>92.4460753735623</c:v>
                </c:pt>
                <c:pt idx="98">
                  <c:v>91.8102088534694</c:v>
                </c:pt>
                <c:pt idx="99">
                  <c:v>91.1837319469249</c:v>
                </c:pt>
                <c:pt idx="100">
                  <c:v>90.5664381986552</c:v>
                </c:pt>
              </c:numCache>
            </c:numRef>
          </c:val>
          <c:smooth val="0"/>
        </c:ser>
        <c:ser>
          <c:idx val="2"/>
          <c:order val="2"/>
          <c:tx>
            <c:strRef>
              <c:f>"VIN-max"</c:f>
              <c:strCache>
                <c:ptCount val="1"/>
                <c:pt idx="0">
                  <c:v>VIN-max</c:v>
                </c:pt>
              </c:strCache>
            </c:strRef>
          </c:tx>
          <c:spPr>
            <a:ln w="28575" cap="rnd" cmpd="sng" algn="ctr">
              <a:solidFill>
                <a:srgbClr val="FF0000"/>
              </a:solidFill>
              <a:prstDash val="solid"/>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99.9506172839506</c:v>
                </c:pt>
                <c:pt idx="2">
                  <c:v>199.901234567901</c:v>
                </c:pt>
                <c:pt idx="3">
                  <c:v>299.851851851852</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349.929446560189</c:v>
                </c:pt>
                <c:pt idx="21">
                  <c:v>333.266139581132</c:v>
                </c:pt>
                <c:pt idx="22">
                  <c:v>318.117678691081</c:v>
                </c:pt>
                <c:pt idx="23">
                  <c:v>304.28647526973</c:v>
                </c:pt>
                <c:pt idx="24">
                  <c:v>291.607872133491</c:v>
                </c:pt>
                <c:pt idx="25">
                  <c:v>279.943557248151</c:v>
                </c:pt>
                <c:pt idx="26">
                  <c:v>269.176497353992</c:v>
                </c:pt>
                <c:pt idx="27">
                  <c:v>259.206997451991</c:v>
                </c:pt>
                <c:pt idx="28">
                  <c:v>249.949604685849</c:v>
                </c:pt>
                <c:pt idx="29">
                  <c:v>241.33065280013</c:v>
                </c:pt>
                <c:pt idx="30">
                  <c:v>233.286297706792</c:v>
                </c:pt>
                <c:pt idx="31">
                  <c:v>225.760933264638</c:v>
                </c:pt>
                <c:pt idx="32">
                  <c:v>218.705904100118</c:v>
                </c:pt>
                <c:pt idx="33">
                  <c:v>212.07845246072</c:v>
                </c:pt>
                <c:pt idx="34">
                  <c:v>205.840850917758</c:v>
                </c:pt>
                <c:pt idx="35">
                  <c:v>199.959683748679</c:v>
                </c:pt>
                <c:pt idx="36">
                  <c:v>194.405248088994</c:v>
                </c:pt>
                <c:pt idx="37">
                  <c:v>189.151052194696</c:v>
                </c:pt>
                <c:pt idx="38">
                  <c:v>184.173392926415</c:v>
                </c:pt>
                <c:pt idx="39">
                  <c:v>179.450998235994</c:v>
                </c:pt>
                <c:pt idx="40">
                  <c:v>174.964723280094</c:v>
                </c:pt>
                <c:pt idx="41">
                  <c:v>172.448582064446</c:v>
                </c:pt>
                <c:pt idx="42">
                  <c:v>170.264814650499</c:v>
                </c:pt>
                <c:pt idx="43">
                  <c:v>168.137937415887</c:v>
                </c:pt>
                <c:pt idx="44">
                  <c:v>166.065755843242</c:v>
                </c:pt>
                <c:pt idx="45">
                  <c:v>164.04618685256</c:v>
                </c:pt>
                <c:pt idx="46">
                  <c:v>162.077251816402</c:v>
                </c:pt>
                <c:pt idx="47">
                  <c:v>160.157070093945</c:v>
                </c:pt>
                <c:pt idx="48">
                  <c:v>158.283853039487</c:v>
                </c:pt>
                <c:pt idx="49">
                  <c:v>156.455898445257</c:v>
                </c:pt>
                <c:pt idx="50">
                  <c:v>154.671585382257</c:v>
                </c:pt>
                <c:pt idx="51">
                  <c:v>152.929369406263</c:v>
                </c:pt>
                <c:pt idx="52">
                  <c:v>151.227778099177</c:v>
                </c:pt>
                <c:pt idx="53">
                  <c:v>149.565406918688</c:v>
                </c:pt>
                <c:pt idx="54">
                  <c:v>147.940915331647</c:v>
                </c:pt>
                <c:pt idx="55">
                  <c:v>146.353023208779</c:v>
                </c:pt>
                <c:pt idx="56">
                  <c:v>144.80050746037</c:v>
                </c:pt>
                <c:pt idx="57">
                  <c:v>143.282198894325</c:v>
                </c:pt>
                <c:pt idx="58">
                  <c:v>141.796979279655</c:v>
                </c:pt>
                <c:pt idx="59">
                  <c:v>140.343778599876</c:v>
                </c:pt>
                <c:pt idx="60">
                  <c:v>138.921572482156</c:v>
                </c:pt>
                <c:pt idx="61">
                  <c:v>137.529379789218</c:v>
                </c:pt>
                <c:pt idx="62">
                  <c:v>136.166260362116</c:v>
                </c:pt>
                <c:pt idx="63">
                  <c:v>134.831312902955</c:v>
                </c:pt>
                <c:pt idx="64">
                  <c:v>133.52367298755</c:v>
                </c:pt>
                <c:pt idx="65">
                  <c:v>132.242511198802</c:v>
                </c:pt>
                <c:pt idx="66">
                  <c:v>130.987031372337</c:v>
                </c:pt>
                <c:pt idx="67">
                  <c:v>129.756468946592</c:v>
                </c:pt>
                <c:pt idx="68">
                  <c:v>128.550089410177</c:v>
                </c:pt>
                <c:pt idx="69">
                  <c:v>127.367186839887</c:v>
                </c:pt>
                <c:pt idx="70">
                  <c:v>126.207082523238</c:v>
                </c:pt>
                <c:pt idx="71">
                  <c:v>125.069123659888</c:v>
                </c:pt>
                <c:pt idx="72">
                  <c:v>123.952682136731</c:v>
                </c:pt>
                <c:pt idx="73">
                  <c:v>122.85715337181</c:v>
                </c:pt>
                <c:pt idx="74">
                  <c:v>121.781955222604</c:v>
                </c:pt>
                <c:pt idx="75">
                  <c:v>120.726526954532</c:v>
                </c:pt>
                <c:pt idx="76">
                  <c:v>119.690328265836</c:v>
                </c:pt>
                <c:pt idx="77">
                  <c:v>118.672838365287</c:v>
                </c:pt>
                <c:pt idx="78">
                  <c:v>117.673555099393</c:v>
                </c:pt>
                <c:pt idx="79">
                  <c:v>116.691994126051</c:v>
                </c:pt>
                <c:pt idx="80">
                  <c:v>115.727688131774</c:v>
                </c:pt>
                <c:pt idx="81">
                  <c:v>114.780186089844</c:v>
                </c:pt>
                <c:pt idx="82">
                  <c:v>113.849052556905</c:v>
                </c:pt>
                <c:pt idx="83">
                  <c:v>112.933867005709</c:v>
                </c:pt>
                <c:pt idx="84">
                  <c:v>112.034223191843</c:v>
                </c:pt>
                <c:pt idx="85">
                  <c:v>111.149728552463</c:v>
                </c:pt>
                <c:pt idx="86">
                  <c:v>110.280003635134</c:v>
                </c:pt>
                <c:pt idx="87">
                  <c:v>109.424681555052</c:v>
                </c:pt>
                <c:pt idx="88">
                  <c:v>108.583407479015</c:v>
                </c:pt>
                <c:pt idx="89">
                  <c:v>107.755838134602</c:v>
                </c:pt>
                <c:pt idx="90">
                  <c:v>106.941641343156</c:v>
                </c:pt>
                <c:pt idx="91">
                  <c:v>106.140495575216</c:v>
                </c:pt>
                <c:pt idx="92">
                  <c:v>105.352089527165</c:v>
                </c:pt>
                <c:pt idx="93">
                  <c:v>104.57612171791</c:v>
                </c:pt>
                <c:pt idx="94">
                  <c:v>103.812300104502</c:v>
                </c:pt>
                <c:pt idx="95">
                  <c:v>103.06034171567</c:v>
                </c:pt>
                <c:pt idx="96">
                  <c:v>102.319972302292</c:v>
                </c:pt>
                <c:pt idx="97">
                  <c:v>101.590926003909</c:v>
                </c:pt>
                <c:pt idx="98">
                  <c:v>100.872945030418</c:v>
                </c:pt>
                <c:pt idx="99">
                  <c:v>100.165779358157</c:v>
                </c:pt>
                <c:pt idx="100">
                  <c:v>99.4691864396134</c:v>
                </c:pt>
              </c:numCache>
            </c:numRef>
          </c:val>
          <c:smooth val="0"/>
        </c:ser>
        <c:ser>
          <c:idx val="3"/>
          <c:order val="3"/>
          <c:spPr>
            <a:ln w="28575" cap="rnd" cmpd="sng" algn="ctr">
              <a:noFill/>
              <a:prstDash val="solid"/>
              <a:round/>
            </a:ln>
          </c:spPr>
          <c:marker>
            <c:symbol val="x"/>
            <c:size val="10"/>
            <c:spPr>
              <a:pattFill prst="pct5">
                <a:fgClr>
                  <a:schemeClr val="tx1"/>
                </a:fgClr>
                <a:bgClr>
                  <a:schemeClr val="bg1"/>
                </a:bgClr>
              </a:pattFill>
              <a:ln w="9525" cap="flat" cmpd="sng" algn="ctr">
                <a:solidFill>
                  <a:srgbClr val="33CC33"/>
                </a:solidFill>
                <a:prstDash val="solid"/>
                <a:round/>
              </a:ln>
            </c:spPr>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146.582588832375</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w="28575" cap="rnd" cmpd="sng" algn="ctr">
              <a:noFill/>
              <a:prstDash val="solid"/>
              <a:round/>
            </a:ln>
          </c:spPr>
          <c:marker>
            <c:symbol val="x"/>
            <c:size val="10"/>
            <c:spPr>
              <a:pattFill prst="pct5">
                <a:fgClr>
                  <a:schemeClr val="tx1"/>
                </a:fgClr>
                <a:bgClr>
                  <a:schemeClr val="bg1"/>
                </a:bgClr>
              </a:pattFill>
              <a:ln w="9525" cap="flat" cmpd="sng" algn="ctr">
                <a:solidFill>
                  <a:srgbClr val="0000FF"/>
                </a:solidFill>
                <a:prstDash val="solid"/>
                <a:round/>
              </a:ln>
            </c:spPr>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162.812650676963</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w="28575" cap="rnd" cmpd="sng" algn="ctr">
              <a:noFill/>
              <a:prstDash val="solid"/>
              <a:round/>
            </a:ln>
          </c:spPr>
          <c:marker>
            <c:symbol val="x"/>
            <c:size val="10"/>
            <c:spPr>
              <a:pattFill prst="pct5">
                <a:fgClr>
                  <a:schemeClr val="tx1"/>
                </a:fgClr>
                <a:bgClr>
                  <a:schemeClr val="bg1"/>
                </a:bgClr>
              </a:pattFill>
              <a:ln w="9525" cap="flat" cmpd="sng" algn="ctr">
                <a:solidFill>
                  <a:srgbClr val="FF0000"/>
                </a:solidFill>
                <a:prstDash val="solid"/>
                <a:round/>
              </a:ln>
            </c:spPr>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174.964723280094</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81002240"/>
        <c:axId val="181004544"/>
      </c:lineChart>
      <c:catAx>
        <c:axId val="181002240"/>
        <c:scaling>
          <c:orientation val="minMax"/>
        </c:scaling>
        <c:delete val="0"/>
        <c:axPos val="b"/>
        <c:majorGridlines>
          <c:spPr>
            <a:ln w="15875" cap="flat" cmpd="sng" algn="ctr">
              <a:solidFill>
                <a:srgbClr val="969696"/>
              </a:solidFill>
              <a:prstDash val="sysDash"/>
              <a:round/>
            </a:ln>
          </c:spPr>
        </c:majorGridlines>
        <c:title>
          <c:tx>
            <c:rich>
              <a:bodyPr rot="0" spcFirstLastPara="0" vertOverflow="ellipsis" vert="horz" wrap="square" anchor="ctr" anchorCtr="1"/>
              <a:lstStyle/>
              <a:p>
                <a:pPr>
                  <a:defRPr lang="zh-CN" sz="11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600" b="1" i="0" baseline="0">
                    <a:effectLst/>
                  </a:rPr>
                  <a:t>% Total Rated Output Power</a:t>
                </a:r>
                <a:endParaRPr lang="en-US" sz="1100">
                  <a:effectLst/>
                </a:endParaRPr>
              </a:p>
            </c:rich>
          </c:tx>
          <c:layout>
            <c:manualLayout>
              <c:xMode val="edge"/>
              <c:yMode val="edge"/>
              <c:x val="0.380706886144955"/>
              <c:y val="0.938537744500695"/>
            </c:manualLayout>
          </c:layout>
          <c:overlay val="0"/>
          <c:spPr>
            <a:noFill/>
            <a:ln w="25400">
              <a:noFill/>
            </a:ln>
          </c:spPr>
        </c:title>
        <c:numFmt formatCode="General" sourceLinked="1"/>
        <c:majorTickMark val="in"/>
        <c:minorTickMark val="in"/>
        <c:tickLblPos val="nextTo"/>
        <c:spPr>
          <a:ln w="3175" cap="flat" cmpd="sng" algn="ctr">
            <a:solidFill>
              <a:schemeClr val="tx1"/>
            </a:solidFill>
            <a:prstDash val="solid"/>
            <a:round/>
          </a:ln>
        </c:spPr>
        <c:txPr>
          <a:bodyPr rot="0" spcFirstLastPara="0" vertOverflow="ellipsis" vert="horz" wrap="square" anchor="ctr" anchorCtr="1"/>
          <a:lstStyle/>
          <a:p>
            <a:pPr>
              <a:defRPr lang="zh-CN" sz="14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81004544"/>
        <c:crosses val="autoZero"/>
        <c:auto val="1"/>
        <c:lblAlgn val="ctr"/>
        <c:lblOffset val="100"/>
        <c:tickLblSkip val="20"/>
        <c:tickMarkSkip val="10"/>
        <c:noMultiLvlLbl val="0"/>
      </c:catAx>
      <c:valAx>
        <c:axId val="181004544"/>
        <c:scaling>
          <c:orientation val="minMax"/>
          <c:max val="400"/>
          <c:min val="0"/>
        </c:scaling>
        <c:delete val="0"/>
        <c:axPos val="l"/>
        <c:majorGridlines>
          <c:spPr>
            <a:ln w="15875" cap="flat" cmpd="sng" algn="ctr">
              <a:solidFill>
                <a:srgbClr val="808080"/>
              </a:solidFill>
              <a:prstDash val="solid"/>
              <a:round/>
            </a:ln>
          </c:spPr>
        </c:majorGridlines>
        <c:title>
          <c:tx>
            <c:rich>
              <a:bodyPr rot="-5400000" spcFirstLastPara="0" vertOverflow="ellipsis" vert="horz" wrap="square" anchor="ctr" anchorCtr="1"/>
              <a:lstStyle/>
              <a:p>
                <a:pPr>
                  <a:defRPr lang="zh-CN" sz="16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600" b="1">
                    <a:solidFill>
                      <a:schemeClr val="tx1"/>
                    </a:solidFill>
                    <a:latin typeface="Arial" panose="020B0604020202020204" pitchFamily="7" charset="0"/>
                    <a:cs typeface="Arial" panose="020B0604020202020204" pitchFamily="7" charset="0"/>
                  </a:rPr>
                  <a:t>Switching</a:t>
                </a:r>
                <a:r>
                  <a:rPr lang="en-US" sz="1600" b="1" baseline="0">
                    <a:solidFill>
                      <a:schemeClr val="tx1"/>
                    </a:solidFill>
                    <a:latin typeface="Arial" panose="020B0604020202020204" pitchFamily="7" charset="0"/>
                    <a:cs typeface="Arial" panose="020B0604020202020204" pitchFamily="7" charset="0"/>
                  </a:rPr>
                  <a:t> Frquency (kHz)</a:t>
                </a:r>
                <a:endParaRPr lang="en-US" sz="1600" b="1">
                  <a:solidFill>
                    <a:schemeClr val="tx1"/>
                  </a:solidFill>
                  <a:latin typeface="Arial" panose="020B0604020202020204" pitchFamily="7" charset="0"/>
                  <a:cs typeface="Arial" panose="020B0604020202020204" pitchFamily="7" charset="0"/>
                </a:endParaRPr>
              </a:p>
            </c:rich>
          </c:tx>
          <c:layout>
            <c:manualLayout>
              <c:xMode val="edge"/>
              <c:yMode val="edge"/>
              <c:x val="0.00855681281255036"/>
              <c:y val="0.224631462854933"/>
            </c:manualLayout>
          </c:layout>
          <c:overlay val="0"/>
          <c:spPr>
            <a:noFill/>
            <a:ln w="25400">
              <a:noFill/>
            </a:ln>
          </c:spPr>
        </c:title>
        <c:numFmt formatCode="#,##0" sourceLinked="0"/>
        <c:majorTickMark val="in"/>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6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81002240"/>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8"/>
          <c:y val="0.01517502962815"/>
          <c:w val="0.424108417249092"/>
          <c:h val="0.0543357668478178"/>
        </c:manualLayout>
      </c:layout>
      <c:overlay val="0"/>
      <c:spPr>
        <a:solidFill>
          <a:srgbClr val="FFFFFF"/>
        </a:solidFill>
        <a:ln w="25400">
          <a:noFill/>
        </a:ln>
      </c:spPr>
      <c:txPr>
        <a:bodyPr rot="0" spcFirstLastPara="0" vertOverflow="ellipsis" vert="horz" wrap="square" anchor="ctr" anchorCtr="1"/>
        <a:lstStyle/>
        <a:p>
          <a:pPr>
            <a:defRPr lang="zh-CN" sz="1400" b="0"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85cb7476-6db7-4f60-9254-84133cf75eae}"/>
      </c:ext>
    </c:extLst>
  </c:chart>
  <c:spPr>
    <a:solidFill>
      <a:srgbClr val="FFFFFF"/>
    </a:solidFill>
    <a:ln w="9525" cap="flat" cmpd="sng" algn="ctr">
      <a:no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1125" b="1" i="0" u="none" strike="noStrike" kern="1200" baseline="0">
                <a:solidFill>
                  <a:srgbClr val="000000"/>
                </a:solidFill>
                <a:latin typeface="Arial" panose="020B0604020202020204"/>
                <a:ea typeface="Arial" panose="020B0604020202020204"/>
                <a:cs typeface="Arial" panose="020B0604020202020204"/>
              </a:defRPr>
            </a:pPr>
            <a:r>
              <a:rPr lang="en-US"/>
              <a:t>FSW</a:t>
            </a:r>
            <a:r>
              <a:rPr lang="en-US" baseline="0"/>
              <a:t> vs. VIN</a:t>
            </a:r>
            <a:endParaRPr lang="en-US"/>
          </a:p>
        </c:rich>
      </c:tx>
      <c:layout>
        <c:manualLayout>
          <c:xMode val="edge"/>
          <c:yMode val="edge"/>
          <c:x val="0.469495596604801"/>
          <c:y val="0.0439507589243356"/>
        </c:manualLayout>
      </c:layout>
      <c:overlay val="0"/>
      <c:spPr>
        <a:noFill/>
        <a:ln w="25400">
          <a:noFill/>
        </a:ln>
      </c:spPr>
    </c:title>
    <c:autoTitleDeleted val="0"/>
    <c:plotArea>
      <c:layout>
        <c:manualLayout>
          <c:layoutTarget val="inner"/>
          <c:xMode val="edge"/>
          <c:yMode val="edge"/>
          <c:x val="0.115498938428875"/>
          <c:y val="0.126921380239149"/>
          <c:w val="0.818259023354567"/>
          <c:h val="0.735982622821219"/>
        </c:manualLayout>
      </c:layout>
      <c:scatterChart>
        <c:scatterStyle val="line"/>
        <c:varyColors val="0"/>
        <c:ser>
          <c:idx val="2"/>
          <c:order val="0"/>
          <c:tx>
            <c:strRef>
              <c:f>'Fsw vs VIN'!$M$5</c:f>
              <c:strCache>
                <c:ptCount val="1"/>
                <c:pt idx="0">
                  <c:v>Fsw-BCM (kHz) at Iout-max</c:v>
                </c:pt>
              </c:strCache>
            </c:strRef>
          </c:tx>
          <c:spPr>
            <a:ln w="25400" cap="rnd" cmpd="sng" algn="ctr">
              <a:solidFill>
                <a:srgbClr val="000080"/>
              </a:solidFill>
              <a:prstDash val="solid"/>
              <a:round/>
            </a:ln>
          </c:spPr>
          <c:marker>
            <c:symbol val="none"/>
          </c:marker>
          <c:dLbls>
            <c:delete val="1"/>
          </c:dLbls>
          <c:xVal>
            <c:numRef>
              <c:f>'Fsw vs VIN'!$D$6:$D$106</c:f>
              <c:numCache>
                <c:formatCode>0.00</c:formatCode>
                <c:ptCount val="101"/>
                <c:pt idx="0">
                  <c:v>10</c:v>
                </c:pt>
                <c:pt idx="1">
                  <c:v>10.04</c:v>
                </c:pt>
                <c:pt idx="2">
                  <c:v>10.08</c:v>
                </c:pt>
                <c:pt idx="3">
                  <c:v>10.12</c:v>
                </c:pt>
                <c:pt idx="4">
                  <c:v>10.16</c:v>
                </c:pt>
                <c:pt idx="5">
                  <c:v>10.2</c:v>
                </c:pt>
                <c:pt idx="6">
                  <c:v>10.24</c:v>
                </c:pt>
                <c:pt idx="7">
                  <c:v>10.28</c:v>
                </c:pt>
                <c:pt idx="8">
                  <c:v>10.32</c:v>
                </c:pt>
                <c:pt idx="9">
                  <c:v>10.36</c:v>
                </c:pt>
                <c:pt idx="10">
                  <c:v>10.4</c:v>
                </c:pt>
                <c:pt idx="11">
                  <c:v>10.44</c:v>
                </c:pt>
                <c:pt idx="12">
                  <c:v>10.48</c:v>
                </c:pt>
                <c:pt idx="13">
                  <c:v>10.52</c:v>
                </c:pt>
                <c:pt idx="14">
                  <c:v>10.56</c:v>
                </c:pt>
                <c:pt idx="15">
                  <c:v>10.6</c:v>
                </c:pt>
                <c:pt idx="16">
                  <c:v>10.64</c:v>
                </c:pt>
                <c:pt idx="17">
                  <c:v>10.68</c:v>
                </c:pt>
                <c:pt idx="18">
                  <c:v>10.72</c:v>
                </c:pt>
                <c:pt idx="19">
                  <c:v>10.76</c:v>
                </c:pt>
                <c:pt idx="20">
                  <c:v>10.8</c:v>
                </c:pt>
                <c:pt idx="21">
                  <c:v>10.84</c:v>
                </c:pt>
                <c:pt idx="22">
                  <c:v>10.88</c:v>
                </c:pt>
                <c:pt idx="23">
                  <c:v>10.92</c:v>
                </c:pt>
                <c:pt idx="24">
                  <c:v>10.96</c:v>
                </c:pt>
                <c:pt idx="25">
                  <c:v>11</c:v>
                </c:pt>
                <c:pt idx="26">
                  <c:v>11.04</c:v>
                </c:pt>
                <c:pt idx="27">
                  <c:v>11.08</c:v>
                </c:pt>
                <c:pt idx="28">
                  <c:v>11.12</c:v>
                </c:pt>
                <c:pt idx="29">
                  <c:v>11.16</c:v>
                </c:pt>
                <c:pt idx="30">
                  <c:v>11.2</c:v>
                </c:pt>
                <c:pt idx="31">
                  <c:v>11.24</c:v>
                </c:pt>
                <c:pt idx="32">
                  <c:v>11.28</c:v>
                </c:pt>
                <c:pt idx="33">
                  <c:v>11.32</c:v>
                </c:pt>
                <c:pt idx="34">
                  <c:v>11.36</c:v>
                </c:pt>
                <c:pt idx="35">
                  <c:v>11.4</c:v>
                </c:pt>
                <c:pt idx="36">
                  <c:v>11.44</c:v>
                </c:pt>
                <c:pt idx="37">
                  <c:v>11.48</c:v>
                </c:pt>
                <c:pt idx="38">
                  <c:v>11.52</c:v>
                </c:pt>
                <c:pt idx="39">
                  <c:v>11.56</c:v>
                </c:pt>
                <c:pt idx="40">
                  <c:v>11.6</c:v>
                </c:pt>
                <c:pt idx="41">
                  <c:v>11.64</c:v>
                </c:pt>
                <c:pt idx="42">
                  <c:v>11.68</c:v>
                </c:pt>
                <c:pt idx="43">
                  <c:v>11.72</c:v>
                </c:pt>
                <c:pt idx="44">
                  <c:v>11.76</c:v>
                </c:pt>
                <c:pt idx="45">
                  <c:v>11.8</c:v>
                </c:pt>
                <c:pt idx="46">
                  <c:v>11.84</c:v>
                </c:pt>
                <c:pt idx="47">
                  <c:v>11.88</c:v>
                </c:pt>
                <c:pt idx="48">
                  <c:v>11.92</c:v>
                </c:pt>
                <c:pt idx="49">
                  <c:v>11.96</c:v>
                </c:pt>
                <c:pt idx="50">
                  <c:v>12</c:v>
                </c:pt>
                <c:pt idx="51">
                  <c:v>12.04</c:v>
                </c:pt>
                <c:pt idx="52">
                  <c:v>12.08</c:v>
                </c:pt>
                <c:pt idx="53">
                  <c:v>12.12</c:v>
                </c:pt>
                <c:pt idx="54">
                  <c:v>12.16</c:v>
                </c:pt>
                <c:pt idx="55">
                  <c:v>12.2</c:v>
                </c:pt>
                <c:pt idx="56">
                  <c:v>12.24</c:v>
                </c:pt>
                <c:pt idx="57">
                  <c:v>12.28</c:v>
                </c:pt>
                <c:pt idx="58">
                  <c:v>12.32</c:v>
                </c:pt>
                <c:pt idx="59">
                  <c:v>12.36</c:v>
                </c:pt>
                <c:pt idx="60">
                  <c:v>12.4</c:v>
                </c:pt>
                <c:pt idx="61">
                  <c:v>12.44</c:v>
                </c:pt>
                <c:pt idx="62">
                  <c:v>12.48</c:v>
                </c:pt>
                <c:pt idx="63">
                  <c:v>12.52</c:v>
                </c:pt>
                <c:pt idx="64">
                  <c:v>12.56</c:v>
                </c:pt>
                <c:pt idx="65">
                  <c:v>12.6</c:v>
                </c:pt>
                <c:pt idx="66">
                  <c:v>12.64</c:v>
                </c:pt>
                <c:pt idx="67">
                  <c:v>12.68</c:v>
                </c:pt>
                <c:pt idx="68">
                  <c:v>12.72</c:v>
                </c:pt>
                <c:pt idx="69">
                  <c:v>12.76</c:v>
                </c:pt>
                <c:pt idx="70">
                  <c:v>12.8</c:v>
                </c:pt>
                <c:pt idx="71">
                  <c:v>12.84</c:v>
                </c:pt>
                <c:pt idx="72">
                  <c:v>12.88</c:v>
                </c:pt>
                <c:pt idx="73">
                  <c:v>12.92</c:v>
                </c:pt>
                <c:pt idx="74">
                  <c:v>12.96</c:v>
                </c:pt>
                <c:pt idx="75">
                  <c:v>13</c:v>
                </c:pt>
                <c:pt idx="76">
                  <c:v>13.04</c:v>
                </c:pt>
                <c:pt idx="77">
                  <c:v>13.08</c:v>
                </c:pt>
                <c:pt idx="78">
                  <c:v>13.12</c:v>
                </c:pt>
                <c:pt idx="79">
                  <c:v>13.16</c:v>
                </c:pt>
                <c:pt idx="80">
                  <c:v>13.2</c:v>
                </c:pt>
                <c:pt idx="81">
                  <c:v>13.24</c:v>
                </c:pt>
                <c:pt idx="82">
                  <c:v>13.28</c:v>
                </c:pt>
                <c:pt idx="83">
                  <c:v>13.32</c:v>
                </c:pt>
                <c:pt idx="84">
                  <c:v>13.36</c:v>
                </c:pt>
                <c:pt idx="85">
                  <c:v>13.4</c:v>
                </c:pt>
                <c:pt idx="86">
                  <c:v>13.44</c:v>
                </c:pt>
                <c:pt idx="87">
                  <c:v>13.48</c:v>
                </c:pt>
                <c:pt idx="88">
                  <c:v>13.52</c:v>
                </c:pt>
                <c:pt idx="89">
                  <c:v>13.56</c:v>
                </c:pt>
                <c:pt idx="90">
                  <c:v>13.6</c:v>
                </c:pt>
                <c:pt idx="91">
                  <c:v>13.64</c:v>
                </c:pt>
                <c:pt idx="92">
                  <c:v>13.68</c:v>
                </c:pt>
                <c:pt idx="93">
                  <c:v>13.72</c:v>
                </c:pt>
                <c:pt idx="94">
                  <c:v>13.76</c:v>
                </c:pt>
                <c:pt idx="95">
                  <c:v>13.8</c:v>
                </c:pt>
                <c:pt idx="96">
                  <c:v>13.84</c:v>
                </c:pt>
                <c:pt idx="97">
                  <c:v>13.88</c:v>
                </c:pt>
                <c:pt idx="98">
                  <c:v>13.92</c:v>
                </c:pt>
                <c:pt idx="99">
                  <c:v>13.96</c:v>
                </c:pt>
                <c:pt idx="100">
                  <c:v>14</c:v>
                </c:pt>
              </c:numCache>
            </c:numRef>
          </c:xVal>
          <c:yVal>
            <c:numRef>
              <c:f>'Fsw vs VIN'!$M$6:$M$106</c:f>
              <c:numCache>
                <c:formatCode>0.0</c:formatCode>
                <c:ptCount val="101"/>
                <c:pt idx="0">
                  <c:v>163.265740507937</c:v>
                </c:pt>
                <c:pt idx="1">
                  <c:v>163.624947381141</c:v>
                </c:pt>
                <c:pt idx="2">
                  <c:v>163.982868663732</c:v>
                </c:pt>
                <c:pt idx="3">
                  <c:v>164.339511245017</c:v>
                </c:pt>
                <c:pt idx="4">
                  <c:v>164.694881965165</c:v>
                </c:pt>
                <c:pt idx="5">
                  <c:v>165.048987615646</c:v>
                </c:pt>
                <c:pt idx="6">
                  <c:v>165.401834939662</c:v>
                </c:pt>
                <c:pt idx="7">
                  <c:v>165.753430632576</c:v>
                </c:pt>
                <c:pt idx="8">
                  <c:v>166.103781342335</c:v>
                </c:pt>
                <c:pt idx="9">
                  <c:v>166.452893669888</c:v>
                </c:pt>
                <c:pt idx="10">
                  <c:v>166.800774169604</c:v>
                </c:pt>
                <c:pt idx="11">
                  <c:v>167.147429349677</c:v>
                </c:pt>
                <c:pt idx="12">
                  <c:v>167.492865672536</c:v>
                </c:pt>
                <c:pt idx="13">
                  <c:v>167.837089555246</c:v>
                </c:pt>
                <c:pt idx="14">
                  <c:v>168.180107369905</c:v>
                </c:pt>
                <c:pt idx="15">
                  <c:v>168.521925444034</c:v>
                </c:pt>
                <c:pt idx="16">
                  <c:v>168.862550060972</c:v>
                </c:pt>
                <c:pt idx="17">
                  <c:v>169.201987460257</c:v>
                </c:pt>
                <c:pt idx="18">
                  <c:v>169.540243838007</c:v>
                </c:pt>
                <c:pt idx="19">
                  <c:v>169.877325347299</c:v>
                </c:pt>
                <c:pt idx="20">
                  <c:v>170.21323809854</c:v>
                </c:pt>
                <c:pt idx="21">
                  <c:v>170.54798815984</c:v>
                </c:pt>
                <c:pt idx="22">
                  <c:v>170.88158155737</c:v>
                </c:pt>
                <c:pt idx="23">
                  <c:v>171.214024275733</c:v>
                </c:pt>
                <c:pt idx="24">
                  <c:v>171.545322258314</c:v>
                </c:pt>
                <c:pt idx="25">
                  <c:v>171.875481407639</c:v>
                </c:pt>
                <c:pt idx="26">
                  <c:v>172.204507585723</c:v>
                </c:pt>
                <c:pt idx="27">
                  <c:v>172.532406614418</c:v>
                </c:pt>
                <c:pt idx="28">
                  <c:v>172.859184275757</c:v>
                </c:pt>
                <c:pt idx="29">
                  <c:v>173.184846312292</c:v>
                </c:pt>
                <c:pt idx="30">
                  <c:v>173.509398427431</c:v>
                </c:pt>
                <c:pt idx="31">
                  <c:v>173.832846285774</c:v>
                </c:pt>
                <c:pt idx="32">
                  <c:v>174.155195513437</c:v>
                </c:pt>
                <c:pt idx="33">
                  <c:v>174.476451698384</c:v>
                </c:pt>
                <c:pt idx="34">
                  <c:v>174.796620390744</c:v>
                </c:pt>
                <c:pt idx="35">
                  <c:v>175.115707103136</c:v>
                </c:pt>
                <c:pt idx="36">
                  <c:v>175.433717310982</c:v>
                </c:pt>
                <c:pt idx="37">
                  <c:v>175.750656452822</c:v>
                </c:pt>
                <c:pt idx="38">
                  <c:v>176.066529930623</c:v>
                </c:pt>
                <c:pt idx="39">
                  <c:v>176.381343110087</c:v>
                </c:pt>
                <c:pt idx="40">
                  <c:v>176.695101320952</c:v>
                </c:pt>
                <c:pt idx="41">
                  <c:v>177.007809857296</c:v>
                </c:pt>
                <c:pt idx="42">
                  <c:v>177.319473977835</c:v>
                </c:pt>
                <c:pt idx="43">
                  <c:v>177.630098906215</c:v>
                </c:pt>
                <c:pt idx="44">
                  <c:v>177.939689831305</c:v>
                </c:pt>
                <c:pt idx="45">
                  <c:v>178.248251907486</c:v>
                </c:pt>
                <c:pt idx="46">
                  <c:v>178.555790254938</c:v>
                </c:pt>
                <c:pt idx="47">
                  <c:v>178.862309959922</c:v>
                </c:pt>
                <c:pt idx="48">
                  <c:v>179.167816075061</c:v>
                </c:pt>
                <c:pt idx="49">
                  <c:v>179.472313619618</c:v>
                </c:pt>
                <c:pt idx="50">
                  <c:v>179.775807579769</c:v>
                </c:pt>
                <c:pt idx="51">
                  <c:v>180.078302908878</c:v>
                </c:pt>
                <c:pt idx="52">
                  <c:v>180.379804527763</c:v>
                </c:pt>
                <c:pt idx="53">
                  <c:v>180.680317324966</c:v>
                </c:pt>
                <c:pt idx="54">
                  <c:v>180.979846157018</c:v>
                </c:pt>
                <c:pt idx="55">
                  <c:v>181.278395848694</c:v>
                </c:pt>
                <c:pt idx="56">
                  <c:v>181.575971193281</c:v>
                </c:pt>
                <c:pt idx="57">
                  <c:v>181.872576952828</c:v>
                </c:pt>
                <c:pt idx="58">
                  <c:v>182.168217858404</c:v>
                </c:pt>
                <c:pt idx="59">
                  <c:v>182.462898610344</c:v>
                </c:pt>
                <c:pt idx="60">
                  <c:v>182.756623878507</c:v>
                </c:pt>
                <c:pt idx="61">
                  <c:v>183.049398302514</c:v>
                </c:pt>
                <c:pt idx="62">
                  <c:v>183.341226491997</c:v>
                </c:pt>
                <c:pt idx="63">
                  <c:v>183.63211302684</c:v>
                </c:pt>
                <c:pt idx="64">
                  <c:v>183.922062457419</c:v>
                </c:pt>
                <c:pt idx="65">
                  <c:v>184.211079304836</c:v>
                </c:pt>
                <c:pt idx="66">
                  <c:v>184.49916806116</c:v>
                </c:pt>
                <c:pt idx="67">
                  <c:v>184.786333189655</c:v>
                </c:pt>
                <c:pt idx="68">
                  <c:v>185.07257912501</c:v>
                </c:pt>
                <c:pt idx="69">
                  <c:v>185.357910273573</c:v>
                </c:pt>
                <c:pt idx="70">
                  <c:v>185.64233101357</c:v>
                </c:pt>
                <c:pt idx="71">
                  <c:v>185.925845695334</c:v>
                </c:pt>
                <c:pt idx="72">
                  <c:v>186.208458641524</c:v>
                </c:pt>
                <c:pt idx="73">
                  <c:v>186.490174147346</c:v>
                </c:pt>
                <c:pt idx="74">
                  <c:v>186.770996480771</c:v>
                </c:pt>
                <c:pt idx="75">
                  <c:v>187.050929882749</c:v>
                </c:pt>
                <c:pt idx="76">
                  <c:v>187.329978567424</c:v>
                </c:pt>
                <c:pt idx="77">
                  <c:v>187.608146722343</c:v>
                </c:pt>
                <c:pt idx="78">
                  <c:v>187.88543850867</c:v>
                </c:pt>
                <c:pt idx="79">
                  <c:v>188.161858061389</c:v>
                </c:pt>
                <c:pt idx="80">
                  <c:v>188.437409489512</c:v>
                </c:pt>
                <c:pt idx="81">
                  <c:v>188.712096876281</c:v>
                </c:pt>
                <c:pt idx="82">
                  <c:v>188.985924279372</c:v>
                </c:pt>
                <c:pt idx="83">
                  <c:v>189.258895731091</c:v>
                </c:pt>
                <c:pt idx="84">
                  <c:v>189.531015238577</c:v>
                </c:pt>
                <c:pt idx="85">
                  <c:v>189.802286783995</c:v>
                </c:pt>
                <c:pt idx="86">
                  <c:v>190.072714324729</c:v>
                </c:pt>
                <c:pt idx="87">
                  <c:v>190.342301793577</c:v>
                </c:pt>
                <c:pt idx="88">
                  <c:v>190.611053098941</c:v>
                </c:pt>
                <c:pt idx="89">
                  <c:v>190.878972125016</c:v>
                </c:pt>
                <c:pt idx="90">
                  <c:v>191.146062731975</c:v>
                </c:pt>
                <c:pt idx="91">
                  <c:v>191.412328756159</c:v>
                </c:pt>
                <c:pt idx="92">
                  <c:v>191.677774010254</c:v>
                </c:pt>
                <c:pt idx="93">
                  <c:v>191.942402283481</c:v>
                </c:pt>
                <c:pt idx="94">
                  <c:v>192.206217341769</c:v>
                </c:pt>
                <c:pt idx="95">
                  <c:v>192.469222927938</c:v>
                </c:pt>
                <c:pt idx="96">
                  <c:v>192.731422761875</c:v>
                </c:pt>
                <c:pt idx="97">
                  <c:v>192.992820540708</c:v>
                </c:pt>
                <c:pt idx="98">
                  <c:v>193.253419938982</c:v>
                </c:pt>
                <c:pt idx="99">
                  <c:v>193.51322460883</c:v>
                </c:pt>
                <c:pt idx="100">
                  <c:v>193.772238180143</c:v>
                </c:pt>
              </c:numCache>
            </c:numRef>
          </c:yVal>
          <c:smooth val="0"/>
        </c:ser>
        <c:dLbls>
          <c:showLegendKey val="0"/>
          <c:showVal val="0"/>
          <c:showCatName val="0"/>
          <c:showSerName val="0"/>
          <c:showPercent val="0"/>
          <c:showBubbleSize val="0"/>
        </c:dLbls>
        <c:axId val="184365056"/>
        <c:axId val="184366976"/>
      </c:scatterChart>
      <c:valAx>
        <c:axId val="184365056"/>
        <c:scaling>
          <c:orientation val="minMax"/>
        </c:scaling>
        <c:delete val="0"/>
        <c:axPos val="b"/>
        <c:majorGridlines/>
        <c:title>
          <c:tx>
            <c:rich>
              <a:bodyPr rot="0" spcFirstLastPara="0" vertOverflow="ellipsis" vert="horz" wrap="square" anchor="ctr" anchorCtr="1"/>
              <a:lstStyle/>
              <a:p>
                <a:pPr>
                  <a:defRPr lang="zh-CN" sz="1100" b="1" i="0" u="none" strike="noStrike" kern="1200" baseline="0">
                    <a:solidFill>
                      <a:srgbClr val="000000"/>
                    </a:solidFill>
                    <a:latin typeface="Arial" panose="020B0604020202020204"/>
                    <a:ea typeface="Arial" panose="020B0604020202020204"/>
                    <a:cs typeface="Arial" panose="020B0604020202020204"/>
                  </a:defRPr>
                </a:pPr>
                <a:r>
                  <a:rPr lang="en-US" sz="1100"/>
                  <a:t>VIN (V)</a:t>
                </a:r>
                <a:endParaRPr lang="en-US" sz="1100"/>
              </a:p>
            </c:rich>
          </c:tx>
          <c:layout>
            <c:manualLayout>
              <c:xMode val="edge"/>
              <c:yMode val="edge"/>
              <c:x val="0.488418057955091"/>
              <c:y val="0.928122229770018"/>
            </c:manualLayout>
          </c:layout>
          <c:overlay val="0"/>
          <c:spPr>
            <a:noFill/>
            <a:ln w="25400">
              <a:noFill/>
            </a:ln>
          </c:spPr>
        </c:title>
        <c:numFmt formatCode="0" sourceLinked="0"/>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975" b="1" i="0" u="none" strike="noStrike" kern="1200" baseline="0">
                <a:solidFill>
                  <a:srgbClr val="000000"/>
                </a:solidFill>
                <a:latin typeface="Arial" panose="020B0604020202020204"/>
                <a:ea typeface="Arial" panose="020B0604020202020204"/>
                <a:cs typeface="Arial" panose="020B0604020202020204"/>
              </a:defRPr>
            </a:pPr>
          </a:p>
        </c:txPr>
        <c:crossAx val="184366976"/>
        <c:crosses val="autoZero"/>
        <c:crossBetween val="midCat"/>
      </c:valAx>
      <c:valAx>
        <c:axId val="184366976"/>
        <c:scaling>
          <c:orientation val="minMax"/>
        </c:scaling>
        <c:delete val="0"/>
        <c:axPos val="l"/>
        <c:majorGridlines>
          <c:spPr>
            <a:ln w="3175" cap="flat" cmpd="sng" algn="ctr">
              <a:solidFill>
                <a:srgbClr val="000000"/>
              </a:solidFill>
              <a:prstDash val="solid"/>
              <a:round/>
            </a:ln>
          </c:spPr>
        </c:majorGridlines>
        <c:title>
          <c:tx>
            <c:rich>
              <a:bodyPr rot="-5400000" spcFirstLastPara="0" vertOverflow="ellipsis" vert="horz" wrap="square" anchor="ctr" anchorCtr="1"/>
              <a:lstStyle/>
              <a:p>
                <a:pPr>
                  <a:defRPr lang="zh-CN" sz="1100" b="1" i="0" u="none" strike="noStrike" kern="1200" baseline="0">
                    <a:solidFill>
                      <a:srgbClr val="000000"/>
                    </a:solidFill>
                    <a:latin typeface="Arial" panose="020B0604020202020204"/>
                    <a:ea typeface="Arial" panose="020B0604020202020204"/>
                    <a:cs typeface="Arial" panose="020B0604020202020204"/>
                  </a:defRPr>
                </a:pPr>
                <a:r>
                  <a:rPr lang="en-US" sz="1100"/>
                  <a:t>FSw</a:t>
                </a:r>
                <a:r>
                  <a:rPr lang="en-US" sz="1100" baseline="0"/>
                  <a:t> (kHz)</a:t>
                </a:r>
                <a:endParaRPr lang="en-US" sz="1100"/>
              </a:p>
            </c:rich>
          </c:tx>
          <c:layout>
            <c:manualLayout>
              <c:xMode val="edge"/>
              <c:yMode val="edge"/>
              <c:x val="0.0191082802547773"/>
              <c:y val="0.372984294301928"/>
            </c:manualLayout>
          </c:layout>
          <c:overlay val="0"/>
          <c:spPr>
            <a:noFill/>
            <a:ln w="25400">
              <a:noFill/>
            </a:ln>
          </c:spPr>
        </c:title>
        <c:numFmt formatCode="General" sourceLinked="0"/>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p>
        </c:txPr>
        <c:crossAx val="18436505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5"/>
          <c:y val="0.147228881831914"/>
          <c:w val="0.264611679505355"/>
          <c:h val="0.150776916415941"/>
        </c:manualLayout>
      </c:layout>
      <c:overlay val="0"/>
      <c:spPr>
        <a:solidFill>
          <a:srgbClr val="FFFFFF"/>
        </a:solidFill>
        <a:ln w="3175">
          <a:solidFill>
            <a:srgbClr val="000000"/>
          </a:solidFill>
          <a:prstDash val="solid"/>
        </a:ln>
      </c:spPr>
      <c:txPr>
        <a:bodyPr rot="0" spcFirstLastPara="0" vertOverflow="ellipsis" vert="horz" wrap="square" anchor="ctr" anchorCtr="1"/>
        <a:lstStyle/>
        <a:p>
          <a:pPr>
            <a:defRPr lang="zh-CN" sz="1100"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gap"/>
    <c:showDLblsOverMax val="0"/>
    <c:extLst>
      <c:ext uri="{0b15fc19-7d7d-44ad-8c2d-2c3a37ce22c3}">
        <chartProps xmlns="https://web.wps.cn/et/2018/main" chartId="{e314237a-c208-4163-aa41-13404f9f65ab}"/>
      </c:ext>
    </c:extLst>
  </c:chart>
  <c:spPr>
    <a:solidFill>
      <a:srgbClr val="FFFFFF"/>
    </a:solidFill>
    <a:ln w="3175" cap="flat" cmpd="sng" algn="ctr">
      <a:solidFill>
        <a:srgbClr val="000000"/>
      </a:solidFill>
      <a:prstDash val="solid"/>
      <a:round/>
    </a:ln>
  </c:spPr>
  <c:txPr>
    <a:bodyPr/>
    <a:lstStyle/>
    <a:p>
      <a:pPr>
        <a:defRPr lang="zh-CN" sz="975"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2000" b="1" i="0" u="none" strike="noStrike" kern="1200" baseline="0">
                <a:solidFill>
                  <a:srgbClr val="000000"/>
                </a:solidFill>
                <a:latin typeface="Arial" panose="020B0604020202020204"/>
                <a:ea typeface="Arial" panose="020B0604020202020204"/>
                <a:cs typeface="Arial" panose="020B0604020202020204"/>
              </a:defRPr>
            </a:pPr>
            <a:r>
              <a:rPr lang="en-US" sz="2000"/>
              <a:t>Breakdown of COT Efficiency Losses vs. Iout</a:t>
            </a:r>
            <a:endParaRPr lang="en-US" sz="2000"/>
          </a:p>
        </c:rich>
      </c:tx>
      <c:layout>
        <c:manualLayout>
          <c:xMode val="edge"/>
          <c:yMode val="edge"/>
          <c:x val="0.216680956075967"/>
          <c:y val="0.0308154389139419"/>
        </c:manualLayout>
      </c:layout>
      <c:overlay val="0"/>
      <c:spPr>
        <a:noFill/>
        <a:ln w="25400">
          <a:noFill/>
        </a:ln>
      </c:spPr>
    </c:title>
    <c:autoTitleDeleted val="0"/>
    <c:plotArea>
      <c:layout>
        <c:manualLayout>
          <c:layoutTarget val="inner"/>
          <c:xMode val="edge"/>
          <c:yMode val="edge"/>
          <c:x val="0.184964308251318"/>
          <c:y val="0.146944176528071"/>
          <c:w val="0.461814111569419"/>
          <c:h val="0.695709154358566"/>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dLbls>
            <c:delete val="1"/>
          </c:dLbls>
          <c:val>
            <c:numRef>
              <c:f>Parameters!$BI$6:$BI$106</c:f>
              <c:numCache>
                <c:formatCode>0.000%</c:formatCode>
                <c:ptCount val="101"/>
                <c:pt idx="0">
                  <c:v>0</c:v>
                </c:pt>
                <c:pt idx="1">
                  <c:v>0</c:v>
                </c:pt>
                <c:pt idx="2">
                  <c:v>0</c:v>
                </c:pt>
                <c:pt idx="3">
                  <c:v>0</c:v>
                </c:pt>
                <c:pt idx="100">
                  <c:v>0</c:v>
                </c:pt>
              </c:numCache>
            </c:numRef>
          </c:val>
        </c:ser>
        <c:ser>
          <c:idx val="3"/>
          <c:order val="1"/>
          <c:tx>
            <c:strRef>
              <c:f>Parameters!$BF$5</c:f>
              <c:strCache>
                <c:ptCount val="1"/>
                <c:pt idx="0">
                  <c:v>Deadtime Loss %</c:v>
                </c:pt>
              </c:strCache>
            </c:strRef>
          </c:tx>
          <c:spPr>
            <a:solidFill>
              <a:srgbClr val="666699"/>
            </a:solidFill>
            <a:ln w="12700">
              <a:solidFill>
                <a:srgbClr val="000000"/>
              </a:solidFill>
              <a:prstDash val="solid"/>
            </a:ln>
          </c:spPr>
          <c:dLbls>
            <c:delete val="1"/>
          </c:dLbls>
          <c:val>
            <c:numRef>
              <c:f>Parameters!$BF$6:$BF$106</c:f>
              <c:numCache>
                <c:formatCode>0.000%</c:formatCode>
                <c:ptCount val="101"/>
                <c:pt idx="0">
                  <c:v>0</c:v>
                </c:pt>
                <c:pt idx="1">
                  <c:v>0</c:v>
                </c:pt>
                <c:pt idx="2">
                  <c:v>0</c:v>
                </c:pt>
                <c:pt idx="3">
                  <c:v>0</c:v>
                </c:pt>
                <c:pt idx="100">
                  <c:v>0</c:v>
                </c:pt>
              </c:numCache>
            </c:numRef>
          </c:val>
        </c:ser>
        <c:ser>
          <c:idx val="6"/>
          <c:order val="2"/>
          <c:tx>
            <c:strRef>
              <c:f>Parameters!$BA$5</c:f>
              <c:strCache>
                <c:ptCount val="1"/>
                <c:pt idx="0">
                  <c:v>High-side MOSFET Rdson %</c:v>
                </c:pt>
              </c:strCache>
            </c:strRef>
          </c:tx>
          <c:spPr>
            <a:solidFill>
              <a:srgbClr val="FF0000"/>
            </a:solidFill>
            <a:ln w="12700">
              <a:solidFill>
                <a:srgbClr val="000000"/>
              </a:solidFill>
              <a:prstDash val="solid"/>
            </a:ln>
          </c:spPr>
          <c:dLbls>
            <c:delete val="1"/>
          </c:dLbls>
          <c:val>
            <c:numRef>
              <c:f>Parameters!$BA$6:$BA$106</c:f>
              <c:numCache>
                <c:formatCode>0.000%</c:formatCode>
                <c:ptCount val="101"/>
                <c:pt idx="0">
                  <c:v>0</c:v>
                </c:pt>
                <c:pt idx="1">
                  <c:v>0</c:v>
                </c:pt>
                <c:pt idx="2">
                  <c:v>0</c:v>
                </c:pt>
                <c:pt idx="3">
                  <c:v>0</c:v>
                </c:pt>
                <c:pt idx="100">
                  <c:v>0</c:v>
                </c:pt>
              </c:numCache>
            </c:numRef>
          </c:val>
        </c:ser>
        <c:ser>
          <c:idx val="7"/>
          <c:order val="3"/>
          <c:tx>
            <c:strRef>
              <c:f>Parameters!$BB$5</c:f>
              <c:strCache>
                <c:ptCount val="1"/>
                <c:pt idx="0">
                  <c:v>Low-side MOSFET Rdson %</c:v>
                </c:pt>
              </c:strCache>
            </c:strRef>
          </c:tx>
          <c:spPr>
            <a:solidFill>
              <a:srgbClr val="FF6600"/>
            </a:solidFill>
            <a:ln w="12700">
              <a:solidFill>
                <a:srgbClr val="000000"/>
              </a:solidFill>
              <a:prstDash val="solid"/>
            </a:ln>
          </c:spPr>
          <c:dLbls>
            <c:delete val="1"/>
          </c:dLbls>
          <c:val>
            <c:numRef>
              <c:f>Parameters!$BB$6:$BB$106</c:f>
              <c:numCache>
                <c:formatCode>0.000%</c:formatCode>
                <c:ptCount val="101"/>
                <c:pt idx="0">
                  <c:v>0</c:v>
                </c:pt>
                <c:pt idx="1">
                  <c:v>0</c:v>
                </c:pt>
                <c:pt idx="2">
                  <c:v>0</c:v>
                </c:pt>
                <c:pt idx="3">
                  <c:v>0</c:v>
                </c:pt>
                <c:pt idx="100">
                  <c:v>0</c:v>
                </c:pt>
              </c:numCache>
            </c:numRef>
          </c:val>
        </c:ser>
        <c:ser>
          <c:idx val="4"/>
          <c:order val="4"/>
          <c:tx>
            <c:strRef>
              <c:f>Parameters!$BH$5</c:f>
              <c:strCache>
                <c:ptCount val="1"/>
                <c:pt idx="0">
                  <c:v>Inductor Core Loss %</c:v>
                </c:pt>
              </c:strCache>
            </c:strRef>
          </c:tx>
          <c:spPr>
            <a:solidFill>
              <a:srgbClr val="99CC00"/>
            </a:solidFill>
            <a:ln w="12700">
              <a:solidFill>
                <a:srgbClr val="000000"/>
              </a:solidFill>
              <a:prstDash val="solid"/>
            </a:ln>
          </c:spPr>
          <c:dLbls>
            <c:delete val="1"/>
          </c:dLbls>
          <c:val>
            <c:numRef>
              <c:f>Parameters!$BH$6:$BH$106</c:f>
              <c:numCache>
                <c:formatCode>0.000%</c:formatCode>
                <c:ptCount val="101"/>
                <c:pt idx="0">
                  <c:v>0</c:v>
                </c:pt>
                <c:pt idx="1">
                  <c:v>0</c:v>
                </c:pt>
                <c:pt idx="2">
                  <c:v>0</c:v>
                </c:pt>
                <c:pt idx="3">
                  <c:v>0</c:v>
                </c:pt>
                <c:pt idx="100">
                  <c:v>0</c:v>
                </c:pt>
              </c:numCache>
            </c:numRef>
          </c:val>
        </c:ser>
        <c:ser>
          <c:idx val="8"/>
          <c:order val="5"/>
          <c:tx>
            <c:strRef>
              <c:f>Parameters!$BG$5</c:f>
              <c:strCache>
                <c:ptCount val="1"/>
                <c:pt idx="0">
                  <c:v>Inductor Cu Loss %</c:v>
                </c:pt>
              </c:strCache>
            </c:strRef>
          </c:tx>
          <c:spPr>
            <a:solidFill>
              <a:srgbClr val="00FF00"/>
            </a:solidFill>
            <a:ln w="12700">
              <a:solidFill>
                <a:srgbClr val="000000"/>
              </a:solidFill>
              <a:prstDash val="solid"/>
            </a:ln>
          </c:spPr>
          <c:dLbls>
            <c:delete val="1"/>
          </c:dLbls>
          <c:val>
            <c:numRef>
              <c:f>Parameters!$BG$6:$BG$106</c:f>
              <c:numCache>
                <c:formatCode>0.000%</c:formatCode>
                <c:ptCount val="101"/>
                <c:pt idx="0">
                  <c:v>0</c:v>
                </c:pt>
                <c:pt idx="1">
                  <c:v>0</c:v>
                </c:pt>
                <c:pt idx="2">
                  <c:v>0</c:v>
                </c:pt>
                <c:pt idx="3">
                  <c:v>0</c:v>
                </c:pt>
                <c:pt idx="100">
                  <c:v>0</c:v>
                </c:pt>
              </c:numCache>
            </c:numRef>
          </c:val>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dLbls>
            <c:delete val="1"/>
          </c:dLbls>
          <c:val>
            <c:numRef>
              <c:f>Parameters!$BC$6:$BC$106</c:f>
              <c:numCache>
                <c:formatCode>0.000%</c:formatCode>
                <c:ptCount val="101"/>
                <c:pt idx="0">
                  <c:v>0</c:v>
                </c:pt>
                <c:pt idx="1">
                  <c:v>0</c:v>
                </c:pt>
                <c:pt idx="2">
                  <c:v>0</c:v>
                </c:pt>
                <c:pt idx="3">
                  <c:v>0</c:v>
                </c:pt>
                <c:pt idx="100">
                  <c:v>0</c:v>
                </c:pt>
              </c:numCache>
            </c:numRef>
          </c:val>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dLbls>
            <c:delete val="1"/>
          </c:dLbls>
          <c:val>
            <c:numRef>
              <c:f>Parameters!$BD$6:$BD$106</c:f>
              <c:numCache>
                <c:formatCode>0.000%</c:formatCode>
                <c:ptCount val="101"/>
                <c:pt idx="0">
                  <c:v>0</c:v>
                </c:pt>
                <c:pt idx="1">
                  <c:v>0</c:v>
                </c:pt>
                <c:pt idx="2">
                  <c:v>0</c:v>
                </c:pt>
                <c:pt idx="3">
                  <c:v>0</c:v>
                </c:pt>
                <c:pt idx="100">
                  <c:v>0</c:v>
                </c:pt>
              </c:numCache>
            </c:numRef>
          </c:val>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dLbls>
            <c:delete val="1"/>
          </c:dLbls>
          <c:val>
            <c:numRef>
              <c:f>Parameters!$BE$6:$BE$106</c:f>
              <c:numCache>
                <c:formatCode>0.000%</c:formatCode>
                <c:ptCount val="101"/>
                <c:pt idx="0">
                  <c:v>0</c:v>
                </c:pt>
                <c:pt idx="1">
                  <c:v>0</c:v>
                </c:pt>
                <c:pt idx="2">
                  <c:v>0</c:v>
                </c:pt>
                <c:pt idx="3">
                  <c:v>0</c:v>
                </c:pt>
                <c:pt idx="100">
                  <c:v>0</c:v>
                </c:pt>
              </c:numCache>
            </c:numRef>
          </c:val>
        </c:ser>
        <c:ser>
          <c:idx val="0"/>
          <c:order val="9"/>
          <c:tx>
            <c:strRef>
              <c:f>Parameters!$BJ$5</c:f>
              <c:strCache>
                <c:ptCount val="1"/>
                <c:pt idx="0">
                  <c:v>Quiescent Current Loss %</c:v>
                </c:pt>
              </c:strCache>
            </c:strRef>
          </c:tx>
          <c:dLbls>
            <c:delete val="1"/>
          </c:dLbls>
          <c:val>
            <c:numRef>
              <c:f>Parameters!$BJ$6:$BJ$106</c:f>
              <c:numCache>
                <c:formatCode>0.00%</c:formatCode>
                <c:ptCount val="101"/>
                <c:pt idx="0">
                  <c:v>0</c:v>
                </c:pt>
                <c:pt idx="1">
                  <c:v>0</c:v>
                </c:pt>
                <c:pt idx="2">
                  <c:v>0</c:v>
                </c:pt>
                <c:pt idx="3">
                  <c:v>0</c:v>
                </c:pt>
                <c:pt idx="100">
                  <c:v>0</c:v>
                </c:pt>
              </c:numCache>
            </c:numRef>
          </c:val>
        </c:ser>
        <c:ser>
          <c:idx val="9"/>
          <c:order val="10"/>
          <c:tx>
            <c:strRef>
              <c:f>Parameters!$BL$5</c:f>
              <c:strCache>
                <c:ptCount val="1"/>
                <c:pt idx="0">
                  <c:v>Overall Eff %</c:v>
                </c:pt>
              </c:strCache>
            </c:strRef>
          </c:tx>
          <c:spPr>
            <a:solidFill>
              <a:srgbClr val="000000"/>
            </a:solidFill>
            <a:ln w="12700">
              <a:solidFill>
                <a:srgbClr val="000000"/>
              </a:solidFill>
              <a:prstDash val="solid"/>
            </a:ln>
          </c:spPr>
          <c:dLbls>
            <c:delete val="1"/>
          </c:dLbls>
          <c:val>
            <c:numRef>
              <c:f>Parameters!$BL$6:$BL$106</c:f>
              <c:numCache>
                <c:formatCode>0.00%</c:formatCode>
                <c:ptCount val="101"/>
                <c:pt idx="0">
                  <c:v>1</c:v>
                </c:pt>
                <c:pt idx="1">
                  <c:v>1</c:v>
                </c:pt>
                <c:pt idx="2">
                  <c:v>1</c:v>
                </c:pt>
                <c:pt idx="3">
                  <c:v>1</c:v>
                </c:pt>
                <c:pt idx="100">
                  <c:v>1</c:v>
                </c:pt>
              </c:numCache>
            </c:numRef>
          </c:val>
        </c:ser>
        <c:dLbls>
          <c:showLegendKey val="0"/>
          <c:showVal val="0"/>
          <c:showCatName val="0"/>
          <c:showSerName val="0"/>
          <c:showPercent val="0"/>
          <c:showBubbleSize val="0"/>
        </c:dLbls>
        <c:axId val="179207552"/>
        <c:axId val="179213824"/>
      </c:areaChart>
      <c:catAx>
        <c:axId val="179207552"/>
        <c:scaling>
          <c:orientation val="minMax"/>
        </c:scaling>
        <c:delete val="0"/>
        <c:axPos val="b"/>
        <c:majorGridlines>
          <c:spPr>
            <a:ln w="3175" cap="flat" cmpd="sng" algn="ctr">
              <a:solidFill>
                <a:srgbClr val="000000"/>
              </a:solidFill>
              <a:prstDash val="solid"/>
              <a:round/>
            </a:ln>
          </c:spPr>
        </c:majorGridlines>
        <c:title>
          <c:tx>
            <c:rich>
              <a:bodyPr rot="0" spcFirstLastPara="0" vertOverflow="ellipsis" vert="horz" wrap="square" anchor="ctr" anchorCtr="1"/>
              <a:lstStyle/>
              <a:p>
                <a:pPr>
                  <a:defRPr lang="zh-CN" sz="1725" b="1" i="0" u="none" strike="noStrike" kern="1200" baseline="0">
                    <a:solidFill>
                      <a:srgbClr val="000000"/>
                    </a:solidFill>
                    <a:latin typeface="Arial" panose="020B0604020202020204"/>
                    <a:ea typeface="Arial" panose="020B0604020202020204"/>
                    <a:cs typeface="Arial" panose="020B0604020202020204"/>
                  </a:defRPr>
                </a:pPr>
                <a:r>
                  <a:rPr lang="en-US"/>
                  <a:t>I</a:t>
                </a:r>
                <a:r>
                  <a:rPr lang="en-US" baseline="-25000"/>
                  <a:t>OUT</a:t>
                </a:r>
                <a:r>
                  <a:rPr lang="en-US"/>
                  <a:t> (log)</a:t>
                </a:r>
                <a:endParaRPr lang="en-US"/>
              </a:p>
            </c:rich>
          </c:tx>
          <c:layout>
            <c:manualLayout>
              <c:xMode val="edge"/>
              <c:yMode val="edge"/>
              <c:x val="0.372381790416068"/>
              <c:y val="0.891479004980751"/>
            </c:manualLayout>
          </c:layout>
          <c:overlay val="0"/>
          <c:spPr>
            <a:noFill/>
            <a:ln w="25400">
              <a:noFill/>
            </a:ln>
          </c:spPr>
        </c:title>
        <c:numFmt formatCode="#,##0" sourceLinked="0"/>
        <c:majorTickMark val="out"/>
        <c:minorTickMark val="none"/>
        <c:tickLblPos val="none"/>
        <c:spPr>
          <a:ln w="3175" cap="flat" cmpd="sng" algn="ctr">
            <a:solidFill>
              <a:srgbClr val="000000"/>
            </a:solidFill>
            <a:prstDash val="solid"/>
            <a:round/>
          </a:ln>
        </c:spPr>
        <c:txPr>
          <a:bodyPr rot="-5400000" spcFirstLastPara="0" vertOverflow="ellipsis" vert="horz" wrap="square"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crossAx val="179213824"/>
        <c:crosses val="autoZero"/>
        <c:auto val="1"/>
        <c:lblAlgn val="ctr"/>
        <c:lblOffset val="100"/>
        <c:noMultiLvlLbl val="0"/>
      </c:catAx>
      <c:valAx>
        <c:axId val="179213824"/>
        <c:scaling>
          <c:orientation val="minMax"/>
          <c:max val="0.2"/>
          <c:min val="0"/>
        </c:scaling>
        <c:delete val="0"/>
        <c:axPos val="l"/>
        <c:majorGridlines>
          <c:spPr>
            <a:ln w="3175" cap="flat" cmpd="sng" algn="ctr">
              <a:solidFill>
                <a:srgbClr val="000000"/>
              </a:solidFill>
              <a:prstDash val="solid"/>
              <a:round/>
            </a:ln>
          </c:spPr>
        </c:majorGridlines>
        <c:minorGridlines/>
        <c:title>
          <c:tx>
            <c:rich>
              <a:bodyPr rot="-5400000" spcFirstLastPara="0" vertOverflow="ellipsis" vert="horz" wrap="square" anchor="ctr" anchorCtr="1"/>
              <a:lstStyle/>
              <a:p>
                <a:pPr>
                  <a:defRPr lang="zh-CN" sz="1725" b="1" i="0" u="none" strike="noStrike" kern="1200" baseline="0">
                    <a:solidFill>
                      <a:srgbClr val="000000"/>
                    </a:solidFill>
                    <a:latin typeface="Arial" panose="020B0604020202020204"/>
                    <a:ea typeface="Arial" panose="020B0604020202020204"/>
                    <a:cs typeface="Arial" panose="020B0604020202020204"/>
                  </a:defRPr>
                </a:pPr>
                <a:r>
                  <a:rPr lang="en-US"/>
                  <a:t>Efficiency (%)</a:t>
                </a:r>
                <a:endParaRPr lang="en-US"/>
              </a:p>
            </c:rich>
          </c:tx>
          <c:layout>
            <c:manualLayout>
              <c:xMode val="edge"/>
              <c:yMode val="edge"/>
              <c:x val="0.0897964289197297"/>
              <c:y val="0.345670516499621"/>
            </c:manualLayout>
          </c:layout>
          <c:overlay val="0"/>
          <c:spPr>
            <a:noFill/>
            <a:ln w="25400">
              <a:noFill/>
            </a:ln>
          </c:spPr>
        </c:title>
        <c:numFmt formatCode="0%" sourceLinked="0"/>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crossAx val="179207552"/>
        <c:crosses val="autoZero"/>
        <c:crossBetween val="midCat"/>
        <c:majorUnit val="0.05"/>
        <c:minorUnit val="0.025"/>
      </c:valAx>
      <c:spPr>
        <a:solidFill>
          <a:srgbClr val="C0C0C0"/>
        </a:solidFill>
        <a:ln w="12700">
          <a:solidFill>
            <a:srgbClr val="808080"/>
          </a:solidFill>
          <a:prstDash val="solid"/>
        </a:ln>
      </c:spPr>
    </c:plotArea>
    <c:legend>
      <c:legendPos val="r"/>
      <c:layout>
        <c:manualLayout>
          <c:xMode val="edge"/>
          <c:yMode val="edge"/>
          <c:x val="0.706661858107432"/>
          <c:y val="0.0931555907396678"/>
          <c:w val="0.260108978050445"/>
          <c:h val="0.858642615813061"/>
        </c:manualLayout>
      </c:layout>
      <c:overlay val="0"/>
      <c:spPr>
        <a:solidFill>
          <a:srgbClr val="FFFFFF"/>
        </a:solidFill>
        <a:ln w="3175">
          <a:solidFill>
            <a:srgbClr val="000000"/>
          </a:solidFill>
          <a:prstDash val="solid"/>
        </a:ln>
      </c:spPr>
      <c:txPr>
        <a:bodyPr rot="0" spcFirstLastPara="0" vertOverflow="ellipsis" vert="horz" wrap="square" anchor="ctr" anchorCtr="1"/>
        <a:lstStyle/>
        <a:p>
          <a:pPr>
            <a:defRPr lang="zh-CN" sz="1335"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zero"/>
    <c:showDLblsOverMax val="0"/>
    <c:extLst>
      <c:ext uri="{0b15fc19-7d7d-44ad-8c2d-2c3a37ce22c3}">
        <chartProps xmlns="https://web.wps.cn/et/2018/main" chartId="{50973c8a-bbeb-446a-8513-01729613b0f4}"/>
      </c:ext>
    </c:extLst>
  </c:chart>
  <c:spPr>
    <a:solidFill>
      <a:srgbClr val="FFFFFF"/>
    </a:solidFill>
    <a:ln w="3175" cap="flat" cmpd="sng" algn="ctr">
      <a:solidFill>
        <a:srgbClr val="000000"/>
      </a:solidFill>
      <a:prstDash val="solid"/>
      <a:round/>
    </a:ln>
  </c:spPr>
  <c:txPr>
    <a:bodyPr/>
    <a:lstStyle/>
    <a:p>
      <a:pPr>
        <a:defRPr lang="zh-CN" sz="1725"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2070" b="0" i="0" u="none" strike="noStrike" kern="1200" baseline="0">
                <a:solidFill>
                  <a:srgbClr val="000000"/>
                </a:solidFill>
                <a:latin typeface="Arial" panose="020B0604020202020204"/>
                <a:ea typeface="Arial" panose="020B0604020202020204"/>
                <a:cs typeface="Arial" panose="020B0604020202020204"/>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
          <c:y val="0.0359066427289049"/>
        </c:manualLayout>
      </c:layout>
      <c:overlay val="0"/>
    </c:title>
    <c:autoTitleDeleted val="0"/>
    <c:plotArea>
      <c:layout>
        <c:manualLayout>
          <c:layoutTarget val="inner"/>
          <c:xMode val="edge"/>
          <c:yMode val="edge"/>
          <c:x val="0.0928442028985507"/>
          <c:y val="0.148216589622886"/>
          <c:w val="0.894429605139137"/>
          <c:h val="0.763824198815364"/>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layout/>
              <c:tx>
                <c:rich>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High-side MOSFET</a:t>
                    </a:r>
                    <a:endParaRPr lang="en-US"/>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Rdson</a:t>
                    </a:r>
                    <a:endParaRPr lang="en-US"/>
                  </a:p>
                </c:rich>
              </c:tx>
              <c:numFmt formatCode="General" sourceLinked="1"/>
              <c:spPr>
                <a:noFill/>
                <a:ln>
                  <a:noFill/>
                </a:ln>
                <a:effectLst/>
              </c:spPr>
              <c:txPr>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val>
            <c:numRef>
              <c:f>Parameters!$BA$109</c:f>
              <c:numCache>
                <c:formatCode>0.000%</c:formatCode>
                <c:ptCount val="1"/>
                <c:pt idx="0">
                  <c:v>0.00810007090180003</c:v>
                </c:pt>
              </c:numCache>
            </c:numRef>
          </c:val>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0.000920810313075506"/>
                  <c:y val="-0.00718132854578097"/>
                </c:manualLayout>
              </c:layout>
              <c:tx>
                <c:rich>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High-side MOSFET</a:t>
                    </a:r>
                    <a:endParaRPr lang="en-US"/>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Switching</a:t>
                    </a:r>
                    <a:endParaRPr lang="en-US"/>
                  </a:p>
                </c:rich>
              </c:tx>
              <c:numFmt formatCode="General" sourceLinked="1"/>
              <c:spPr>
                <a:noFill/>
                <a:ln>
                  <a:noFill/>
                </a:ln>
                <a:effectLst/>
              </c:spPr>
              <c:txPr>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extLst>
                <c:ext xmlns:c15="http://schemas.microsoft.com/office/drawing/2012/chart" uri="{CE6537A1-D6FC-4f65-9D91-7224C49458BB}">
                  <c15:layout/>
                </c:ext>
              </c:extLst>
            </c:dLbl>
            <c:spPr>
              <a:noFill/>
              <a:ln>
                <a:noFill/>
              </a:ln>
              <a:effectLst/>
            </c:spPr>
            <c:txPr>
              <a:bodyPr rot="0" spcFirstLastPara="0" vertOverflow="ellipsis" vert="horz" wrap="square" lIns="38100" tIns="19050" rIns="38100" bIns="19050"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Parameters!$BD$109</c:f>
              <c:numCache>
                <c:formatCode>0.000%</c:formatCode>
                <c:ptCount val="1"/>
                <c:pt idx="0">
                  <c:v>0.00990570398271827</c:v>
                </c:pt>
              </c:numCache>
            </c:numRef>
          </c:val>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layout/>
              <c:tx>
                <c:rich>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sz="1200" b="1"/>
                      <a:t>L</a:t>
                    </a:r>
                    <a:r>
                      <a:rPr lang="en-US" sz="1200"/>
                      <a:t>ow-side MOSFET</a:t>
                    </a:r>
                    <a:endParaRPr lang="en-US" sz="1200"/>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sz="1200"/>
                      <a:t>Rdson</a:t>
                    </a:r>
                    <a:endParaRPr lang="en-US" sz="1200"/>
                  </a:p>
                </c:rich>
              </c:tx>
              <c:numFmt formatCode="General" sourceLinked="1"/>
              <c:spPr>
                <a:noFill/>
                <a:ln>
                  <a:noFill/>
                </a:ln>
                <a:effectLst/>
              </c:spPr>
              <c:txPr>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zh-CN" sz="1725" b="1"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1"/>
            <c:showCatName val="0"/>
            <c:showSerName val="1"/>
            <c:showPercent val="0"/>
            <c:showBubbleSize val="0"/>
            <c:showLeaderLines val="0"/>
            <c:extLst>
              <c:ext xmlns:c15="http://schemas.microsoft.com/office/drawing/2012/chart" uri="{CE6537A1-D6FC-4f65-9D91-7224C49458BB}">
                <c15:layout/>
                <c15:showLeaderLines val="0"/>
                <c15:leaderLines/>
              </c:ext>
            </c:extLst>
          </c:dLbls>
          <c:val>
            <c:numRef>
              <c:f>Parameters!$BB$109</c:f>
              <c:numCache>
                <c:formatCode>0.000%</c:formatCode>
                <c:ptCount val="1"/>
                <c:pt idx="0">
                  <c:v>0.0146148020493912</c:v>
                </c:pt>
              </c:numCache>
            </c:numRef>
          </c:val>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0.00957510472770797"/>
                </c:manualLayout>
              </c:layout>
              <c:tx>
                <c:rich>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Low-side MOSFET</a:t>
                    </a:r>
                    <a:endParaRPr lang="en-US"/>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Deadtime </a:t>
                    </a:r>
                    <a:endParaRPr lang="en-US"/>
                  </a:p>
                </c:rich>
              </c:tx>
              <c:numFmt formatCode="General" sourceLinked="1"/>
              <c:spPr>
                <a:noFill/>
                <a:ln>
                  <a:noFill/>
                </a:ln>
                <a:effectLst/>
              </c:spPr>
              <c:txPr>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extLst>
                <c:ext xmlns:c15="http://schemas.microsoft.com/office/drawing/2012/chart" uri="{CE6537A1-D6FC-4f65-9D91-7224C49458BB}">
                  <c15:layout/>
                </c:ext>
              </c:extLst>
            </c:dLbl>
            <c:spPr>
              <a:noFill/>
              <a:ln>
                <a:noFill/>
              </a:ln>
              <a:effectLst/>
            </c:spPr>
            <c:txPr>
              <a:bodyPr rot="0" spcFirstLastPara="0" vertOverflow="ellipsis" vert="horz" wrap="square" lIns="38100" tIns="19050" rIns="38100" bIns="19050"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val>
            <c:numRef>
              <c:f>Parameters!$BF$109</c:f>
              <c:numCache>
                <c:formatCode>0.000%</c:formatCode>
                <c:ptCount val="1"/>
                <c:pt idx="0">
                  <c:v>0.00164655428034734</c:v>
                </c:pt>
              </c:numCache>
            </c:numRef>
          </c:val>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layout/>
              <c:tx>
                <c:rich>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Gate Drive (Qg)</a:t>
                    </a:r>
                    <a:endParaRPr lang="en-US"/>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Loss</a:t>
                    </a:r>
                    <a:endParaRPr lang="en-US"/>
                  </a:p>
                </c:rich>
              </c:tx>
              <c:numFmt formatCode="General" sourceLinked="1"/>
              <c:spPr>
                <a:noFill/>
                <a:ln>
                  <a:noFill/>
                </a:ln>
                <a:effectLst/>
              </c:spPr>
              <c:txPr>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Parameters!$BC$109</c:f>
              <c:numCache>
                <c:formatCode>0.000%</c:formatCode>
                <c:ptCount val="1"/>
                <c:pt idx="0">
                  <c:v>0.0248315346643259</c:v>
                </c:pt>
              </c:numCache>
            </c:numRef>
          </c:val>
        </c:ser>
        <c:ser>
          <c:idx val="1"/>
          <c:order val="5"/>
          <c:tx>
            <c:strRef>
              <c:f>Parameters!$BE$5</c:f>
              <c:strCache>
                <c:ptCount val="1"/>
                <c:pt idx="0">
                  <c:v>Reverse Recovery &amp; Leakage Loss %</c:v>
                </c:pt>
              </c:strCache>
            </c:strRef>
          </c:tx>
          <c:invertIfNegative val="0"/>
          <c:dLbls>
            <c:dLbl>
              <c:idx val="0"/>
              <c:layout/>
              <c:tx>
                <c:rich>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sz="1200" b="1"/>
                      <a:t>Reverse Recovery</a:t>
                    </a:r>
                    <a:endParaRPr lang="en-US" sz="1200" b="1"/>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sz="1200" b="1"/>
                      <a:t>Loss</a:t>
                    </a:r>
                    <a:endParaRPr lang="en-US" sz="1200" b="1"/>
                  </a:p>
                </c:rich>
              </c:tx>
              <c:dLblPos val="outEnd"/>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val>
            <c:numRef>
              <c:f>Parameters!$BE$109</c:f>
              <c:numCache>
                <c:formatCode>0.000%</c:formatCode>
                <c:ptCount val="1"/>
                <c:pt idx="0">
                  <c:v>0.0116316083113056</c:v>
                </c:pt>
              </c:numCache>
            </c:numRef>
          </c:val>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layout/>
              <c:tx>
                <c:rich>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Inductor DCR</a:t>
                    </a:r>
                    <a:endParaRPr lang="en-US"/>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Loss</a:t>
                    </a:r>
                    <a:endParaRPr lang="en-US"/>
                  </a:p>
                </c:rich>
              </c:tx>
              <c:numFmt formatCode="General" sourceLinked="1"/>
              <c:spPr>
                <a:noFill/>
                <a:ln>
                  <a:noFill/>
                </a:ln>
                <a:effectLst/>
              </c:spPr>
              <c:txPr>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Parameters!$BG$109</c:f>
              <c:numCache>
                <c:formatCode>0.000%</c:formatCode>
                <c:ptCount val="1"/>
                <c:pt idx="0">
                  <c:v>0.0160517602502505</c:v>
                </c:pt>
              </c:numCache>
            </c:numRef>
          </c:val>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layout/>
              <c:tx>
                <c:rich>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Inductor Core</a:t>
                    </a:r>
                    <a:endParaRPr lang="en-US"/>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Loss</a:t>
                    </a:r>
                    <a:endParaRPr lang="en-US"/>
                  </a:p>
                </c:rich>
              </c:tx>
              <c:numFmt formatCode="General" sourceLinked="1"/>
              <c:spPr>
                <a:noFill/>
                <a:ln>
                  <a:noFill/>
                </a:ln>
                <a:effectLst/>
              </c:spPr>
              <c:txPr>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Parameters!$BH$109</c:f>
              <c:numCache>
                <c:formatCode>0.000%</c:formatCode>
                <c:ptCount val="1"/>
                <c:pt idx="0">
                  <c:v>0.00681524135685847</c:v>
                </c:pt>
              </c:numCache>
            </c:numRef>
          </c:val>
        </c:ser>
        <c:ser>
          <c:idx val="0"/>
          <c:order val="8"/>
          <c:tx>
            <c:strRef>
              <c:f>Parameters!$BJ$5</c:f>
              <c:strCache>
                <c:ptCount val="1"/>
                <c:pt idx="0">
                  <c:v>Quiescent Current Loss %</c:v>
                </c:pt>
              </c:strCache>
            </c:strRef>
          </c:tx>
          <c:invertIfNegative val="0"/>
          <c:dLbls>
            <c:dLbl>
              <c:idx val="0"/>
              <c:layout/>
              <c:tx>
                <c:rich>
                  <a:bodyPr rot="0" spcFirstLastPara="0" vertOverflow="ellipsis" vert="horz" wrap="square" lIns="38100" tIns="19050" rIns="38100" bIns="19050" anchor="ctr" anchorCtr="0"/>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Quiescent Current</a:t>
                    </a:r>
                    <a:endParaRPr lang="en-US"/>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Loss </a:t>
                    </a:r>
                    <a:endParaRPr lang="en-US"/>
                  </a:p>
                </c:rich>
              </c:tx>
              <c:numFmt formatCode="0.0E+00" sourceLinked="0"/>
              <c:spPr>
                <a:noFill/>
                <a:ln>
                  <a:noFill/>
                </a:ln>
                <a:effectLst/>
              </c:spPr>
              <c:txPr>
                <a:bodyPr rot="0" spcFirstLastPara="0" vertOverflow="ellipsis" vert="horz" wrap="square" lIns="38100" tIns="19050" rIns="38100" bIns="19050" anchor="ctr" anchorCtr="0"/>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extLst>
                <c:ext xmlns:c15="http://schemas.microsoft.com/office/drawing/2012/chart" uri="{CE6537A1-D6FC-4f65-9D91-7224C49458BB}"/>
              </c:extLst>
            </c:dLbl>
            <c:numFmt formatCode="0.0E+00" sourceLinked="0"/>
            <c:spPr>
              <a:noFill/>
              <a:ln>
                <a:noFill/>
              </a:ln>
              <a:effectLst/>
            </c:spPr>
            <c:txPr>
              <a:bodyPr rot="0" spcFirstLastPara="0" vertOverflow="ellipsis" vert="horz" wrap="square" lIns="38100" tIns="19050" rIns="38100" bIns="19050" anchor="ctr" anchorCtr="0"/>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Parameters!$BJ$109</c:f>
              <c:numCache>
                <c:formatCode>0.000%</c:formatCode>
                <c:ptCount val="1"/>
                <c:pt idx="0">
                  <c:v>0.0128378298650886</c:v>
                </c:pt>
              </c:numCache>
            </c:numRef>
          </c:val>
        </c:ser>
        <c:dLbls>
          <c:showLegendKey val="0"/>
          <c:showVal val="0"/>
          <c:showCatName val="0"/>
          <c:showSerName val="0"/>
          <c:showPercent val="0"/>
          <c:showBubbleSize val="0"/>
        </c:dLbls>
        <c:gapWidth val="101"/>
        <c:overlap val="-70"/>
        <c:axId val="179331840"/>
        <c:axId val="179333376"/>
      </c:barChart>
      <c:catAx>
        <c:axId val="179331840"/>
        <c:scaling>
          <c:orientation val="minMax"/>
        </c:scaling>
        <c:delete val="0"/>
        <c:axPos val="b"/>
        <c:numFmt formatCode="General" sourceLinked="1"/>
        <c:majorTickMark val="none"/>
        <c:minorTickMark val="none"/>
        <c:tickLblPos val="none"/>
        <c:spPr>
          <a:ln w="3175" cap="flat" cmpd="sng" algn="ctr">
            <a:solidFill>
              <a:srgbClr val="000000"/>
            </a:solidFill>
            <a:prstDash val="solid"/>
            <a:round/>
          </a:ln>
        </c:spPr>
        <c:txPr>
          <a:bodyPr rot="0" spcFirstLastPara="0" vertOverflow="ellipsis" vert="horz" wrap="square"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crossAx val="179333376"/>
        <c:crossesAt val="0"/>
        <c:auto val="1"/>
        <c:lblAlgn val="ctr"/>
        <c:lblOffset val="100"/>
        <c:noMultiLvlLbl val="0"/>
      </c:catAx>
      <c:valAx>
        <c:axId val="179333376"/>
        <c:scaling>
          <c:orientation val="minMax"/>
          <c:min val="0"/>
        </c:scaling>
        <c:delete val="0"/>
        <c:axPos val="l"/>
        <c:majorGridlines>
          <c:spPr>
            <a:ln w="9525" cap="flat" cmpd="sng" algn="ctr">
              <a:solidFill>
                <a:schemeClr val="tx1">
                  <a:tint val="75000"/>
                  <a:shade val="95000"/>
                  <a:satMod val="105000"/>
                </a:schemeClr>
              </a:solidFill>
              <a:prstDash val="lgDash"/>
              <a:round/>
            </a:ln>
          </c:spPr>
        </c:majorGridlines>
        <c:title>
          <c:tx>
            <c:rich>
              <a:bodyPr rot="-5400000" spcFirstLastPara="0" vertOverflow="ellipsis" vert="horz" wrap="square" anchor="ctr" anchorCtr="1"/>
              <a:lstStyle/>
              <a:p>
                <a:pPr>
                  <a:defRPr lang="zh-CN" sz="1725" b="1" i="0" u="none" strike="noStrike" kern="1200" baseline="0">
                    <a:solidFill>
                      <a:srgbClr val="000000"/>
                    </a:solidFill>
                    <a:latin typeface="Arial" panose="020B0604020202020204"/>
                    <a:ea typeface="Arial" panose="020B0604020202020204"/>
                    <a:cs typeface="Arial" panose="020B0604020202020204"/>
                  </a:defRPr>
                </a:pPr>
                <a:r>
                  <a:rPr lang="en-US" b="1"/>
                  <a:t>Loss</a:t>
                </a:r>
                <a:r>
                  <a:rPr lang="en-US" b="1" baseline="0"/>
                  <a:t> Contributors</a:t>
                </a:r>
                <a:endParaRPr lang="en-US" b="1"/>
              </a:p>
            </c:rich>
          </c:tx>
          <c:layout>
            <c:manualLayout>
              <c:xMode val="edge"/>
              <c:yMode val="edge"/>
              <c:x val="0.0099337306593582"/>
              <c:y val="0.302109444577956"/>
            </c:manualLayout>
          </c:layout>
          <c:overlay val="0"/>
        </c:title>
        <c:numFmt formatCode="0.0%" sourceLinked="0"/>
        <c:majorTickMark val="out"/>
        <c:minorTickMark val="out"/>
        <c:tickLblPos val="low"/>
        <c:txPr>
          <a:bodyPr rot="-60000000" spcFirstLastPara="0" vertOverflow="ellipsis" vert="horz" wrap="square"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crossAx val="179331840"/>
        <c:crosses val="autoZero"/>
        <c:crossBetween val="between"/>
        <c:majorUnit val="0.005"/>
      </c:valAx>
      <c:spPr>
        <a:solidFill>
          <a:schemeClr val="bg1">
            <a:lumMod val="95000"/>
          </a:schemeClr>
        </a:solidFill>
        <a:ln w="25400">
          <a:noFill/>
        </a:ln>
      </c:spPr>
    </c:plotArea>
    <c:plotVisOnly val="1"/>
    <c:dispBlanksAs val="zero"/>
    <c:showDLblsOverMax val="0"/>
    <c:extLst>
      <c:ext uri="{0b15fc19-7d7d-44ad-8c2d-2c3a37ce22c3}">
        <chartProps xmlns="https://web.wps.cn/et/2018/main" chartId="{d64cdaaf-2f3f-43f8-859d-4afe2b5d1a19}"/>
      </c:ext>
    </c:extLst>
  </c:chart>
  <c:spPr>
    <a:solidFill>
      <a:srgbClr val="FFFFFF"/>
    </a:solidFill>
    <a:ln w="3175" cap="flat" cmpd="sng" algn="ctr">
      <a:noFill/>
      <a:prstDash val="solid"/>
      <a:round/>
    </a:ln>
  </c:spPr>
  <c:txPr>
    <a:bodyPr/>
    <a:lstStyle/>
    <a:p>
      <a:pPr>
        <a:defRPr lang="zh-CN" sz="1725"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2000" b="1" i="0" u="none" strike="noStrike" kern="1200" baseline="0">
                <a:solidFill>
                  <a:srgbClr val="000000"/>
                </a:solidFill>
                <a:latin typeface="Arial" panose="020B0604020202020204"/>
                <a:ea typeface="Arial" panose="020B0604020202020204"/>
                <a:cs typeface="Arial" panose="020B0604020202020204"/>
              </a:defRPr>
            </a:pPr>
            <a:r>
              <a:rPr lang="en-US" sz="2000"/>
              <a:t>Breakdown of COT Efficiency Losses vs. Iout</a:t>
            </a:r>
            <a:endParaRPr lang="en-US" sz="2000"/>
          </a:p>
        </c:rich>
      </c:tx>
      <c:layout>
        <c:manualLayout>
          <c:xMode val="edge"/>
          <c:yMode val="edge"/>
          <c:x val="0.192656924062403"/>
          <c:y val="0.0308154325074303"/>
        </c:manualLayout>
      </c:layout>
      <c:overlay val="0"/>
      <c:spPr>
        <a:noFill/>
        <a:ln w="25400">
          <a:noFill/>
        </a:ln>
      </c:spPr>
    </c:title>
    <c:autoTitleDeleted val="0"/>
    <c:plotArea>
      <c:layout>
        <c:manualLayout>
          <c:layoutTarget val="inner"/>
          <c:xMode val="edge"/>
          <c:yMode val="edge"/>
          <c:x val="0.184964308251318"/>
          <c:y val="0.146944176528071"/>
          <c:w val="0.461814111569419"/>
          <c:h val="0.695709154358566"/>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dLbls>
            <c:delete val="1"/>
          </c:dLbls>
          <c:val>
            <c:numRef>
              <c:f>Parameters!$BI$6:$BI$106</c:f>
              <c:numCache>
                <c:formatCode>0.000%</c:formatCode>
                <c:ptCount val="101"/>
                <c:pt idx="0">
                  <c:v>0</c:v>
                </c:pt>
                <c:pt idx="1">
                  <c:v>0</c:v>
                </c:pt>
                <c:pt idx="2">
                  <c:v>0</c:v>
                </c:pt>
                <c:pt idx="3">
                  <c:v>0</c:v>
                </c:pt>
                <c:pt idx="100">
                  <c:v>0</c:v>
                </c:pt>
              </c:numCache>
            </c:numRef>
          </c:val>
        </c:ser>
        <c:ser>
          <c:idx val="3"/>
          <c:order val="1"/>
          <c:tx>
            <c:strRef>
              <c:f>Parameters!$BF$5</c:f>
              <c:strCache>
                <c:ptCount val="1"/>
                <c:pt idx="0">
                  <c:v>Deadtime Loss %</c:v>
                </c:pt>
              </c:strCache>
            </c:strRef>
          </c:tx>
          <c:spPr>
            <a:solidFill>
              <a:srgbClr val="666699"/>
            </a:solidFill>
            <a:ln w="12700">
              <a:solidFill>
                <a:srgbClr val="000000"/>
              </a:solidFill>
              <a:prstDash val="solid"/>
            </a:ln>
          </c:spPr>
          <c:dLbls>
            <c:delete val="1"/>
          </c:dLbls>
          <c:val>
            <c:numRef>
              <c:f>Parameters!$BF$6:$BF$106</c:f>
              <c:numCache>
                <c:formatCode>0.000%</c:formatCode>
                <c:ptCount val="101"/>
                <c:pt idx="0">
                  <c:v>0</c:v>
                </c:pt>
                <c:pt idx="1">
                  <c:v>0</c:v>
                </c:pt>
                <c:pt idx="2">
                  <c:v>0</c:v>
                </c:pt>
                <c:pt idx="3">
                  <c:v>0</c:v>
                </c:pt>
                <c:pt idx="100">
                  <c:v>0</c:v>
                </c:pt>
              </c:numCache>
            </c:numRef>
          </c:val>
        </c:ser>
        <c:ser>
          <c:idx val="6"/>
          <c:order val="2"/>
          <c:tx>
            <c:strRef>
              <c:f>Parameters!$BA$5</c:f>
              <c:strCache>
                <c:ptCount val="1"/>
                <c:pt idx="0">
                  <c:v>High-side MOSFET Rdson %</c:v>
                </c:pt>
              </c:strCache>
            </c:strRef>
          </c:tx>
          <c:spPr>
            <a:solidFill>
              <a:srgbClr val="FF0000"/>
            </a:solidFill>
            <a:ln w="12700">
              <a:solidFill>
                <a:srgbClr val="000000"/>
              </a:solidFill>
              <a:prstDash val="solid"/>
            </a:ln>
          </c:spPr>
          <c:dLbls>
            <c:delete val="1"/>
          </c:dLbls>
          <c:val>
            <c:numRef>
              <c:f>Parameters!$BA$6:$BA$106</c:f>
              <c:numCache>
                <c:formatCode>0.000%</c:formatCode>
                <c:ptCount val="101"/>
                <c:pt idx="0">
                  <c:v>0</c:v>
                </c:pt>
                <c:pt idx="1">
                  <c:v>0</c:v>
                </c:pt>
                <c:pt idx="2">
                  <c:v>0</c:v>
                </c:pt>
                <c:pt idx="3">
                  <c:v>0</c:v>
                </c:pt>
                <c:pt idx="100">
                  <c:v>0</c:v>
                </c:pt>
              </c:numCache>
            </c:numRef>
          </c:val>
        </c:ser>
        <c:ser>
          <c:idx val="7"/>
          <c:order val="3"/>
          <c:tx>
            <c:strRef>
              <c:f>Parameters!$BB$5</c:f>
              <c:strCache>
                <c:ptCount val="1"/>
                <c:pt idx="0">
                  <c:v>Low-side MOSFET Rdson %</c:v>
                </c:pt>
              </c:strCache>
            </c:strRef>
          </c:tx>
          <c:spPr>
            <a:solidFill>
              <a:srgbClr val="FF6600"/>
            </a:solidFill>
            <a:ln w="12700">
              <a:solidFill>
                <a:srgbClr val="000000"/>
              </a:solidFill>
              <a:prstDash val="solid"/>
            </a:ln>
          </c:spPr>
          <c:dLbls>
            <c:delete val="1"/>
          </c:dLbls>
          <c:val>
            <c:numRef>
              <c:f>Parameters!$BB$6:$BB$106</c:f>
              <c:numCache>
                <c:formatCode>0.000%</c:formatCode>
                <c:ptCount val="101"/>
                <c:pt idx="0">
                  <c:v>0</c:v>
                </c:pt>
                <c:pt idx="1">
                  <c:v>0</c:v>
                </c:pt>
                <c:pt idx="2">
                  <c:v>0</c:v>
                </c:pt>
                <c:pt idx="3">
                  <c:v>0</c:v>
                </c:pt>
                <c:pt idx="100">
                  <c:v>0</c:v>
                </c:pt>
              </c:numCache>
            </c:numRef>
          </c:val>
        </c:ser>
        <c:ser>
          <c:idx val="4"/>
          <c:order val="4"/>
          <c:tx>
            <c:strRef>
              <c:f>Parameters!$BH$5</c:f>
              <c:strCache>
                <c:ptCount val="1"/>
                <c:pt idx="0">
                  <c:v>Inductor Core Loss %</c:v>
                </c:pt>
              </c:strCache>
            </c:strRef>
          </c:tx>
          <c:spPr>
            <a:solidFill>
              <a:srgbClr val="99CC00"/>
            </a:solidFill>
            <a:ln w="12700">
              <a:solidFill>
                <a:srgbClr val="000000"/>
              </a:solidFill>
              <a:prstDash val="solid"/>
            </a:ln>
          </c:spPr>
          <c:dLbls>
            <c:delete val="1"/>
          </c:dLbls>
          <c:val>
            <c:numRef>
              <c:f>Parameters!$BH$6:$BH$106</c:f>
              <c:numCache>
                <c:formatCode>0.000%</c:formatCode>
                <c:ptCount val="101"/>
                <c:pt idx="0">
                  <c:v>0</c:v>
                </c:pt>
                <c:pt idx="1">
                  <c:v>0</c:v>
                </c:pt>
                <c:pt idx="2">
                  <c:v>0</c:v>
                </c:pt>
                <c:pt idx="3">
                  <c:v>0</c:v>
                </c:pt>
                <c:pt idx="100">
                  <c:v>0</c:v>
                </c:pt>
              </c:numCache>
            </c:numRef>
          </c:val>
        </c:ser>
        <c:ser>
          <c:idx val="8"/>
          <c:order val="5"/>
          <c:tx>
            <c:strRef>
              <c:f>Parameters!$BG$5</c:f>
              <c:strCache>
                <c:ptCount val="1"/>
                <c:pt idx="0">
                  <c:v>Inductor Cu Loss %</c:v>
                </c:pt>
              </c:strCache>
            </c:strRef>
          </c:tx>
          <c:spPr>
            <a:solidFill>
              <a:srgbClr val="00FF00"/>
            </a:solidFill>
            <a:ln w="12700">
              <a:solidFill>
                <a:srgbClr val="000000"/>
              </a:solidFill>
              <a:prstDash val="solid"/>
            </a:ln>
          </c:spPr>
          <c:dLbls>
            <c:delete val="1"/>
          </c:dLbls>
          <c:val>
            <c:numRef>
              <c:f>Parameters!$BG$6:$BG$106</c:f>
              <c:numCache>
                <c:formatCode>0.000%</c:formatCode>
                <c:ptCount val="101"/>
                <c:pt idx="0">
                  <c:v>0</c:v>
                </c:pt>
                <c:pt idx="1">
                  <c:v>0</c:v>
                </c:pt>
                <c:pt idx="2">
                  <c:v>0</c:v>
                </c:pt>
                <c:pt idx="3">
                  <c:v>0</c:v>
                </c:pt>
                <c:pt idx="100">
                  <c:v>0</c:v>
                </c:pt>
              </c:numCache>
            </c:numRef>
          </c:val>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dLbls>
            <c:delete val="1"/>
          </c:dLbls>
          <c:val>
            <c:numRef>
              <c:f>Parameters!$BC$6:$BC$106</c:f>
              <c:numCache>
                <c:formatCode>0.000%</c:formatCode>
                <c:ptCount val="101"/>
                <c:pt idx="0">
                  <c:v>0</c:v>
                </c:pt>
                <c:pt idx="1">
                  <c:v>0</c:v>
                </c:pt>
                <c:pt idx="2">
                  <c:v>0</c:v>
                </c:pt>
                <c:pt idx="3">
                  <c:v>0</c:v>
                </c:pt>
                <c:pt idx="100">
                  <c:v>0</c:v>
                </c:pt>
              </c:numCache>
            </c:numRef>
          </c:val>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dLbls>
            <c:delete val="1"/>
          </c:dLbls>
          <c:val>
            <c:numRef>
              <c:f>Parameters!$BD$6:$BD$106</c:f>
              <c:numCache>
                <c:formatCode>0.000%</c:formatCode>
                <c:ptCount val="101"/>
                <c:pt idx="0">
                  <c:v>0</c:v>
                </c:pt>
                <c:pt idx="1">
                  <c:v>0</c:v>
                </c:pt>
                <c:pt idx="2">
                  <c:v>0</c:v>
                </c:pt>
                <c:pt idx="3">
                  <c:v>0</c:v>
                </c:pt>
                <c:pt idx="100">
                  <c:v>0</c:v>
                </c:pt>
              </c:numCache>
            </c:numRef>
          </c:val>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dLbls>
            <c:delete val="1"/>
          </c:dLbls>
          <c:val>
            <c:numRef>
              <c:f>Parameters!$BE$6:$BE$106</c:f>
              <c:numCache>
                <c:formatCode>0.000%</c:formatCode>
                <c:ptCount val="101"/>
                <c:pt idx="0">
                  <c:v>0</c:v>
                </c:pt>
                <c:pt idx="1">
                  <c:v>0</c:v>
                </c:pt>
                <c:pt idx="2">
                  <c:v>0</c:v>
                </c:pt>
                <c:pt idx="3">
                  <c:v>0</c:v>
                </c:pt>
                <c:pt idx="100">
                  <c:v>0</c:v>
                </c:pt>
              </c:numCache>
            </c:numRef>
          </c:val>
        </c:ser>
        <c:ser>
          <c:idx val="0"/>
          <c:order val="9"/>
          <c:tx>
            <c:strRef>
              <c:f>Parameters!$BJ$5</c:f>
              <c:strCache>
                <c:ptCount val="1"/>
                <c:pt idx="0">
                  <c:v>Quiescent Current Loss %</c:v>
                </c:pt>
              </c:strCache>
            </c:strRef>
          </c:tx>
          <c:dLbls>
            <c:delete val="1"/>
          </c:dLbls>
          <c:val>
            <c:numRef>
              <c:f>Parameters!$BJ$6:$BJ$106</c:f>
              <c:numCache>
                <c:formatCode>0.00%</c:formatCode>
                <c:ptCount val="101"/>
                <c:pt idx="0">
                  <c:v>0</c:v>
                </c:pt>
                <c:pt idx="1">
                  <c:v>0</c:v>
                </c:pt>
                <c:pt idx="2">
                  <c:v>0</c:v>
                </c:pt>
                <c:pt idx="3">
                  <c:v>0</c:v>
                </c:pt>
                <c:pt idx="100">
                  <c:v>0</c:v>
                </c:pt>
              </c:numCache>
            </c:numRef>
          </c:val>
        </c:ser>
        <c:ser>
          <c:idx val="9"/>
          <c:order val="10"/>
          <c:tx>
            <c:strRef>
              <c:f>Parameters!$BL$5</c:f>
              <c:strCache>
                <c:ptCount val="1"/>
                <c:pt idx="0">
                  <c:v>Overall Eff %</c:v>
                </c:pt>
              </c:strCache>
            </c:strRef>
          </c:tx>
          <c:spPr>
            <a:solidFill>
              <a:srgbClr val="000000"/>
            </a:solidFill>
            <a:ln w="12700">
              <a:solidFill>
                <a:srgbClr val="000000"/>
              </a:solidFill>
              <a:prstDash val="solid"/>
            </a:ln>
          </c:spPr>
          <c:dLbls>
            <c:delete val="1"/>
          </c:dLbls>
          <c:val>
            <c:numRef>
              <c:f>Parameters!$BL$6:$BL$106</c:f>
              <c:numCache>
                <c:formatCode>0.00%</c:formatCode>
                <c:ptCount val="101"/>
                <c:pt idx="0">
                  <c:v>1</c:v>
                </c:pt>
                <c:pt idx="1">
                  <c:v>1</c:v>
                </c:pt>
                <c:pt idx="2">
                  <c:v>1</c:v>
                </c:pt>
                <c:pt idx="3">
                  <c:v>1</c:v>
                </c:pt>
                <c:pt idx="100">
                  <c:v>1</c:v>
                </c:pt>
              </c:numCache>
            </c:numRef>
          </c:val>
        </c:ser>
        <c:dLbls>
          <c:showLegendKey val="0"/>
          <c:showVal val="0"/>
          <c:showCatName val="0"/>
          <c:showSerName val="0"/>
          <c:showPercent val="0"/>
          <c:showBubbleSize val="0"/>
        </c:dLbls>
        <c:axId val="185112832"/>
        <c:axId val="185123200"/>
      </c:areaChart>
      <c:catAx>
        <c:axId val="185112832"/>
        <c:scaling>
          <c:orientation val="minMax"/>
        </c:scaling>
        <c:delete val="0"/>
        <c:axPos val="b"/>
        <c:majorGridlines>
          <c:spPr>
            <a:ln w="3175" cap="flat" cmpd="sng" algn="ctr">
              <a:solidFill>
                <a:srgbClr val="000000"/>
              </a:solidFill>
              <a:prstDash val="solid"/>
              <a:round/>
            </a:ln>
          </c:spPr>
        </c:majorGridlines>
        <c:title>
          <c:tx>
            <c:rich>
              <a:bodyPr rot="0" spcFirstLastPara="0" vertOverflow="ellipsis" vert="horz" wrap="square" anchor="ctr" anchorCtr="1"/>
              <a:lstStyle/>
              <a:p>
                <a:pPr>
                  <a:defRPr lang="zh-CN" sz="1725" b="1" i="0" u="none" strike="noStrike" kern="1200" baseline="0">
                    <a:solidFill>
                      <a:srgbClr val="000000"/>
                    </a:solidFill>
                    <a:latin typeface="Arial" panose="020B0604020202020204"/>
                    <a:ea typeface="Arial" panose="020B0604020202020204"/>
                    <a:cs typeface="Arial" panose="020B0604020202020204"/>
                  </a:defRPr>
                </a:pPr>
                <a:r>
                  <a:rPr lang="en-US"/>
                  <a:t>I</a:t>
                </a:r>
                <a:r>
                  <a:rPr lang="en-US" baseline="-25000"/>
                  <a:t>OUT</a:t>
                </a:r>
                <a:r>
                  <a:rPr lang="en-US"/>
                  <a:t> (log scale)</a:t>
                </a:r>
                <a:endParaRPr lang="en-US"/>
              </a:p>
            </c:rich>
          </c:tx>
          <c:layout>
            <c:manualLayout>
              <c:xMode val="edge"/>
              <c:yMode val="edge"/>
              <c:x val="0.366702006471196"/>
              <c:y val="0.891504608435573"/>
            </c:manualLayout>
          </c:layout>
          <c:overlay val="0"/>
          <c:spPr>
            <a:noFill/>
            <a:ln w="25400">
              <a:noFill/>
            </a:ln>
          </c:spPr>
        </c:title>
        <c:numFmt formatCode="#,##0" sourceLinked="0"/>
        <c:majorTickMark val="out"/>
        <c:minorTickMark val="none"/>
        <c:tickLblPos val="none"/>
        <c:spPr>
          <a:ln w="3175" cap="flat" cmpd="sng" algn="ctr">
            <a:solidFill>
              <a:srgbClr val="000000"/>
            </a:solidFill>
            <a:prstDash val="solid"/>
            <a:round/>
          </a:ln>
        </c:spPr>
        <c:txPr>
          <a:bodyPr rot="-5400000" spcFirstLastPara="0" vertOverflow="ellipsis" vert="horz" wrap="square"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crossAx val="185123200"/>
        <c:crosses val="autoZero"/>
        <c:auto val="1"/>
        <c:lblAlgn val="ctr"/>
        <c:lblOffset val="100"/>
        <c:noMultiLvlLbl val="0"/>
      </c:catAx>
      <c:valAx>
        <c:axId val="185123200"/>
        <c:scaling>
          <c:orientation val="minMax"/>
          <c:max val="0.2"/>
          <c:min val="0"/>
        </c:scaling>
        <c:delete val="0"/>
        <c:axPos val="l"/>
        <c:majorGridlines>
          <c:spPr>
            <a:ln w="3175" cap="flat" cmpd="sng" algn="ctr">
              <a:solidFill>
                <a:srgbClr val="000000"/>
              </a:solidFill>
              <a:prstDash val="solid"/>
              <a:round/>
            </a:ln>
          </c:spPr>
        </c:majorGridlines>
        <c:title>
          <c:tx>
            <c:rich>
              <a:bodyPr rot="-5400000" spcFirstLastPara="0" vertOverflow="ellipsis" vert="horz" wrap="square" anchor="ctr" anchorCtr="1"/>
              <a:lstStyle/>
              <a:p>
                <a:pPr>
                  <a:defRPr lang="zh-CN" sz="1725" b="1" i="0" u="none" strike="noStrike" kern="1200" baseline="0">
                    <a:solidFill>
                      <a:srgbClr val="000000"/>
                    </a:solidFill>
                    <a:latin typeface="Arial" panose="020B0604020202020204"/>
                    <a:ea typeface="Arial" panose="020B0604020202020204"/>
                    <a:cs typeface="Arial" panose="020B0604020202020204"/>
                  </a:defRPr>
                </a:pPr>
                <a:r>
                  <a:rPr lang="en-US"/>
                  <a:t>Efficiency (%)</a:t>
                </a:r>
                <a:endParaRPr lang="en-US"/>
              </a:p>
            </c:rich>
          </c:tx>
          <c:layout>
            <c:manualLayout>
              <c:xMode val="edge"/>
              <c:yMode val="edge"/>
              <c:x val="0.107443492357573"/>
              <c:y val="0.319433183553308"/>
            </c:manualLayout>
          </c:layout>
          <c:overlay val="0"/>
          <c:spPr>
            <a:noFill/>
            <a:ln w="25400">
              <a:noFill/>
            </a:ln>
          </c:spPr>
        </c:title>
        <c:numFmt formatCode="0%" sourceLinked="0"/>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crossAx val="185112832"/>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
          <c:y val="0.0573774879213444"/>
          <c:w val="0.260108978050445"/>
          <c:h val="0.858642615813061"/>
        </c:manualLayout>
      </c:layout>
      <c:overlay val="0"/>
      <c:spPr>
        <a:solidFill>
          <a:srgbClr val="FFFFFF"/>
        </a:solidFill>
        <a:ln w="3175">
          <a:solidFill>
            <a:srgbClr val="000000"/>
          </a:solidFill>
          <a:prstDash val="solid"/>
        </a:ln>
      </c:spPr>
      <c:txPr>
        <a:bodyPr rot="0" spcFirstLastPara="0" vertOverflow="ellipsis" vert="horz" wrap="square" anchor="ctr" anchorCtr="1"/>
        <a:lstStyle/>
        <a:p>
          <a:pPr>
            <a:defRPr lang="zh-CN" sz="1335" b="0" i="0" u="none" strike="noStrike" kern="1200" baseline="0">
              <a:solidFill>
                <a:srgbClr val="000000"/>
              </a:solidFill>
              <a:latin typeface="Arial" panose="020B0604020202020204"/>
              <a:ea typeface="Arial" panose="020B0604020202020204"/>
              <a:cs typeface="Arial" panose="020B0604020202020204"/>
            </a:defRPr>
          </a:pPr>
        </a:p>
      </c:txPr>
    </c:legend>
    <c:plotVisOnly val="1"/>
    <c:dispBlanksAs val="zero"/>
    <c:showDLblsOverMax val="0"/>
    <c:extLst>
      <c:ext uri="{0b15fc19-7d7d-44ad-8c2d-2c3a37ce22c3}">
        <chartProps xmlns="https://web.wps.cn/et/2018/main" chartId="{6d5d3085-6c27-4da6-b628-38558b252547}"/>
      </c:ext>
    </c:extLst>
  </c:chart>
  <c:spPr>
    <a:solidFill>
      <a:srgbClr val="FFFFFF"/>
    </a:solidFill>
    <a:ln w="3175" cap="flat" cmpd="sng" algn="ctr">
      <a:noFill/>
      <a:prstDash val="solid"/>
      <a:round/>
    </a:ln>
  </c:spPr>
  <c:txPr>
    <a:bodyPr/>
    <a:lstStyle/>
    <a:p>
      <a:pPr>
        <a:defRPr lang="zh-CN" sz="1725"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2000" b="1"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r>
              <a:rPr lang="en-US" sz="2000">
                <a:latin typeface="Arial" panose="020B0604020202020204" pitchFamily="7" charset="0"/>
                <a:cs typeface="Arial" panose="020B0604020202020204" pitchFamily="7" charset="0"/>
                <a:sym typeface="Symbol" panose="05050102010706020507"/>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anose="020B0604020202020204" pitchFamily="7" charset="0"/>
              <a:cs typeface="Arial" panose="020B0604020202020204" pitchFamily="7" charset="0"/>
            </a:endParaRPr>
          </a:p>
        </c:rich>
      </c:tx>
      <c:layout>
        <c:manualLayout>
          <c:xMode val="edge"/>
          <c:yMode val="edge"/>
          <c:x val="0.100847942356262"/>
          <c:y val="0.0206395666972724"/>
        </c:manualLayout>
      </c:layout>
      <c:overlay val="0"/>
      <c:spPr>
        <a:noFill/>
        <a:ln w="25400">
          <a:noFill/>
        </a:ln>
      </c:spPr>
    </c:title>
    <c:autoTitleDeleted val="0"/>
    <c:plotArea>
      <c:layout>
        <c:manualLayout>
          <c:layoutTarget val="inner"/>
          <c:xMode val="edge"/>
          <c:yMode val="edge"/>
          <c:x val="0.0855405618467303"/>
          <c:y val="0.123729036548257"/>
          <c:w val="0.822658987414559"/>
          <c:h val="0.760685668101174"/>
        </c:manualLayout>
      </c:layout>
      <c:lineChart>
        <c:grouping val="standard"/>
        <c:varyColors val="0"/>
        <c:ser>
          <c:idx val="0"/>
          <c:order val="0"/>
          <c:tx>
            <c:strRef>
              <c:f>" Efficiency"</c:f>
              <c:strCache>
                <c:ptCount val="1"/>
                <c:pt idx="0">
                  <c:v> Efficiency</c:v>
                </c:pt>
              </c:strCache>
            </c:strRef>
          </c:tx>
          <c:spPr>
            <a:ln w="31750" cap="rnd" cmpd="sng" algn="ctr">
              <a:solidFill>
                <a:srgbClr val="FF0000"/>
              </a:solidFill>
              <a:prstDash val="solid"/>
              <a:round/>
            </a:ln>
          </c:spPr>
          <c:marker>
            <c:symbol val="none"/>
          </c:marker>
          <c:dLbls>
            <c:delete val="1"/>
          </c:dLbls>
          <c:cat>
            <c:numRef>
              <c:f>Parameters!$BN$6:$BN$106</c:f>
              <c:numCache>
                <c:formatCode>0.000</c:formatCode>
                <c:ptCount val="101"/>
                <c:pt idx="0" c:formatCode="0.000">
                  <c:v>0</c:v>
                </c:pt>
                <c:pt idx="1" c:formatCode="0.000">
                  <c:v>0</c:v>
                </c:pt>
                <c:pt idx="2" c:formatCode="0.000">
                  <c:v>0</c:v>
                </c:pt>
                <c:pt idx="3" c:formatCode="0.000">
                  <c:v>0</c:v>
                </c:pt>
                <c:pt idx="100" c:formatCode="0.000">
                  <c:v>0</c:v>
                </c:pt>
              </c:numCache>
            </c:numRef>
          </c:cat>
          <c:val>
            <c:numRef>
              <c:f>Parameters!$BZ$6:$BZ$106</c:f>
              <c:numCache>
                <c:formatCode>0.00</c:formatCode>
                <c:ptCount val="101"/>
                <c:pt idx="0">
                  <c:v>0</c:v>
                </c:pt>
                <c:pt idx="1">
                  <c:v>0</c:v>
                </c:pt>
                <c:pt idx="2">
                  <c:v>0</c:v>
                </c:pt>
                <c:pt idx="3">
                  <c:v>0</c:v>
                </c:pt>
                <c:pt idx="100">
                  <c:v>0</c:v>
                </c:pt>
              </c:numCache>
            </c:numRef>
          </c:val>
          <c:smooth val="1"/>
        </c:ser>
        <c:dLbls>
          <c:showLegendKey val="0"/>
          <c:showVal val="0"/>
          <c:showCatName val="0"/>
          <c:showSerName val="0"/>
          <c:showPercent val="0"/>
          <c:showBubbleSize val="0"/>
        </c:dLbls>
        <c:marker val="0"/>
        <c:smooth val="1"/>
        <c:axId val="184795520"/>
        <c:axId val="184797440"/>
      </c:lineChart>
      <c:lineChart>
        <c:grouping val="standard"/>
        <c:varyColors val="0"/>
        <c:ser>
          <c:idx val="2"/>
          <c:order val="1"/>
          <c:tx>
            <c:strRef>
              <c:f>" IC Total Power Loss"</c:f>
              <c:strCache>
                <c:ptCount val="1"/>
                <c:pt idx="0">
                  <c:v> IC Total Power Loss</c:v>
                </c:pt>
              </c:strCache>
            </c:strRef>
          </c:tx>
          <c:spPr>
            <a:ln w="38100" cap="rnd" cmpd="sng" algn="ctr">
              <a:solidFill>
                <a:srgbClr val="808000"/>
              </a:solidFill>
              <a:prstDash val="sysDash"/>
              <a:round/>
            </a:ln>
          </c:spPr>
          <c:marker>
            <c:symbol val="none"/>
          </c:marker>
          <c:dLbls>
            <c:delete val="1"/>
          </c:dLbls>
          <c:cat>
            <c:numRef>
              <c:f>Parameters!$BN$6:$BN$106</c:f>
              <c:numCache>
                <c:formatCode>0.000</c:formatCode>
                <c:ptCount val="101"/>
                <c:pt idx="0" c:formatCode="0.000">
                  <c:v>0</c:v>
                </c:pt>
                <c:pt idx="1" c:formatCode="0.000">
                  <c:v>0</c:v>
                </c:pt>
                <c:pt idx="2" c:formatCode="0.000">
                  <c:v>0</c:v>
                </c:pt>
                <c:pt idx="3" c:formatCode="0.000">
                  <c:v>0</c:v>
                </c:pt>
                <c:pt idx="100" c:formatCode="0.000">
                  <c:v>0</c:v>
                </c:pt>
              </c:numCache>
            </c:numRef>
          </c:cat>
          <c:val>
            <c:numRef>
              <c:f>Parameters!$CA$6:$CA$106</c:f>
              <c:numCache>
                <c:formatCode>0.00</c:formatCode>
                <c:ptCount val="101"/>
                <c:pt idx="0">
                  <c:v>0</c:v>
                </c:pt>
                <c:pt idx="1">
                  <c:v>0</c:v>
                </c:pt>
                <c:pt idx="2">
                  <c:v>0</c:v>
                </c:pt>
                <c:pt idx="3">
                  <c:v>0</c:v>
                </c:pt>
                <c:pt idx="100">
                  <c:v>0</c:v>
                </c:pt>
              </c:numCache>
            </c:numRef>
          </c:val>
          <c:smooth val="0"/>
        </c:ser>
        <c:ser>
          <c:idx val="1"/>
          <c:order val="2"/>
          <c:tx>
            <c:strRef>
              <c:f>" LDO + Quiescent Loss"</c:f>
              <c:strCache>
                <c:ptCount val="1"/>
                <c:pt idx="0">
                  <c:v> LDO + Quiescent Loss</c:v>
                </c:pt>
              </c:strCache>
            </c:strRef>
          </c:tx>
          <c:spPr>
            <a:ln w="38100" cap="rnd" cmpd="sng" algn="ctr">
              <a:solidFill>
                <a:srgbClr val="002060"/>
              </a:solidFill>
              <a:prstDash val="sysDot"/>
              <a:round/>
            </a:ln>
          </c:spPr>
          <c:marker>
            <c:symbol val="none"/>
          </c:marker>
          <c:dLbls>
            <c:delete val="1"/>
          </c:dLbls>
          <c:cat>
            <c:numRef>
              <c:f>Parameters!$BN$6:$BN$106</c:f>
              <c:numCache>
                <c:formatCode>0.000</c:formatCode>
                <c:ptCount val="101"/>
                <c:pt idx="0" c:formatCode="0.000">
                  <c:v>0</c:v>
                </c:pt>
                <c:pt idx="1" c:formatCode="0.000">
                  <c:v>0</c:v>
                </c:pt>
                <c:pt idx="2" c:formatCode="0.000">
                  <c:v>0</c:v>
                </c:pt>
                <c:pt idx="3" c:formatCode="0.000">
                  <c:v>0</c:v>
                </c:pt>
                <c:pt idx="100" c:formatCode="0.000">
                  <c:v>0</c:v>
                </c:pt>
              </c:numCache>
            </c:numRef>
          </c:cat>
          <c:val>
            <c:numRef>
              <c:f>Parameters!$CB$6:$CB$106</c:f>
              <c:numCache>
                <c:formatCode>0.00</c:formatCode>
                <c:ptCount val="101"/>
                <c:pt idx="0">
                  <c:v>0</c:v>
                </c:pt>
                <c:pt idx="1">
                  <c:v>0</c:v>
                </c:pt>
                <c:pt idx="2">
                  <c:v>0</c:v>
                </c:pt>
                <c:pt idx="3">
                  <c:v>0</c:v>
                </c:pt>
                <c:pt idx="100">
                  <c:v>0</c:v>
                </c:pt>
              </c:numCache>
            </c:numRef>
          </c:val>
          <c:smooth val="0"/>
        </c:ser>
        <c:ser>
          <c:idx val="3"/>
          <c:order val="3"/>
          <c:tx>
            <c:strRef>
              <c:f>" Inductor Loss"</c:f>
              <c:strCache>
                <c:ptCount val="1"/>
                <c:pt idx="0">
                  <c:v> Inductor Loss</c:v>
                </c:pt>
              </c:strCache>
            </c:strRef>
          </c:tx>
          <c:spPr>
            <a:ln w="38100" cap="rnd" cmpd="sng" algn="ctr">
              <a:solidFill>
                <a:srgbClr val="800080"/>
              </a:solidFill>
              <a:prstDash val="dash"/>
              <a:round/>
            </a:ln>
          </c:spPr>
          <c:marker>
            <c:symbol val="none"/>
          </c:marker>
          <c:dLbls>
            <c:delete val="1"/>
          </c:dLbls>
          <c:cat>
            <c:numRef>
              <c:f>Parameters!$BN$6:$BN$106</c:f>
              <c:numCache>
                <c:formatCode>0.000</c:formatCode>
                <c:ptCount val="101"/>
                <c:pt idx="0" c:formatCode="0.000">
                  <c:v>0</c:v>
                </c:pt>
                <c:pt idx="1" c:formatCode="0.000">
                  <c:v>0</c:v>
                </c:pt>
                <c:pt idx="2" c:formatCode="0.000">
                  <c:v>0</c:v>
                </c:pt>
                <c:pt idx="3" c:formatCode="0.000">
                  <c:v>0</c:v>
                </c:pt>
                <c:pt idx="100" c:formatCode="0.000">
                  <c:v>0</c:v>
                </c:pt>
              </c:numCache>
            </c:numRef>
          </c:cat>
          <c:val>
            <c:numRef>
              <c:f>Parameters!$CC$6:$CC$106</c:f>
              <c:numCache>
                <c:formatCode>0.00</c:formatCode>
                <c:ptCount val="101"/>
                <c:pt idx="0">
                  <c:v>0</c:v>
                </c:pt>
                <c:pt idx="1">
                  <c:v>0</c:v>
                </c:pt>
                <c:pt idx="2">
                  <c:v>0</c:v>
                </c:pt>
                <c:pt idx="3">
                  <c:v>0</c:v>
                </c:pt>
                <c:pt idx="100">
                  <c:v>0</c:v>
                </c:pt>
              </c:numCache>
            </c:numRef>
          </c:val>
          <c:smooth val="0"/>
        </c:ser>
        <c:dLbls>
          <c:showLegendKey val="0"/>
          <c:showVal val="0"/>
          <c:showCatName val="0"/>
          <c:showSerName val="0"/>
          <c:showPercent val="0"/>
          <c:showBubbleSize val="0"/>
        </c:dLbls>
        <c:marker val="0"/>
        <c:smooth val="0"/>
        <c:axId val="184805632"/>
        <c:axId val="184803712"/>
      </c:lineChart>
      <c:catAx>
        <c:axId val="184795520"/>
        <c:scaling>
          <c:orientation val="minMax"/>
        </c:scaling>
        <c:delete val="0"/>
        <c:axPos val="b"/>
        <c:majorGridlines>
          <c:spPr>
            <a:ln w="15875" cap="flat" cmpd="sng" algn="ctr">
              <a:solidFill>
                <a:srgbClr val="969696"/>
              </a:solidFill>
              <a:prstDash val="sysDash"/>
              <a:round/>
            </a:ln>
          </c:spPr>
        </c:majorGridlines>
        <c:title>
          <c:tx>
            <c:rich>
              <a:bodyPr rot="0" spcFirstLastPara="0" vertOverflow="ellipsis" vert="horz" wrap="square" anchor="ctr" anchorCtr="1"/>
              <a:lstStyle/>
              <a:p>
                <a:pPr>
                  <a:defRPr lang="zh-CN" sz="1300" b="1" i="0" u="none" strike="noStrike" kern="1200" baseline="0">
                    <a:solidFill>
                      <a:sysClr val="windowText" lastClr="000000"/>
                    </a:solidFill>
                    <a:latin typeface="Arial" panose="020B0604020202020204" pitchFamily="7" charset="0"/>
                    <a:ea typeface="Calibri" panose="020F0502020204030204"/>
                    <a:cs typeface="Arial" panose="020B0604020202020204" pitchFamily="7" charset="0"/>
                  </a:defRPr>
                </a:pPr>
                <a:r>
                  <a:rPr lang="en-US" sz="1300">
                    <a:solidFill>
                      <a:sysClr val="windowText" lastClr="000000"/>
                    </a:solidFill>
                    <a:latin typeface="Arial" panose="020B0604020202020204" pitchFamily="7" charset="0"/>
                    <a:cs typeface="Arial" panose="020B0604020202020204" pitchFamily="7" charset="0"/>
                  </a:rPr>
                  <a:t>Load Current (mA)</a:t>
                </a:r>
                <a:endParaRPr lang="en-US" sz="1300">
                  <a:solidFill>
                    <a:sysClr val="windowText" lastClr="000000"/>
                  </a:solidFill>
                  <a:latin typeface="Arial" panose="020B0604020202020204" pitchFamily="7" charset="0"/>
                  <a:cs typeface="Arial" panose="020B0604020202020204" pitchFamily="7" charset="0"/>
                </a:endParaRPr>
              </a:p>
            </c:rich>
          </c:tx>
          <c:layout>
            <c:manualLayout>
              <c:xMode val="edge"/>
              <c:yMode val="edge"/>
              <c:x val="0.416253433437099"/>
              <c:y val="0.945719135737313"/>
            </c:manualLayout>
          </c:layout>
          <c:overlay val="0"/>
          <c:spPr>
            <a:noFill/>
            <a:ln w="25400">
              <a:noFill/>
            </a:ln>
          </c:spPr>
        </c:title>
        <c:numFmt formatCode="0" sourceLinked="0"/>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crossAx val="184797440"/>
        <c:crosses val="autoZero"/>
        <c:auto val="1"/>
        <c:lblAlgn val="ctr"/>
        <c:lblOffset val="100"/>
        <c:tickLblSkip val="20"/>
        <c:tickMarkSkip val="20"/>
        <c:noMultiLvlLbl val="0"/>
      </c:catAx>
      <c:valAx>
        <c:axId val="184797440"/>
        <c:scaling>
          <c:orientation val="minMax"/>
          <c:max val="95"/>
          <c:min val="65"/>
        </c:scaling>
        <c:delete val="0"/>
        <c:axPos val="l"/>
        <c:majorGridlines>
          <c:spPr>
            <a:ln w="15875" cap="flat" cmpd="sng" algn="ctr">
              <a:solidFill>
                <a:srgbClr val="808080"/>
              </a:solidFill>
              <a:prstDash val="solid"/>
              <a:round/>
            </a:ln>
          </c:spPr>
        </c:majorGridlines>
        <c:minorGridlines/>
        <c:title>
          <c:tx>
            <c:rich>
              <a:bodyPr rot="-5400000" spcFirstLastPara="0" vertOverflow="ellipsis" vert="horz" wrap="square" anchor="ctr" anchorCtr="1"/>
              <a:lstStyle/>
              <a:p>
                <a:pPr>
                  <a:defRPr lang="zh-CN" sz="1400" b="1" i="0" u="none" strike="noStrike" kern="1200" baseline="0">
                    <a:solidFill>
                      <a:srgbClr val="FF0000"/>
                    </a:solidFill>
                    <a:latin typeface="Arial" panose="020B0604020202020204" pitchFamily="7" charset="0"/>
                    <a:ea typeface="Calibri" panose="020F0502020204030204"/>
                    <a:cs typeface="Arial" panose="020B0604020202020204" pitchFamily="7" charset="0"/>
                  </a:defRPr>
                </a:pPr>
                <a:r>
                  <a:rPr lang="en-US" sz="1400" b="1">
                    <a:solidFill>
                      <a:srgbClr val="FF0000"/>
                    </a:solidFill>
                    <a:latin typeface="Arial" panose="020B0604020202020204" pitchFamily="7" charset="0"/>
                    <a:cs typeface="Arial" panose="020B0604020202020204" pitchFamily="7" charset="0"/>
                  </a:rPr>
                  <a:t>Efficiency (%)</a:t>
                </a:r>
                <a:endParaRPr lang="en-US" sz="1400" b="1">
                  <a:solidFill>
                    <a:srgbClr val="FF0000"/>
                  </a:solidFill>
                  <a:latin typeface="Arial" panose="020B0604020202020204" pitchFamily="7" charset="0"/>
                  <a:cs typeface="Arial" panose="020B0604020202020204" pitchFamily="7" charset="0"/>
                </a:endParaRPr>
              </a:p>
            </c:rich>
          </c:tx>
          <c:layout>
            <c:manualLayout>
              <c:xMode val="edge"/>
              <c:yMode val="edge"/>
              <c:x val="0.0128718586740814"/>
              <c:y val="0.376381779156884"/>
            </c:manualLayout>
          </c:layout>
          <c:overlay val="0"/>
          <c:spPr>
            <a:noFill/>
            <a:ln w="25400">
              <a:noFill/>
            </a:ln>
          </c:spPr>
        </c:title>
        <c:numFmt formatCode="#,##0" sourceLinked="0"/>
        <c:majorTickMark val="out"/>
        <c:minorTickMark val="out"/>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rgbClr val="FF0000"/>
                </a:solidFill>
                <a:latin typeface="Arial" panose="020B0604020202020204" pitchFamily="7" charset="0"/>
                <a:ea typeface="Calibri" panose="020F0502020204030204"/>
                <a:cs typeface="Arial" panose="020B0604020202020204" pitchFamily="7" charset="0"/>
              </a:defRPr>
            </a:pPr>
          </a:p>
        </c:txPr>
        <c:crossAx val="184795520"/>
        <c:crossesAt val="0"/>
        <c:crossBetween val="between"/>
        <c:majorUnit val="5"/>
        <c:minorUnit val="2.5"/>
      </c:valAx>
      <c:catAx>
        <c:axId val="184805632"/>
        <c:scaling>
          <c:orientation val="minMax"/>
        </c:scaling>
        <c:delete val="1"/>
        <c:axPos val="b"/>
        <c:numFmt formatCode="0.000" sourceLinked="1"/>
        <c:majorTickMark val="out"/>
        <c:minorTickMark val="none"/>
        <c:tickLblPos val="nextTo"/>
        <c:txPr>
          <a:bodyPr rot="-60000000" spcFirstLastPara="0" vertOverflow="ellipsis" vert="horz" wrap="square" anchor="ctr" anchorCtr="1"/>
          <a:lstStyle/>
          <a:p>
            <a:pPr>
              <a:defRPr lang="zh-CN" sz="850" b="0" i="0" u="none" strike="noStrike" kern="1200" baseline="0">
                <a:solidFill>
                  <a:srgbClr val="000000"/>
                </a:solidFill>
                <a:latin typeface="Arial" panose="020B0604020202020204"/>
                <a:ea typeface="Arial" panose="020B0604020202020204"/>
                <a:cs typeface="Arial" panose="020B0604020202020204"/>
              </a:defRPr>
            </a:pPr>
          </a:p>
        </c:txPr>
        <c:crossAx val="184803712"/>
        <c:crosses val="autoZero"/>
        <c:auto val="1"/>
        <c:lblAlgn val="ctr"/>
        <c:lblOffset val="100"/>
        <c:noMultiLvlLbl val="0"/>
      </c:catAx>
      <c:valAx>
        <c:axId val="184803712"/>
        <c:scaling>
          <c:orientation val="minMax"/>
        </c:scaling>
        <c:delete val="0"/>
        <c:axPos val="r"/>
        <c:title>
          <c:tx>
            <c:rich>
              <a:bodyPr rot="-5400000" spcFirstLastPara="0" vertOverflow="ellipsis" vert="horz" wrap="square" anchor="ctr" anchorCtr="1"/>
              <a:lstStyle/>
              <a:p>
                <a:pPr>
                  <a:defRPr lang="zh-CN" sz="1400" b="1" i="0" u="none" strike="noStrike" kern="1200" baseline="0">
                    <a:solidFill>
                      <a:srgbClr val="0000FF"/>
                    </a:solidFill>
                    <a:latin typeface="Arial" panose="020B0604020202020204"/>
                    <a:ea typeface="Arial" panose="020B0604020202020204"/>
                    <a:cs typeface="Arial" panose="020B0604020202020204"/>
                  </a:defRPr>
                </a:pPr>
                <a:r>
                  <a:rPr lang="en-US" sz="1400" b="1">
                    <a:solidFill>
                      <a:srgbClr val="0000FF"/>
                    </a:solidFill>
                  </a:rPr>
                  <a:t>Power Loss (mW)</a:t>
                </a:r>
                <a:endParaRPr lang="en-US" sz="1400" b="1">
                  <a:solidFill>
                    <a:srgbClr val="0000FF"/>
                  </a:solidFill>
                </a:endParaRPr>
              </a:p>
            </c:rich>
          </c:tx>
          <c:layout>
            <c:manualLayout>
              <c:xMode val="edge"/>
              <c:yMode val="edge"/>
              <c:x val="0.957206161950604"/>
              <c:y val="0.34716258649487"/>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100" b="1" i="0" u="none" strike="noStrike" kern="1200" baseline="0">
                <a:solidFill>
                  <a:srgbClr val="0000FF"/>
                </a:solidFill>
                <a:latin typeface="Arial" panose="020B0604020202020204"/>
                <a:ea typeface="Arial" panose="020B0604020202020204"/>
                <a:cs typeface="Arial" panose="020B0604020202020204"/>
              </a:defRPr>
            </a:pPr>
          </a:p>
        </c:txPr>
        <c:crossAx val="184805632"/>
        <c:crosses val="max"/>
        <c:crossBetween val="between"/>
      </c:valAx>
      <c:spPr>
        <a:noFill/>
        <a:ln w="25400">
          <a:noFill/>
        </a:ln>
      </c:spPr>
    </c:plotArea>
    <c:legend>
      <c:legendPos val="t"/>
      <c:layout>
        <c:manualLayout>
          <c:xMode val="edge"/>
          <c:yMode val="edge"/>
          <c:x val="0.388665007675927"/>
          <c:y val="0.0118925461942344"/>
          <c:w val="0.611334992324073"/>
          <c:h val="0.0972341708169871"/>
        </c:manualLayout>
      </c:layout>
      <c:overlay val="0"/>
      <c:spPr>
        <a:solidFill>
          <a:srgbClr val="FFFFFF"/>
        </a:solidFill>
        <a:ln w="25400">
          <a:noFill/>
        </a:ln>
      </c:spPr>
      <c:txPr>
        <a:bodyPr rot="0" spcFirstLastPara="0" vertOverflow="ellipsis" vert="horz" wrap="square" anchor="ctr" anchorCtr="1"/>
        <a:lstStyle/>
        <a:p>
          <a:pPr>
            <a:defRPr lang="zh-CN" sz="1200" b="0"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4a46eb4f-8892-4836-a05b-eb1e3184548e}"/>
      </c:ext>
    </c:extLst>
  </c:chart>
  <c:spPr>
    <a:solidFill>
      <a:schemeClr val="bg1"/>
    </a:solidFill>
    <a:ln w="9525" cap="flat" cmpd="sng" algn="ctr">
      <a:solidFill>
        <a:srgbClr val="808080"/>
      </a:solid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2000" b="1"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r>
              <a:rPr lang="en-US" sz="2000">
                <a:latin typeface="Arial" panose="020B0604020202020204" pitchFamily="7" charset="0"/>
                <a:cs typeface="Arial" panose="020B0604020202020204" pitchFamily="7" charset="0"/>
                <a:sym typeface="Symbol" panose="05050102010706020507"/>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anose="020B0604020202020204" pitchFamily="7" charset="0"/>
              <a:cs typeface="Arial" panose="020B0604020202020204" pitchFamily="7" charset="0"/>
            </a:endParaRPr>
          </a:p>
        </c:rich>
      </c:tx>
      <c:layout>
        <c:manualLayout>
          <c:xMode val="edge"/>
          <c:yMode val="edge"/>
          <c:x val="0.100847942356262"/>
          <c:y val="0.0206395666972724"/>
        </c:manualLayout>
      </c:layout>
      <c:overlay val="0"/>
      <c:spPr>
        <a:noFill/>
        <a:ln w="25400">
          <a:noFill/>
        </a:ln>
      </c:spPr>
    </c:title>
    <c:autoTitleDeleted val="0"/>
    <c:plotArea>
      <c:layout>
        <c:manualLayout>
          <c:layoutTarget val="inner"/>
          <c:xMode val="edge"/>
          <c:yMode val="edge"/>
          <c:x val="0.0855405618467303"/>
          <c:y val="0.123729036548257"/>
          <c:w val="0.822658987414559"/>
          <c:h val="0.760685668101174"/>
        </c:manualLayout>
      </c:layout>
      <c:scatterChart>
        <c:scatterStyle val="smooth"/>
        <c:varyColors val="0"/>
        <c:ser>
          <c:idx val="0"/>
          <c:order val="0"/>
          <c:tx>
            <c:strRef>
              <c:f>" Efficiency"</c:f>
              <c:strCache>
                <c:ptCount val="1"/>
                <c:pt idx="0">
                  <c:v> Efficiency</c:v>
                </c:pt>
              </c:strCache>
            </c:strRef>
          </c:tx>
          <c:spPr>
            <a:ln w="31750" cap="rnd" cmpd="sng" algn="ctr">
              <a:solidFill>
                <a:srgbClr val="FF0000"/>
              </a:solidFill>
              <a:prstDash val="solid"/>
              <a:round/>
            </a:ln>
          </c:spPr>
          <c:marker>
            <c:symbol val="none"/>
          </c:marker>
          <c:dLbls>
            <c:delete val="1"/>
          </c:dLbls>
          <c:xVal>
            <c:numRef>
              <c:f>Parameters!$BN$6:$BN$106</c:f>
              <c:numCache>
                <c:formatCode>0.000</c:formatCode>
                <c:ptCount val="101"/>
                <c:pt idx="0">
                  <c:v>0</c:v>
                </c:pt>
                <c:pt idx="1">
                  <c:v>0</c:v>
                </c:pt>
                <c:pt idx="2">
                  <c:v>0</c:v>
                </c:pt>
                <c:pt idx="3">
                  <c:v>0</c:v>
                </c:pt>
                <c:pt idx="100">
                  <c:v>0</c:v>
                </c:pt>
              </c:numCache>
            </c:numRef>
          </c:xVal>
          <c:yVal>
            <c:numRef>
              <c:f>Parameters!$BZ$6:$BZ$106</c:f>
              <c:numCache>
                <c:formatCode>0.00</c:formatCode>
                <c:ptCount val="101"/>
                <c:pt idx="0">
                  <c:v>0</c:v>
                </c:pt>
                <c:pt idx="1">
                  <c:v>0</c:v>
                </c:pt>
                <c:pt idx="2">
                  <c:v>0</c:v>
                </c:pt>
                <c:pt idx="3">
                  <c:v>0</c:v>
                </c:pt>
                <c:pt idx="100">
                  <c:v>0</c:v>
                </c:pt>
              </c:numCache>
            </c:numRef>
          </c:yVal>
          <c:smooth val="1"/>
        </c:ser>
        <c:dLbls>
          <c:showLegendKey val="0"/>
          <c:showVal val="0"/>
          <c:showCatName val="0"/>
          <c:showSerName val="0"/>
          <c:showPercent val="0"/>
          <c:showBubbleSize val="0"/>
        </c:dLbls>
        <c:axId val="184846592"/>
        <c:axId val="184852864"/>
      </c:scatterChart>
      <c:scatterChart>
        <c:scatterStyle val="smooth"/>
        <c:varyColors val="0"/>
        <c:ser>
          <c:idx val="2"/>
          <c:order val="1"/>
          <c:tx>
            <c:strRef>
              <c:f>" IC Total Power Loss"</c:f>
              <c:strCache>
                <c:ptCount val="1"/>
                <c:pt idx="0">
                  <c:v> IC Total Power Loss</c:v>
                </c:pt>
              </c:strCache>
            </c:strRef>
          </c:tx>
          <c:spPr>
            <a:ln w="38100" cap="rnd" cmpd="sng" algn="ctr">
              <a:solidFill>
                <a:srgbClr val="808000"/>
              </a:solidFill>
              <a:prstDash val="sysDash"/>
              <a:round/>
            </a:ln>
          </c:spPr>
          <c:marker>
            <c:symbol val="none"/>
          </c:marker>
          <c:dLbls>
            <c:delete val="1"/>
          </c:dLbls>
          <c:xVal>
            <c:numRef>
              <c:f>Parameters!$BN$6:$BN$106</c:f>
              <c:numCache>
                <c:formatCode>0.000</c:formatCode>
                <c:ptCount val="101"/>
                <c:pt idx="0">
                  <c:v>0</c:v>
                </c:pt>
                <c:pt idx="1">
                  <c:v>0</c:v>
                </c:pt>
                <c:pt idx="2">
                  <c:v>0</c:v>
                </c:pt>
                <c:pt idx="3">
                  <c:v>0</c:v>
                </c:pt>
                <c:pt idx="100">
                  <c:v>0</c:v>
                </c:pt>
              </c:numCache>
            </c:numRef>
          </c:xVal>
          <c:yVal>
            <c:numRef>
              <c:f>Parameters!$CA$6:$CA$106</c:f>
              <c:numCache>
                <c:formatCode>0.00</c:formatCode>
                <c:ptCount val="101"/>
                <c:pt idx="0">
                  <c:v>0</c:v>
                </c:pt>
                <c:pt idx="1">
                  <c:v>0</c:v>
                </c:pt>
                <c:pt idx="2">
                  <c:v>0</c:v>
                </c:pt>
                <c:pt idx="3">
                  <c:v>0</c:v>
                </c:pt>
                <c:pt idx="100">
                  <c:v>0</c:v>
                </c:pt>
              </c:numCache>
            </c:numRef>
          </c:yVal>
          <c:smooth val="1"/>
        </c:ser>
        <c:ser>
          <c:idx val="1"/>
          <c:order val="2"/>
          <c:tx>
            <c:strRef>
              <c:f>" LDO + Quiescent Loss"</c:f>
              <c:strCache>
                <c:ptCount val="1"/>
                <c:pt idx="0">
                  <c:v> LDO + Quiescent Loss</c:v>
                </c:pt>
              </c:strCache>
            </c:strRef>
          </c:tx>
          <c:spPr>
            <a:ln w="38100" cap="rnd" cmpd="sng" algn="ctr">
              <a:solidFill>
                <a:srgbClr val="002060"/>
              </a:solidFill>
              <a:prstDash val="sysDot"/>
              <a:round/>
            </a:ln>
          </c:spPr>
          <c:marker>
            <c:symbol val="none"/>
          </c:marker>
          <c:dLbls>
            <c:delete val="1"/>
          </c:dLbls>
          <c:xVal>
            <c:numRef>
              <c:f>Parameters!$BN$6:$BN$106</c:f>
              <c:numCache>
                <c:formatCode>0.000</c:formatCode>
                <c:ptCount val="101"/>
                <c:pt idx="0">
                  <c:v>0</c:v>
                </c:pt>
                <c:pt idx="1">
                  <c:v>0</c:v>
                </c:pt>
                <c:pt idx="2">
                  <c:v>0</c:v>
                </c:pt>
                <c:pt idx="3">
                  <c:v>0</c:v>
                </c:pt>
                <c:pt idx="100">
                  <c:v>0</c:v>
                </c:pt>
              </c:numCache>
            </c:numRef>
          </c:xVal>
          <c:yVal>
            <c:numRef>
              <c:f>Parameters!$CB$6:$CB$106</c:f>
              <c:numCache>
                <c:formatCode>0.00</c:formatCode>
                <c:ptCount val="101"/>
                <c:pt idx="0">
                  <c:v>0</c:v>
                </c:pt>
                <c:pt idx="1">
                  <c:v>0</c:v>
                </c:pt>
                <c:pt idx="2">
                  <c:v>0</c:v>
                </c:pt>
                <c:pt idx="3">
                  <c:v>0</c:v>
                </c:pt>
                <c:pt idx="100">
                  <c:v>0</c:v>
                </c:pt>
              </c:numCache>
            </c:numRef>
          </c:yVal>
          <c:smooth val="1"/>
        </c:ser>
        <c:ser>
          <c:idx val="3"/>
          <c:order val="3"/>
          <c:tx>
            <c:strRef>
              <c:f>" Inductor Loss"</c:f>
              <c:strCache>
                <c:ptCount val="1"/>
                <c:pt idx="0">
                  <c:v> Inductor Loss</c:v>
                </c:pt>
              </c:strCache>
            </c:strRef>
          </c:tx>
          <c:spPr>
            <a:ln w="38100" cap="rnd" cmpd="sng" algn="ctr">
              <a:solidFill>
                <a:srgbClr val="800080"/>
              </a:solidFill>
              <a:prstDash val="dash"/>
              <a:round/>
            </a:ln>
          </c:spPr>
          <c:marker>
            <c:symbol val="none"/>
          </c:marker>
          <c:dLbls>
            <c:delete val="1"/>
          </c:dLbls>
          <c:xVal>
            <c:numRef>
              <c:f>Parameters!$BN$6:$BN$106</c:f>
              <c:numCache>
                <c:formatCode>0.000</c:formatCode>
                <c:ptCount val="101"/>
                <c:pt idx="0">
                  <c:v>0</c:v>
                </c:pt>
                <c:pt idx="1">
                  <c:v>0</c:v>
                </c:pt>
                <c:pt idx="2">
                  <c:v>0</c:v>
                </c:pt>
                <c:pt idx="3">
                  <c:v>0</c:v>
                </c:pt>
                <c:pt idx="100">
                  <c:v>0</c:v>
                </c:pt>
              </c:numCache>
            </c:numRef>
          </c:xVal>
          <c:yVal>
            <c:numRef>
              <c:f>Parameters!$CC$6:$CC$106</c:f>
              <c:numCache>
                <c:formatCode>0.00</c:formatCode>
                <c:ptCount val="101"/>
                <c:pt idx="0">
                  <c:v>0</c:v>
                </c:pt>
                <c:pt idx="1">
                  <c:v>0</c:v>
                </c:pt>
                <c:pt idx="2">
                  <c:v>0</c:v>
                </c:pt>
                <c:pt idx="3">
                  <c:v>0</c:v>
                </c:pt>
                <c:pt idx="100">
                  <c:v>0</c:v>
                </c:pt>
              </c:numCache>
            </c:numRef>
          </c:yVal>
          <c:smooth val="1"/>
        </c:ser>
        <c:dLbls>
          <c:showLegendKey val="0"/>
          <c:showVal val="0"/>
          <c:showCatName val="0"/>
          <c:showSerName val="0"/>
          <c:showPercent val="0"/>
          <c:showBubbleSize val="0"/>
        </c:dLbls>
        <c:axId val="184861056"/>
        <c:axId val="184854784"/>
      </c:scatterChart>
      <c:valAx>
        <c:axId val="184846592"/>
        <c:scaling>
          <c:logBase val="10"/>
          <c:orientation val="minMax"/>
          <c:min val="0.1"/>
        </c:scaling>
        <c:delete val="0"/>
        <c:axPos val="b"/>
        <c:majorGridlines>
          <c:spPr>
            <a:ln w="15875" cap="flat" cmpd="sng" algn="ctr">
              <a:solidFill>
                <a:srgbClr val="969696"/>
              </a:solidFill>
              <a:prstDash val="sysDash"/>
              <a:round/>
            </a:ln>
          </c:spPr>
        </c:majorGridlines>
        <c:title>
          <c:tx>
            <c:rich>
              <a:bodyPr rot="0" spcFirstLastPara="0" vertOverflow="ellipsis" vert="horz" wrap="square" anchor="ctr" anchorCtr="1"/>
              <a:lstStyle/>
              <a:p>
                <a:pPr>
                  <a:defRPr lang="zh-CN" sz="1300" b="1" i="0" u="none" strike="noStrike" kern="1200" baseline="0">
                    <a:solidFill>
                      <a:sysClr val="windowText" lastClr="000000"/>
                    </a:solidFill>
                    <a:latin typeface="Arial" panose="020B0604020202020204" pitchFamily="7" charset="0"/>
                    <a:ea typeface="Calibri" panose="020F0502020204030204"/>
                    <a:cs typeface="Arial" panose="020B0604020202020204" pitchFamily="7" charset="0"/>
                  </a:defRPr>
                </a:pPr>
                <a:r>
                  <a:rPr lang="en-US" sz="1300">
                    <a:solidFill>
                      <a:sysClr val="windowText" lastClr="000000"/>
                    </a:solidFill>
                    <a:latin typeface="Arial" panose="020B0604020202020204" pitchFamily="7" charset="0"/>
                    <a:cs typeface="Arial" panose="020B0604020202020204" pitchFamily="7" charset="0"/>
                  </a:rPr>
                  <a:t>Load Current (mA)</a:t>
                </a:r>
                <a:endParaRPr lang="en-US" sz="1300">
                  <a:solidFill>
                    <a:sysClr val="windowText" lastClr="000000"/>
                  </a:solidFill>
                  <a:latin typeface="Arial" panose="020B0604020202020204" pitchFamily="7" charset="0"/>
                  <a:cs typeface="Arial" panose="020B0604020202020204" pitchFamily="7" charset="0"/>
                </a:endParaRPr>
              </a:p>
            </c:rich>
          </c:tx>
          <c:layout>
            <c:manualLayout>
              <c:xMode val="edge"/>
              <c:yMode val="edge"/>
              <c:x val="0.416253433437099"/>
              <c:y val="0.945719135737313"/>
            </c:manualLayout>
          </c:layout>
          <c:overlay val="0"/>
          <c:spPr>
            <a:noFill/>
            <a:ln w="25400">
              <a:noFill/>
            </a:ln>
          </c:spPr>
        </c:title>
        <c:numFmt formatCode="General" sourceLinked="0"/>
        <c:majorTickMark val="in"/>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crossAx val="184852864"/>
        <c:crosses val="autoZero"/>
        <c:crossBetween val="midCat"/>
      </c:valAx>
      <c:valAx>
        <c:axId val="184852864"/>
        <c:scaling>
          <c:orientation val="minMax"/>
          <c:max val="95"/>
          <c:min val="60"/>
        </c:scaling>
        <c:delete val="0"/>
        <c:axPos val="l"/>
        <c:majorGridlines>
          <c:spPr>
            <a:ln w="15875" cap="flat" cmpd="sng" algn="ctr">
              <a:solidFill>
                <a:srgbClr val="808080"/>
              </a:solidFill>
              <a:prstDash val="solid"/>
              <a:round/>
            </a:ln>
          </c:spPr>
        </c:majorGridlines>
        <c:minorGridlines/>
        <c:title>
          <c:tx>
            <c:rich>
              <a:bodyPr rot="-5400000" spcFirstLastPara="0" vertOverflow="ellipsis" vert="horz" wrap="square" anchor="ctr" anchorCtr="1"/>
              <a:lstStyle/>
              <a:p>
                <a:pPr>
                  <a:defRPr lang="zh-CN" sz="1400" b="1" i="0" u="none" strike="noStrike" kern="1200" baseline="0">
                    <a:solidFill>
                      <a:srgbClr val="FF0000"/>
                    </a:solidFill>
                    <a:latin typeface="Arial" panose="020B0604020202020204" pitchFamily="7" charset="0"/>
                    <a:ea typeface="Calibri" panose="020F0502020204030204"/>
                    <a:cs typeface="Arial" panose="020B0604020202020204" pitchFamily="7" charset="0"/>
                  </a:defRPr>
                </a:pPr>
                <a:r>
                  <a:rPr lang="en-US" sz="1400" b="1">
                    <a:solidFill>
                      <a:srgbClr val="FF0000"/>
                    </a:solidFill>
                    <a:latin typeface="Arial" panose="020B0604020202020204" pitchFamily="7" charset="0"/>
                    <a:cs typeface="Arial" panose="020B0604020202020204" pitchFamily="7" charset="0"/>
                  </a:rPr>
                  <a:t>Efficiency (%)</a:t>
                </a:r>
                <a:endParaRPr lang="en-US" sz="1400" b="1">
                  <a:solidFill>
                    <a:srgbClr val="FF0000"/>
                  </a:solidFill>
                  <a:latin typeface="Arial" panose="020B0604020202020204" pitchFamily="7" charset="0"/>
                  <a:cs typeface="Arial" panose="020B0604020202020204" pitchFamily="7" charset="0"/>
                </a:endParaRPr>
              </a:p>
            </c:rich>
          </c:tx>
          <c:layout>
            <c:manualLayout>
              <c:xMode val="edge"/>
              <c:yMode val="edge"/>
              <c:x val="0.0128718586740814"/>
              <c:y val="0.376381779156884"/>
            </c:manualLayout>
          </c:layout>
          <c:overlay val="0"/>
          <c:spPr>
            <a:noFill/>
            <a:ln w="25400">
              <a:noFill/>
            </a:ln>
          </c:spPr>
        </c:title>
        <c:numFmt formatCode="#,##0" sourceLinked="0"/>
        <c:majorTickMark val="out"/>
        <c:minorTickMark val="out"/>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rgbClr val="FF0000"/>
                </a:solidFill>
                <a:latin typeface="Arial" panose="020B0604020202020204" pitchFamily="7" charset="0"/>
                <a:ea typeface="Calibri" panose="020F0502020204030204"/>
                <a:cs typeface="Arial" panose="020B0604020202020204" pitchFamily="7" charset="0"/>
              </a:defRPr>
            </a:pPr>
          </a:p>
        </c:txPr>
        <c:crossAx val="184846592"/>
        <c:crossesAt val="0"/>
        <c:crossBetween val="midCat"/>
        <c:majorUnit val="5"/>
        <c:minorUnit val="2.5"/>
      </c:valAx>
      <c:valAx>
        <c:axId val="184861056"/>
        <c:scaling>
          <c:logBase val="10"/>
          <c:orientation val="minMax"/>
        </c:scaling>
        <c:delete val="1"/>
        <c:axPos val="b"/>
        <c:numFmt formatCode="0.000" sourceLinked="1"/>
        <c:majorTickMark val="out"/>
        <c:minorTickMark val="none"/>
        <c:tickLblPos val="nextTo"/>
        <c:txPr>
          <a:bodyPr rot="-60000000" spcFirstLastPara="0" vertOverflow="ellipsis" vert="horz" wrap="square" anchor="ctr" anchorCtr="1"/>
          <a:lstStyle/>
          <a:p>
            <a:pPr>
              <a:defRPr lang="zh-CN" sz="850" b="0" i="0" u="none" strike="noStrike" kern="1200" baseline="0">
                <a:solidFill>
                  <a:srgbClr val="000000"/>
                </a:solidFill>
                <a:latin typeface="Arial" panose="020B0604020202020204"/>
                <a:ea typeface="Arial" panose="020B0604020202020204"/>
                <a:cs typeface="Arial" panose="020B0604020202020204"/>
              </a:defRPr>
            </a:pPr>
          </a:p>
        </c:txPr>
        <c:crossAx val="184854784"/>
        <c:crosses val="autoZero"/>
        <c:crossBetween val="midCat"/>
      </c:valAx>
      <c:valAx>
        <c:axId val="184854784"/>
        <c:scaling>
          <c:orientation val="minMax"/>
        </c:scaling>
        <c:delete val="0"/>
        <c:axPos val="r"/>
        <c:title>
          <c:tx>
            <c:rich>
              <a:bodyPr rot="-5400000" spcFirstLastPara="0" vertOverflow="ellipsis" vert="horz" wrap="square" anchor="ctr" anchorCtr="1"/>
              <a:lstStyle/>
              <a:p>
                <a:pPr>
                  <a:defRPr lang="zh-CN" sz="1400" b="1" i="0" u="none" strike="noStrike" kern="1200" baseline="0">
                    <a:solidFill>
                      <a:srgbClr val="0000FF"/>
                    </a:solidFill>
                    <a:latin typeface="Arial" panose="020B0604020202020204"/>
                    <a:ea typeface="Arial" panose="020B0604020202020204"/>
                    <a:cs typeface="Arial" panose="020B0604020202020204"/>
                  </a:defRPr>
                </a:pPr>
                <a:r>
                  <a:rPr lang="en-US" sz="1400" b="1">
                    <a:solidFill>
                      <a:srgbClr val="0000FF"/>
                    </a:solidFill>
                  </a:rPr>
                  <a:t>Power Loss (mW)</a:t>
                </a:r>
                <a:endParaRPr lang="en-US" sz="1400" b="1">
                  <a:solidFill>
                    <a:srgbClr val="0000FF"/>
                  </a:solidFill>
                </a:endParaRPr>
              </a:p>
            </c:rich>
          </c:tx>
          <c:layout>
            <c:manualLayout>
              <c:xMode val="edge"/>
              <c:yMode val="edge"/>
              <c:x val="0.955635686881896"/>
              <c:y val="0.339889859222143"/>
            </c:manualLayout>
          </c:layout>
          <c:overlay val="0"/>
        </c:title>
        <c:numFmt formatCode="0" sourceLinked="0"/>
        <c:majorTickMark val="out"/>
        <c:minorTickMark val="none"/>
        <c:tickLblPos val="nextTo"/>
        <c:txPr>
          <a:bodyPr rot="-60000000" spcFirstLastPara="0" vertOverflow="ellipsis" vert="horz" wrap="square" anchor="ctr" anchorCtr="1"/>
          <a:lstStyle/>
          <a:p>
            <a:pPr>
              <a:defRPr lang="zh-CN" sz="1100" b="1" i="0" u="none" strike="noStrike" kern="1200" baseline="0">
                <a:solidFill>
                  <a:srgbClr val="0000FF"/>
                </a:solidFill>
                <a:latin typeface="Arial" panose="020B0604020202020204"/>
                <a:ea typeface="Arial" panose="020B0604020202020204"/>
                <a:cs typeface="Arial" panose="020B0604020202020204"/>
              </a:defRPr>
            </a:pPr>
          </a:p>
        </c:txPr>
        <c:crossAx val="184861056"/>
        <c:crosses val="max"/>
        <c:crossBetween val="midCat"/>
      </c:valAx>
      <c:spPr>
        <a:noFill/>
        <a:ln w="25400">
          <a:noFill/>
        </a:ln>
      </c:spPr>
    </c:plotArea>
    <c:legend>
      <c:legendPos val="t"/>
      <c:layout>
        <c:manualLayout>
          <c:xMode val="edge"/>
          <c:yMode val="edge"/>
          <c:x val="0.388665003447007"/>
          <c:y val="0.0118925461942344"/>
          <c:w val="0.611334996552993"/>
          <c:h val="0.0927900739680267"/>
        </c:manualLayout>
      </c:layout>
      <c:overlay val="0"/>
      <c:spPr>
        <a:solidFill>
          <a:srgbClr val="FFFFFF"/>
        </a:solidFill>
        <a:ln w="25400">
          <a:noFill/>
        </a:ln>
      </c:spPr>
      <c:txPr>
        <a:bodyPr rot="0" spcFirstLastPara="0" vertOverflow="ellipsis" vert="horz" wrap="square" anchor="ctr" anchorCtr="1"/>
        <a:lstStyle/>
        <a:p>
          <a:pPr>
            <a:defRPr lang="zh-CN" sz="1200" b="0"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ba717ef7-487f-472d-ac80-8720bb03a112}"/>
      </c:ext>
    </c:extLst>
  </c:chart>
  <c:spPr>
    <a:solidFill>
      <a:schemeClr val="bg1"/>
    </a:solidFill>
    <a:ln w="9525" cap="flat" cmpd="sng" algn="ctr">
      <a:solidFill>
        <a:srgbClr val="808080"/>
      </a:solid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zh-CN" sz="2070" b="0" i="0" u="none" strike="noStrike" kern="1200" baseline="0">
                <a:solidFill>
                  <a:srgbClr val="000000"/>
                </a:solidFill>
                <a:latin typeface="Arial" panose="020B0604020202020204"/>
                <a:ea typeface="Arial" panose="020B0604020202020204"/>
                <a:cs typeface="Arial" panose="020B0604020202020204"/>
              </a:defRPr>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
          <c:y val="0.0359066427289049"/>
        </c:manualLayout>
      </c:layout>
      <c:overlay val="0"/>
    </c:title>
    <c:autoTitleDeleted val="0"/>
    <c:plotArea>
      <c:layout>
        <c:manualLayout>
          <c:layoutTarget val="inner"/>
          <c:xMode val="edge"/>
          <c:yMode val="edge"/>
          <c:x val="0.0928442028985507"/>
          <c:y val="0.148216589622886"/>
          <c:w val="0.894429605139137"/>
          <c:h val="0.763824198815364"/>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layout/>
              <c:tx>
                <c:rich>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High-side MOSFET</a:t>
                    </a:r>
                    <a:endParaRPr lang="en-US"/>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Rdson</a:t>
                    </a:r>
                    <a:endParaRPr lang="en-US"/>
                  </a:p>
                </c:rich>
              </c:tx>
              <c:numFmt formatCode="General" sourceLinked="1"/>
              <c:spPr>
                <a:noFill/>
                <a:ln>
                  <a:noFill/>
                </a:ln>
                <a:effectLst/>
              </c:spPr>
              <c:txPr>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val>
            <c:numRef>
              <c:f>Parameters!$BA$108</c:f>
              <c:numCache>
                <c:formatCode>0.000%</c:formatCode>
                <c:ptCount val="1"/>
                <c:pt idx="0">
                  <c:v>0.0036409104085969</c:v>
                </c:pt>
              </c:numCache>
            </c:numRef>
          </c:val>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0.000920810313075506"/>
                  <c:y val="-0.00718132854578097"/>
                </c:manualLayout>
              </c:layout>
              <c:tx>
                <c:rich>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High-side MOSFET</a:t>
                    </a:r>
                    <a:endParaRPr lang="en-US"/>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Switching</a:t>
                    </a:r>
                    <a:endParaRPr lang="en-US"/>
                  </a:p>
                </c:rich>
              </c:tx>
              <c:numFmt formatCode="General" sourceLinked="1"/>
              <c:spPr>
                <a:noFill/>
                <a:ln>
                  <a:noFill/>
                </a:ln>
                <a:effectLst/>
              </c:spPr>
              <c:txPr>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extLst>
                <c:ext xmlns:c15="http://schemas.microsoft.com/office/drawing/2012/chart" uri="{CE6537A1-D6FC-4f65-9D91-7224C49458BB}">
                  <c15:layout/>
                </c:ext>
              </c:extLst>
            </c:dLbl>
            <c:spPr>
              <a:noFill/>
              <a:ln>
                <a:noFill/>
              </a:ln>
              <a:effectLst/>
            </c:spPr>
            <c:txPr>
              <a:bodyPr rot="0" spcFirstLastPara="0" vertOverflow="ellipsis" vert="horz" wrap="square" lIns="38100" tIns="19050" rIns="38100" bIns="19050"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Parameters!$BD$108</c:f>
              <c:numCache>
                <c:formatCode>0.000%</c:formatCode>
                <c:ptCount val="1"/>
                <c:pt idx="0">
                  <c:v>0.0045907837520612</c:v>
                </c:pt>
              </c:numCache>
            </c:numRef>
          </c:val>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layout/>
              <c:tx>
                <c:rich>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sz="1200" b="1"/>
                      <a:t>L</a:t>
                    </a:r>
                    <a:r>
                      <a:rPr lang="en-US" sz="1200"/>
                      <a:t>ow-side MOSFET</a:t>
                    </a:r>
                    <a:endParaRPr lang="en-US" sz="1200"/>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sz="1200"/>
                      <a:t>Rdson</a:t>
                    </a:r>
                    <a:endParaRPr lang="en-US" sz="1200"/>
                  </a:p>
                </c:rich>
              </c:tx>
              <c:numFmt formatCode="General" sourceLinked="1"/>
              <c:spPr>
                <a:noFill/>
                <a:ln>
                  <a:noFill/>
                </a:ln>
                <a:effectLst/>
              </c:spPr>
              <c:txPr>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1"/>
              <c:showCatName val="0"/>
              <c:showSerName val="1"/>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zh-CN" sz="1725" b="1"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1"/>
            <c:showCatName val="0"/>
            <c:showSerName val="1"/>
            <c:showPercent val="0"/>
            <c:showBubbleSize val="0"/>
            <c:showLeaderLines val="0"/>
            <c:extLst>
              <c:ext xmlns:c15="http://schemas.microsoft.com/office/drawing/2012/chart" uri="{CE6537A1-D6FC-4f65-9D91-7224C49458BB}">
                <c15:layout/>
                <c15:showLeaderLines val="0"/>
                <c15:leaderLines/>
              </c:ext>
            </c:extLst>
          </c:dLbls>
          <c:val>
            <c:numRef>
              <c:f>Parameters!$BB$108</c:f>
              <c:numCache>
                <c:formatCode>0.000%</c:formatCode>
                <c:ptCount val="1"/>
                <c:pt idx="0">
                  <c:v>0.00656922458411901</c:v>
                </c:pt>
              </c:numCache>
            </c:numRef>
          </c:val>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0.00957510472770797"/>
                </c:manualLayout>
              </c:layout>
              <c:tx>
                <c:rich>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Low-side MOSFET</a:t>
                    </a:r>
                    <a:endParaRPr lang="en-US"/>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Deadtime </a:t>
                    </a:r>
                    <a:endParaRPr lang="en-US"/>
                  </a:p>
                </c:rich>
              </c:tx>
              <c:numFmt formatCode="General" sourceLinked="1"/>
              <c:spPr>
                <a:noFill/>
                <a:ln>
                  <a:noFill/>
                </a:ln>
                <a:effectLst/>
              </c:spPr>
              <c:txPr>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extLst>
                <c:ext xmlns:c15="http://schemas.microsoft.com/office/drawing/2012/chart" uri="{CE6537A1-D6FC-4f65-9D91-7224C49458BB}">
                  <c15:layout/>
                </c:ext>
              </c:extLst>
            </c:dLbl>
            <c:spPr>
              <a:noFill/>
              <a:ln>
                <a:noFill/>
              </a:ln>
              <a:effectLst/>
            </c:spPr>
            <c:txPr>
              <a:bodyPr rot="0" spcFirstLastPara="0" vertOverflow="ellipsis" vert="horz" wrap="square" lIns="38100" tIns="19050" rIns="38100" bIns="19050"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val>
            <c:numRef>
              <c:f>Parameters!$BF$108</c:f>
              <c:numCache>
                <c:formatCode>0.000%</c:formatCode>
                <c:ptCount val="1"/>
                <c:pt idx="0">
                  <c:v>0.000737515794847654</c:v>
                </c:pt>
              </c:numCache>
            </c:numRef>
          </c:val>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layout/>
              <c:tx>
                <c:rich>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Gate Drive (Qg)</a:t>
                    </a:r>
                    <a:endParaRPr lang="en-US"/>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Loss</a:t>
                    </a:r>
                    <a:endParaRPr lang="en-US"/>
                  </a:p>
                </c:rich>
              </c:tx>
              <c:numFmt formatCode="General" sourceLinked="1"/>
              <c:spPr>
                <a:noFill/>
                <a:ln>
                  <a:noFill/>
                </a:ln>
                <a:effectLst/>
              </c:spPr>
              <c:txPr>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Parameters!$BC$108</c:f>
              <c:numCache>
                <c:formatCode>0.000%</c:formatCode>
                <c:ptCount val="1"/>
                <c:pt idx="0">
                  <c:v>0.0543946942056835</c:v>
                </c:pt>
              </c:numCache>
            </c:numRef>
          </c:val>
        </c:ser>
        <c:ser>
          <c:idx val="1"/>
          <c:order val="5"/>
          <c:tx>
            <c:strRef>
              <c:f>Parameters!$BE$5</c:f>
              <c:strCache>
                <c:ptCount val="1"/>
                <c:pt idx="0">
                  <c:v>Reverse Recovery &amp; Leakage Loss %</c:v>
                </c:pt>
              </c:strCache>
            </c:strRef>
          </c:tx>
          <c:invertIfNegative val="0"/>
          <c:dLbls>
            <c:dLbl>
              <c:idx val="0"/>
              <c:layout/>
              <c:tx>
                <c:rich>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sz="1200" b="1"/>
                      <a:t>Reverse Recovery</a:t>
                    </a:r>
                    <a:endParaRPr lang="en-US" sz="1200" b="1"/>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sz="1200" b="1"/>
                      <a:t>Loss</a:t>
                    </a:r>
                    <a:endParaRPr lang="en-US" sz="1200" b="1"/>
                  </a:p>
                </c:rich>
              </c:tx>
              <c:dLblPos val="outEnd"/>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showLeaderLines val="0"/>
            <c:extLst>
              <c:ext xmlns:c15="http://schemas.microsoft.com/office/drawing/2012/chart" uri="{CE6537A1-D6FC-4f65-9D91-7224C49458BB}">
                <c15:layout/>
                <c15:showLeaderLines val="0"/>
                <c15:leaderLines/>
              </c:ext>
            </c:extLst>
          </c:dLbls>
          <c:val>
            <c:numRef>
              <c:f>Parameters!$BE$108</c:f>
              <c:numCache>
                <c:formatCode>0.000%</c:formatCode>
                <c:ptCount val="1"/>
                <c:pt idx="0">
                  <c:v>0</c:v>
                </c:pt>
              </c:numCache>
            </c:numRef>
          </c:val>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layout/>
              <c:tx>
                <c:rich>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Inductor DCR</a:t>
                    </a:r>
                    <a:endParaRPr lang="en-US"/>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Loss</a:t>
                    </a:r>
                    <a:endParaRPr lang="en-US"/>
                  </a:p>
                </c:rich>
              </c:tx>
              <c:numFmt formatCode="General" sourceLinked="1"/>
              <c:spPr>
                <a:noFill/>
                <a:ln>
                  <a:noFill/>
                </a:ln>
                <a:effectLst/>
              </c:spPr>
              <c:txPr>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Parameters!$BG$108</c:f>
              <c:numCache>
                <c:formatCode>0.000%</c:formatCode>
                <c:ptCount val="1"/>
                <c:pt idx="0">
                  <c:v>0.00721512461803902</c:v>
                </c:pt>
              </c:numCache>
            </c:numRef>
          </c:val>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layout/>
              <c:tx>
                <c:rich>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Inductor Core</a:t>
                    </a:r>
                    <a:endParaRPr lang="en-US"/>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Loss</a:t>
                    </a:r>
                    <a:endParaRPr lang="en-US"/>
                  </a:p>
                </c:rich>
              </c:tx>
              <c:numFmt formatCode="General" sourceLinked="1"/>
              <c:spPr>
                <a:noFill/>
                <a:ln>
                  <a:noFill/>
                </a:ln>
                <a:effectLst/>
              </c:spPr>
              <c:txPr>
                <a:bodyPr rot="0" spcFirstLastPara="0" vertOverflow="ellipsis" vert="horz" wrap="square" lIns="38100" tIns="19050" rIns="38100" bIns="19050"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rot="0" spcFirstLastPara="0" vertOverflow="ellipsis" vert="horz" wrap="square" lIns="38100" tIns="19050" rIns="38100" bIns="19050"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Parameters!$BH$108</c:f>
              <c:numCache>
                <c:formatCode>0.000%</c:formatCode>
                <c:ptCount val="1"/>
                <c:pt idx="0">
                  <c:v>0.0149291203526308</c:v>
                </c:pt>
              </c:numCache>
            </c:numRef>
          </c:val>
        </c:ser>
        <c:ser>
          <c:idx val="0"/>
          <c:order val="8"/>
          <c:tx>
            <c:strRef>
              <c:f>Parameters!$BJ$5</c:f>
              <c:strCache>
                <c:ptCount val="1"/>
                <c:pt idx="0">
                  <c:v>Quiescent Current Loss %</c:v>
                </c:pt>
              </c:strCache>
            </c:strRef>
          </c:tx>
          <c:invertIfNegative val="0"/>
          <c:dLbls>
            <c:dLbl>
              <c:idx val="0"/>
              <c:layout/>
              <c:tx>
                <c:rich>
                  <a:bodyPr rot="0" spcFirstLastPara="0" vertOverflow="ellipsis" vert="horz" wrap="square" lIns="38100" tIns="19050" rIns="38100" bIns="19050" anchor="ctr" anchorCtr="0"/>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Quiescent Current</a:t>
                    </a:r>
                    <a:endParaRPr lang="en-US"/>
                  </a:p>
                  <a:p>
                    <a:pPr>
                      <a:defRPr lang="zh-CN" sz="1725" b="0" i="0" u="none" strike="noStrike" kern="1200" baseline="0">
                        <a:solidFill>
                          <a:srgbClr val="000000"/>
                        </a:solidFill>
                        <a:latin typeface="Arial" panose="020B0604020202020204"/>
                        <a:ea typeface="Arial" panose="020B0604020202020204"/>
                        <a:cs typeface="Arial" panose="020B0604020202020204"/>
                      </a:defRPr>
                    </a:pPr>
                    <a:r>
                      <a:rPr lang="en-US"/>
                      <a:t>Loss </a:t>
                    </a:r>
                    <a:endParaRPr lang="en-US"/>
                  </a:p>
                </c:rich>
              </c:tx>
              <c:numFmt formatCode="0.0E+00" sourceLinked="0"/>
              <c:spPr>
                <a:noFill/>
                <a:ln>
                  <a:noFill/>
                </a:ln>
                <a:effectLst/>
              </c:spPr>
              <c:txPr>
                <a:bodyPr rot="0" spcFirstLastPara="0" vertOverflow="ellipsis" vert="horz" wrap="square" lIns="38100" tIns="19050" rIns="38100" bIns="19050" anchor="ctr" anchorCtr="0"/>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1"/>
              <c:showPercent val="0"/>
              <c:showBubbleSize val="0"/>
              <c:extLst>
                <c:ext xmlns:c15="http://schemas.microsoft.com/office/drawing/2012/chart" uri="{CE6537A1-D6FC-4f65-9D91-7224C49458BB}"/>
              </c:extLst>
            </c:dLbl>
            <c:numFmt formatCode="0.0E+00" sourceLinked="0"/>
            <c:spPr>
              <a:noFill/>
              <a:ln>
                <a:noFill/>
              </a:ln>
              <a:effectLst/>
            </c:spPr>
            <c:txPr>
              <a:bodyPr rot="0" spcFirstLastPara="0" vertOverflow="ellipsis" vert="horz" wrap="square" lIns="38100" tIns="19050" rIns="38100" bIns="19050" anchor="ctr" anchorCtr="0"/>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p>
            </c:txPr>
            <c:dLblPos val="outEnd"/>
            <c:showLegendKey val="0"/>
            <c:showVal val="0"/>
            <c:showCatName val="0"/>
            <c:showSerName val="0"/>
            <c:showPercent val="0"/>
            <c:showBubbleSize val="0"/>
            <c:showLeaderLines val="0"/>
            <c:extLst>
              <c:ext xmlns:c15="http://schemas.microsoft.com/office/drawing/2012/chart" uri="{CE6537A1-D6FC-4f65-9D91-7224C49458BB}">
                <c15:layout/>
                <c15:showLeaderLines val="0"/>
                <c15:leaderLines/>
              </c:ext>
            </c:extLst>
          </c:dLbls>
          <c:val>
            <c:numRef>
              <c:f>Parameters!$BJ$108</c:f>
              <c:numCache>
                <c:formatCode>0.000%</c:formatCode>
                <c:ptCount val="1"/>
                <c:pt idx="0">
                  <c:v>0.0825515062288752</c:v>
                </c:pt>
              </c:numCache>
            </c:numRef>
          </c:val>
        </c:ser>
        <c:dLbls>
          <c:showLegendKey val="0"/>
          <c:showVal val="0"/>
          <c:showCatName val="0"/>
          <c:showSerName val="0"/>
          <c:showPercent val="0"/>
          <c:showBubbleSize val="0"/>
        </c:dLbls>
        <c:gapWidth val="101"/>
        <c:overlap val="-70"/>
        <c:axId val="185166848"/>
        <c:axId val="185189120"/>
      </c:barChart>
      <c:catAx>
        <c:axId val="185166848"/>
        <c:scaling>
          <c:orientation val="minMax"/>
        </c:scaling>
        <c:delete val="0"/>
        <c:axPos val="b"/>
        <c:numFmt formatCode="General" sourceLinked="1"/>
        <c:majorTickMark val="none"/>
        <c:minorTickMark val="none"/>
        <c:tickLblPos val="none"/>
        <c:spPr>
          <a:ln w="3175" cap="flat" cmpd="sng" algn="ctr">
            <a:solidFill>
              <a:srgbClr val="000000"/>
            </a:solidFill>
            <a:prstDash val="solid"/>
            <a:round/>
          </a:ln>
        </c:spPr>
        <c:txPr>
          <a:bodyPr rot="0" spcFirstLastPara="0" vertOverflow="ellipsis" vert="horz" wrap="square"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crossAx val="185189120"/>
        <c:crossesAt val="0"/>
        <c:auto val="1"/>
        <c:lblAlgn val="ctr"/>
        <c:lblOffset val="100"/>
        <c:noMultiLvlLbl val="0"/>
      </c:catAx>
      <c:valAx>
        <c:axId val="185189120"/>
        <c:scaling>
          <c:orientation val="minMax"/>
          <c:min val="0"/>
        </c:scaling>
        <c:delete val="0"/>
        <c:axPos val="l"/>
        <c:majorGridlines>
          <c:spPr>
            <a:ln w="9525" cap="flat" cmpd="sng" algn="ctr">
              <a:solidFill>
                <a:schemeClr val="tx1">
                  <a:tint val="75000"/>
                  <a:shade val="95000"/>
                  <a:satMod val="105000"/>
                </a:schemeClr>
              </a:solidFill>
              <a:prstDash val="lgDash"/>
              <a:round/>
            </a:ln>
          </c:spPr>
        </c:majorGridlines>
        <c:title>
          <c:tx>
            <c:rich>
              <a:bodyPr rot="-5400000" spcFirstLastPara="0" vertOverflow="ellipsis" vert="horz" wrap="square" anchor="ctr" anchorCtr="1"/>
              <a:lstStyle/>
              <a:p>
                <a:pPr>
                  <a:defRPr lang="zh-CN" sz="1725" b="1" i="0" u="none" strike="noStrike" kern="1200" baseline="0">
                    <a:solidFill>
                      <a:srgbClr val="000000"/>
                    </a:solidFill>
                    <a:latin typeface="Arial" panose="020B0604020202020204"/>
                    <a:ea typeface="Arial" panose="020B0604020202020204"/>
                    <a:cs typeface="Arial" panose="020B0604020202020204"/>
                  </a:defRPr>
                </a:pPr>
                <a:r>
                  <a:rPr lang="en-US" b="1"/>
                  <a:t>Loss</a:t>
                </a:r>
                <a:r>
                  <a:rPr lang="en-US" b="1" baseline="0"/>
                  <a:t> Contributors</a:t>
                </a:r>
                <a:endParaRPr lang="en-US" b="1"/>
              </a:p>
            </c:rich>
          </c:tx>
          <c:layout>
            <c:manualLayout>
              <c:xMode val="edge"/>
              <c:yMode val="edge"/>
              <c:x val="0.0099337306593582"/>
              <c:y val="0.302109444577956"/>
            </c:manualLayout>
          </c:layout>
          <c:overlay val="0"/>
        </c:title>
        <c:numFmt formatCode="0.0%" sourceLinked="0"/>
        <c:majorTickMark val="out"/>
        <c:minorTickMark val="out"/>
        <c:tickLblPos val="low"/>
        <c:txPr>
          <a:bodyPr rot="-60000000" spcFirstLastPara="0" vertOverflow="ellipsis" vert="horz" wrap="square" anchor="ctr" anchorCtr="1"/>
          <a:lstStyle/>
          <a:p>
            <a:pPr>
              <a:defRPr lang="zh-CN" sz="1725" b="0" i="0" u="none" strike="noStrike" kern="1200" baseline="0">
                <a:solidFill>
                  <a:srgbClr val="000000"/>
                </a:solidFill>
                <a:latin typeface="Arial" panose="020B0604020202020204"/>
                <a:ea typeface="Arial" panose="020B0604020202020204"/>
                <a:cs typeface="Arial" panose="020B0604020202020204"/>
              </a:defRPr>
            </a:pPr>
          </a:p>
        </c:txPr>
        <c:crossAx val="185166848"/>
        <c:crosses val="autoZero"/>
        <c:crossBetween val="between"/>
      </c:valAx>
      <c:spPr>
        <a:solidFill>
          <a:schemeClr val="bg1">
            <a:lumMod val="95000"/>
          </a:schemeClr>
        </a:solidFill>
        <a:ln w="25400">
          <a:noFill/>
        </a:ln>
      </c:spPr>
    </c:plotArea>
    <c:plotVisOnly val="1"/>
    <c:dispBlanksAs val="zero"/>
    <c:showDLblsOverMax val="0"/>
    <c:extLst>
      <c:ext uri="{0b15fc19-7d7d-44ad-8c2d-2c3a37ce22c3}">
        <chartProps xmlns="https://web.wps.cn/et/2018/main" chartId="{60647a5e-864b-4f44-aab0-5edc1552a2ac}"/>
      </c:ext>
    </c:extLst>
  </c:chart>
  <c:spPr>
    <a:solidFill>
      <a:srgbClr val="FFFFFF"/>
    </a:solidFill>
    <a:ln w="3175" cap="flat" cmpd="sng" algn="ctr">
      <a:noFill/>
      <a:prstDash val="solid"/>
      <a:round/>
    </a:ln>
  </c:spPr>
  <c:txPr>
    <a:bodyPr/>
    <a:lstStyle/>
    <a:p>
      <a:pPr>
        <a:defRPr lang="zh-CN" sz="1725"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72807431329148"/>
          <c:y val="0.121335233430015"/>
          <c:w val="0.806709362942535"/>
          <c:h val="0.755898026893831"/>
        </c:manualLayout>
      </c:layout>
      <c:lineChart>
        <c:grouping val="standard"/>
        <c:varyColors val="0"/>
        <c:ser>
          <c:idx val="1"/>
          <c:order val="0"/>
          <c:tx>
            <c:strRef>
              <c:f>"VIN-min"</c:f>
              <c:strCache>
                <c:ptCount val="1"/>
                <c:pt idx="0">
                  <c:v>VIN-min</c:v>
                </c:pt>
              </c:strCache>
            </c:strRef>
          </c:tx>
          <c:spPr>
            <a:ln w="19050" cap="rnd" cmpd="sng" algn="ctr">
              <a:solidFill>
                <a:srgbClr val="00B050"/>
              </a:solidFill>
              <a:prstDash val="lgDash"/>
              <a:round/>
            </a:ln>
          </c:spPr>
          <c:marker>
            <c:symbol val="none"/>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Single'!$AN$110:$AN$210</c:f>
              <c:numCache>
                <c:formatCode>0.0</c:formatCode>
                <c:ptCount val="101"/>
                <c:pt idx="0">
                  <c:v>12</c:v>
                </c:pt>
                <c:pt idx="1">
                  <c:v>81.7777777777778</c:v>
                </c:pt>
                <c:pt idx="2">
                  <c:v>163.555555555556</c:v>
                </c:pt>
                <c:pt idx="3">
                  <c:v>245.333333333333</c:v>
                </c:pt>
                <c:pt idx="4">
                  <c:v>327.111111111111</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337.361228736252</c:v>
                </c:pt>
                <c:pt idx="19">
                  <c:v>319.605374592239</c:v>
                </c:pt>
                <c:pt idx="20">
                  <c:v>303.625105862627</c:v>
                </c:pt>
                <c:pt idx="21">
                  <c:v>289.166767488216</c:v>
                </c:pt>
                <c:pt idx="22">
                  <c:v>276.022823511479</c:v>
                </c:pt>
                <c:pt idx="23">
                  <c:v>264.021831184893</c:v>
                </c:pt>
                <c:pt idx="24">
                  <c:v>253.020921552189</c:v>
                </c:pt>
                <c:pt idx="25">
                  <c:v>242.900084690101</c:v>
                </c:pt>
                <c:pt idx="26">
                  <c:v>233.557773740482</c:v>
                </c:pt>
                <c:pt idx="27">
                  <c:v>224.907485824168</c:v>
                </c:pt>
                <c:pt idx="28">
                  <c:v>216.875075616162</c:v>
                </c:pt>
                <c:pt idx="29">
                  <c:v>209.396624732846</c:v>
                </c:pt>
                <c:pt idx="30">
                  <c:v>202.416737241751</c:v>
                </c:pt>
                <c:pt idx="31">
                  <c:v>195.887165072662</c:v>
                </c:pt>
                <c:pt idx="32">
                  <c:v>189.765691164142</c:v>
                </c:pt>
                <c:pt idx="33">
                  <c:v>184.015215674319</c:v>
                </c:pt>
                <c:pt idx="34">
                  <c:v>178.603003448604</c:v>
                </c:pt>
                <c:pt idx="35">
                  <c:v>173.50006049293</c:v>
                </c:pt>
                <c:pt idx="36">
                  <c:v>168.680614368126</c:v>
                </c:pt>
                <c:pt idx="37">
                  <c:v>164.121678844663</c:v>
                </c:pt>
                <c:pt idx="38">
                  <c:v>159.802687296119</c:v>
                </c:pt>
                <c:pt idx="39">
                  <c:v>155.705182493655</c:v>
                </c:pt>
                <c:pt idx="40">
                  <c:v>151.812552931313</c:v>
                </c:pt>
                <c:pt idx="41">
                  <c:v>148.109807737867</c:v>
                </c:pt>
                <c:pt idx="42">
                  <c:v>145.066135050434</c:v>
                </c:pt>
                <c:pt idx="43">
                  <c:v>142.292619004003</c:v>
                </c:pt>
                <c:pt idx="44">
                  <c:v>139.529235029606</c:v>
                </c:pt>
                <c:pt idx="45">
                  <c:v>136.77650900792</c:v>
                </c:pt>
                <c:pt idx="46">
                  <c:v>134.034998854272</c:v>
                </c:pt>
                <c:pt idx="47">
                  <c:v>131.305296481979</c:v>
                </c:pt>
                <c:pt idx="48">
                  <c:v>128.588029844979</c:v>
                </c:pt>
                <c:pt idx="49">
                  <c:v>125.883865051641</c:v>
                </c:pt>
                <c:pt idx="50">
                  <c:v>123.193508538308</c:v>
                </c:pt>
                <c:pt idx="51">
                  <c:v>120.517709287127</c:v>
                </c:pt>
                <c:pt idx="52">
                  <c:v>117.857261067909</c:v>
                </c:pt>
                <c:pt idx="53">
                  <c:v>115.213004678112</c:v>
                </c:pt>
                <c:pt idx="54">
                  <c:v>112.58583014839</c:v>
                </c:pt>
                <c:pt idx="55">
                  <c:v>109.976678873485</c:v>
                </c:pt>
                <c:pt idx="56">
                  <c:v>107.386545619428</c:v>
                </c:pt>
                <c:pt idx="57">
                  <c:v>104.816480348172</c:v>
                </c:pt>
                <c:pt idx="58">
                  <c:v>102.267589789729</c:v>
                </c:pt>
                <c:pt idx="59">
                  <c:v>99.7410386799792</c:v>
                </c:pt>
                <c:pt idx="60">
                  <c:v>97.2380505695766</c:v>
                </c:pt>
                <c:pt idx="61">
                  <c:v>94.7599080962416</c:v>
                </c:pt>
                <c:pt idx="62">
                  <c:v>92.3079525997112</c:v>
                </c:pt>
                <c:pt idx="63">
                  <c:v>89.8835829463691</c:v>
                </c:pt>
                <c:pt idx="64">
                  <c:v>87.4882534201017</c:v>
                </c:pt>
                <c:pt idx="65">
                  <c:v>85.1234705283589</c:v>
                </c:pt>
                <c:pt idx="66">
                  <c:v>82.7907885692053</c:v>
                </c:pt>
                <c:pt idx="67">
                  <c:v>80.4918038079645</c:v>
                </c:pt>
                <c:pt idx="68">
                  <c:v>78.2281471227336</c:v>
                </c:pt>
                <c:pt idx="69">
                  <c:v>76.0014749984314</c:v>
                </c:pt>
                <c:pt idx="70">
                  <c:v>73.8134587809182</c:v>
                </c:pt>
                <c:pt idx="71">
                  <c:v>71.6657721474867</c:v>
                </c:pt>
                <c:pt idx="72">
                  <c:v>69.5600768084559</c:v>
                </c:pt>
                <c:pt idx="73">
                  <c:v>67.4980065265124</c:v>
                </c:pt>
                <c:pt idx="74">
                  <c:v>65.4811496243713</c:v>
                </c:pt>
                <c:pt idx="75">
                  <c:v>63.5110302442335</c:v>
                </c:pt>
                <c:pt idx="76">
                  <c:v>61.589088719652</c:v>
                </c:pt>
                <c:pt idx="77">
                  <c:v>59.7166615153661</c:v>
                </c:pt>
                <c:pt idx="78">
                  <c:v>57.8949612756164</c:v>
                </c:pt>
                <c:pt idx="79">
                  <c:v>56.1250575878335</c:v>
                </c:pt>
                <c:pt idx="80">
                  <c:v>54.4078591079233</c:v>
                </c:pt>
                <c:pt idx="81">
                  <c:v>52.7440976983454</c:v>
                </c:pt>
                <c:pt idx="82">
                  <c:v>51.1343151958368</c:v>
                </c:pt>
                <c:pt idx="83">
                  <c:v>49.5788533503368</c:v>
                </c:pt>
                <c:pt idx="84">
                  <c:v>48.0778473628083</c:v>
                </c:pt>
                <c:pt idx="85">
                  <c:v>46.6312233037641</c:v>
                </c:pt>
                <c:pt idx="86">
                  <c:v>45.2386995266019</c:v>
                </c:pt>
                <c:pt idx="87">
                  <c:v>43.8997920131711</c:v>
                </c:pt>
                <c:pt idx="88">
                  <c:v>42.6138234172403</c:v>
                </c:pt>
                <c:pt idx="89">
                  <c:v>41.3799354180532</c:v>
                </c:pt>
                <c:pt idx="90">
                  <c:v>40.1971038720364</c:v>
                </c:pt>
                <c:pt idx="91">
                  <c:v>39.0641561636873</c:v>
                </c:pt>
                <c:pt idx="92">
                  <c:v>37.9797901102965</c:v>
                </c:pt>
                <c:pt idx="93">
                  <c:v>36.9425937689902</c:v>
                </c:pt>
                <c:pt idx="94">
                  <c:v>35.9510655244929</c:v>
                </c:pt>
                <c:pt idx="95">
                  <c:v>35.0036338953085</c:v>
                </c:pt>
                <c:pt idx="96">
                  <c:v>34.0986765764219</c:v>
                </c:pt>
                <c:pt idx="97">
                  <c:v>33.2345383294979</c:v>
                </c:pt>
                <c:pt idx="98">
                  <c:v>32.4095474287799</c:v>
                </c:pt>
                <c:pt idx="99">
                  <c:v>31.622030465611</c:v>
                </c:pt>
                <c:pt idx="100">
                  <c:v>30.8703254014481</c:v>
                </c:pt>
              </c:numCache>
            </c:numRef>
          </c:val>
          <c:smooth val="0"/>
        </c:ser>
        <c:ser>
          <c:idx val="0"/>
          <c:order val="1"/>
          <c:tx>
            <c:strRef>
              <c:f>"VIN-nom"</c:f>
              <c:strCache>
                <c:ptCount val="1"/>
                <c:pt idx="0">
                  <c:v>VIN-nom</c:v>
                </c:pt>
              </c:strCache>
            </c:strRef>
          </c:tx>
          <c:spPr>
            <a:ln w="19050" cap="rnd" cmpd="sng" algn="ctr">
              <a:solidFill>
                <a:srgbClr val="FF0000"/>
              </a:solidFill>
              <a:prstDash val="lgDash"/>
              <a:round/>
            </a:ln>
          </c:spPr>
          <c:marker>
            <c:symbol val="none"/>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Single'!$AN$5:$AN$105</c:f>
              <c:numCache>
                <c:formatCode>0.0</c:formatCode>
                <c:ptCount val="101"/>
                <c:pt idx="0">
                  <c:v>12</c:v>
                </c:pt>
                <c:pt idx="1">
                  <c:v>81.7777777777778</c:v>
                </c:pt>
                <c:pt idx="2">
                  <c:v>163.555555555556</c:v>
                </c:pt>
                <c:pt idx="3">
                  <c:v>245.333333333333</c:v>
                </c:pt>
                <c:pt idx="4">
                  <c:v>327.111111111111</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334.670448613758</c:v>
                </c:pt>
                <c:pt idx="23">
                  <c:v>320.119559543594</c:v>
                </c:pt>
                <c:pt idx="24">
                  <c:v>306.781244562611</c:v>
                </c:pt>
                <c:pt idx="25">
                  <c:v>294.509994780107</c:v>
                </c:pt>
                <c:pt idx="26">
                  <c:v>283.182687288564</c:v>
                </c:pt>
                <c:pt idx="27">
                  <c:v>272.69443961121</c:v>
                </c:pt>
                <c:pt idx="28">
                  <c:v>262.955352482238</c:v>
                </c:pt>
                <c:pt idx="29">
                  <c:v>253.887926534575</c:v>
                </c:pt>
                <c:pt idx="30">
                  <c:v>245.424995650089</c:v>
                </c:pt>
                <c:pt idx="31">
                  <c:v>237.508060306537</c:v>
                </c:pt>
                <c:pt idx="32">
                  <c:v>230.085933421958</c:v>
                </c:pt>
                <c:pt idx="33">
                  <c:v>223.113632409171</c:v>
                </c:pt>
                <c:pt idx="34">
                  <c:v>216.551466750078</c:v>
                </c:pt>
                <c:pt idx="35">
                  <c:v>210.36428198579</c:v>
                </c:pt>
                <c:pt idx="36">
                  <c:v>204.520829708407</c:v>
                </c:pt>
                <c:pt idx="37">
                  <c:v>198.993239716288</c:v>
                </c:pt>
                <c:pt idx="38">
                  <c:v>193.756575513228</c:v>
                </c:pt>
                <c:pt idx="39">
                  <c:v>188.788458192376</c:v>
                </c:pt>
                <c:pt idx="40">
                  <c:v>184.068746737567</c:v>
                </c:pt>
                <c:pt idx="41">
                  <c:v>179.579265109821</c:v>
                </c:pt>
                <c:pt idx="42">
                  <c:v>175.303568321492</c:v>
                </c:pt>
                <c:pt idx="43">
                  <c:v>171.226741151225</c:v>
                </c:pt>
                <c:pt idx="44">
                  <c:v>167.335224306879</c:v>
                </c:pt>
                <c:pt idx="45">
                  <c:v>163.616663766726</c:v>
                </c:pt>
                <c:pt idx="46">
                  <c:v>160.153769874493</c:v>
                </c:pt>
                <c:pt idx="47">
                  <c:v>156.835826408568</c:v>
                </c:pt>
                <c:pt idx="48">
                  <c:v>153.530825936459</c:v>
                </c:pt>
                <c:pt idx="49">
                  <c:v>150.239497877419</c:v>
                </c:pt>
                <c:pt idx="50">
                  <c:v>146.962620016233</c:v>
                </c:pt>
                <c:pt idx="51">
                  <c:v>143.701021740504</c:v>
                </c:pt>
                <c:pt idx="52">
                  <c:v>140.455587422432</c:v>
                </c:pt>
                <c:pt idx="53">
                  <c:v>137.227259929708</c:v>
                </c:pt>
                <c:pt idx="54">
                  <c:v>134.017044243099</c:v>
                </c:pt>
                <c:pt idx="55">
                  <c:v>130.826011149686</c:v>
                </c:pt>
                <c:pt idx="56">
                  <c:v>127.655300970322</c:v>
                </c:pt>
                <c:pt idx="57">
                  <c:v>124.506127267385</c:v>
                </c:pt>
                <c:pt idx="58">
                  <c:v>121.379780464109</c:v>
                </c:pt>
                <c:pt idx="59">
                  <c:v>118.277631289599</c:v>
                </c:pt>
                <c:pt idx="60">
                  <c:v>115.201133943817</c:v>
                </c:pt>
                <c:pt idx="61">
                  <c:v>112.151828854484</c:v>
                </c:pt>
                <c:pt idx="62">
                  <c:v>109.131344873147</c:v>
                </c:pt>
                <c:pt idx="63">
                  <c:v>106.141400730993</c:v>
                </c:pt>
                <c:pt idx="64">
                  <c:v>103.183805547249</c:v>
                </c:pt>
                <c:pt idx="65">
                  <c:v>100.260458155202</c:v>
                </c:pt>
                <c:pt idx="66">
                  <c:v>97.373344984947</c:v>
                </c:pt>
                <c:pt idx="67">
                  <c:v>94.5245362201117</c:v>
                </c:pt>
                <c:pt idx="68">
                  <c:v>91.7161799310827</c:v>
                </c:pt>
                <c:pt idx="69">
                  <c:v>88.950493883371</c:v>
                </c:pt>
                <c:pt idx="70">
                  <c:v>86.2297547309475</c:v>
                </c:pt>
                <c:pt idx="71">
                  <c:v>83.5562843352931</c:v>
                </c:pt>
                <c:pt idx="72">
                  <c:v>80.9324330061623</c:v>
                </c:pt>
                <c:pt idx="73">
                  <c:v>78.3605595436574</c:v>
                </c:pt>
                <c:pt idx="74">
                  <c:v>75.8430080758229</c:v>
                </c:pt>
                <c:pt idx="75">
                  <c:v>73.3820818319491</c:v>
                </c:pt>
                <c:pt idx="76">
                  <c:v>70.9800141662541</c:v>
                </c:pt>
                <c:pt idx="77">
                  <c:v>68.638937342624</c:v>
                </c:pt>
                <c:pt idx="78">
                  <c:v>66.3608497970291</c:v>
                </c:pt>
                <c:pt idx="79">
                  <c:v>64.1475827940186</c:v>
                </c:pt>
                <c:pt idx="80">
                  <c:v>62.0007675675753</c:v>
                </c:pt>
                <c:pt idx="81">
                  <c:v>59.9218041631016</c:v>
                </c:pt>
                <c:pt idx="82">
                  <c:v>57.911833255847</c:v>
                </c:pt>
                <c:pt idx="83">
                  <c:v>55.9717121952994</c:v>
                </c:pt>
                <c:pt idx="84">
                  <c:v>54.1019964060761</c:v>
                </c:pt>
                <c:pt idx="85">
                  <c:v>52.3029270648237</c:v>
                </c:pt>
                <c:pt idx="86">
                  <c:v>50.5744256819207</c:v>
                </c:pt>
                <c:pt idx="87">
                  <c:v>48.9160958693191</c:v>
                </c:pt>
                <c:pt idx="88">
                  <c:v>47.3272322024056</c:v>
                </c:pt>
                <c:pt idx="89">
                  <c:v>45.8068357188712</c:v>
                </c:pt>
                <c:pt idx="90">
                  <c:v>44.3536352744987</c:v>
                </c:pt>
                <c:pt idx="91">
                  <c:v>42.9661137218944</c:v>
                </c:pt>
                <c:pt idx="92">
                  <c:v>41.6425377114466</c:v>
                </c:pt>
                <c:pt idx="93">
                  <c:v>40.3809898410412</c:v>
                </c:pt>
                <c:pt idx="94">
                  <c:v>39.1794018982719</c:v>
                </c:pt>
                <c:pt idx="95">
                  <c:v>38.035588033122</c:v>
                </c:pt>
                <c:pt idx="96">
                  <c:v>36.9472768515286</c:v>
                </c:pt>
                <c:pt idx="97">
                  <c:v>35.9121416094495</c:v>
                </c:pt>
                <c:pt idx="98">
                  <c:v>34.9278278921266</c:v>
                </c:pt>
                <c:pt idx="99">
                  <c:v>33.9919783660548</c:v>
                </c:pt>
                <c:pt idx="100">
                  <c:v>33.1022543777732</c:v>
                </c:pt>
              </c:numCache>
            </c:numRef>
          </c:val>
          <c:smooth val="0"/>
        </c:ser>
        <c:ser>
          <c:idx val="2"/>
          <c:order val="2"/>
          <c:tx>
            <c:strRef>
              <c:f>"VIN-max"</c:f>
              <c:strCache>
                <c:ptCount val="1"/>
                <c:pt idx="0">
                  <c:v>VIN-max</c:v>
                </c:pt>
              </c:strCache>
            </c:strRef>
          </c:tx>
          <c:spPr>
            <a:ln w="19050" cap="rnd" cmpd="sng" algn="ctr">
              <a:solidFill>
                <a:srgbClr val="0000FF"/>
              </a:solidFill>
              <a:prstDash val="lgDash"/>
              <a:round/>
            </a:ln>
          </c:spPr>
          <c:marker>
            <c:symbol val="none"/>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Single'!$AN$216:$AN$316</c:f>
              <c:numCache>
                <c:formatCode>0.0</c:formatCode>
                <c:ptCount val="101"/>
                <c:pt idx="0">
                  <c:v>12</c:v>
                </c:pt>
                <c:pt idx="1">
                  <c:v>81.7777777777778</c:v>
                </c:pt>
                <c:pt idx="2">
                  <c:v>163.555555555556</c:v>
                </c:pt>
                <c:pt idx="3">
                  <c:v>245.333333333333</c:v>
                </c:pt>
                <c:pt idx="4">
                  <c:v>327.111111111111</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342.15323663663</c:v>
                </c:pt>
                <c:pt idx="26">
                  <c:v>328.99349676599</c:v>
                </c:pt>
                <c:pt idx="27">
                  <c:v>316.808552441324</c:v>
                </c:pt>
                <c:pt idx="28">
                  <c:v>305.493961282705</c:v>
                </c:pt>
                <c:pt idx="29">
                  <c:v>294.959686755715</c:v>
                </c:pt>
                <c:pt idx="30">
                  <c:v>285.127697197191</c:v>
                </c:pt>
                <c:pt idx="31">
                  <c:v>275.930029545669</c:v>
                </c:pt>
                <c:pt idx="32">
                  <c:v>267.307216122367</c:v>
                </c:pt>
                <c:pt idx="33">
                  <c:v>259.206997451992</c:v>
                </c:pt>
                <c:pt idx="34">
                  <c:v>251.583262232816</c:v>
                </c:pt>
                <c:pt idx="35">
                  <c:v>244.395169026164</c:v>
                </c:pt>
                <c:pt idx="36">
                  <c:v>237.606414330993</c:v>
                </c:pt>
                <c:pt idx="37">
                  <c:v>231.184619349074</c:v>
                </c:pt>
                <c:pt idx="38">
                  <c:v>225.10081357673</c:v>
                </c:pt>
                <c:pt idx="39">
                  <c:v>219.328997843993</c:v>
                </c:pt>
                <c:pt idx="40">
                  <c:v>213.845772897893</c:v>
                </c:pt>
                <c:pt idx="41">
                  <c:v>208.630022339408</c:v>
                </c:pt>
                <c:pt idx="42">
                  <c:v>203.662640855137</c:v>
                </c:pt>
                <c:pt idx="43">
                  <c:v>198.926300370133</c:v>
                </c:pt>
                <c:pt idx="44">
                  <c:v>194.405248088994</c:v>
                </c:pt>
                <c:pt idx="45">
                  <c:v>190.085131464794</c:v>
                </c:pt>
                <c:pt idx="46">
                  <c:v>185.952845998168</c:v>
                </c:pt>
                <c:pt idx="47">
                  <c:v>181.996402466292</c:v>
                </c:pt>
                <c:pt idx="48">
                  <c:v>178.204810748245</c:v>
                </c:pt>
                <c:pt idx="49">
                  <c:v>174.567977875831</c:v>
                </c:pt>
                <c:pt idx="50">
                  <c:v>170.718321020283</c:v>
                </c:pt>
                <c:pt idx="51">
                  <c:v>166.869283396102</c:v>
                </c:pt>
                <c:pt idx="52">
                  <c:v>163.037034527804</c:v>
                </c:pt>
                <c:pt idx="53">
                  <c:v>159.222599201069</c:v>
                </c:pt>
                <c:pt idx="54">
                  <c:v>155.427075354107</c:v>
                </c:pt>
                <c:pt idx="55">
                  <c:v>151.651639257558</c:v>
                </c:pt>
                <c:pt idx="56">
                  <c:v>147.897550912613</c:v>
                </c:pt>
                <c:pt idx="57">
                  <c:v>144.166159628966</c:v>
                </c:pt>
                <c:pt idx="58">
                  <c:v>140.458909728006</c:v>
                </c:pt>
                <c:pt idx="59">
                  <c:v>136.777346296769</c:v>
                </c:pt>
                <c:pt idx="60">
                  <c:v>133.123120894031</c:v>
                </c:pt>
                <c:pt idx="61">
                  <c:v>129.497997081076</c:v>
                </c:pt>
                <c:pt idx="62">
                  <c:v>125.903855615748</c:v>
                </c:pt>
                <c:pt idx="63">
                  <c:v>122.342699109194</c:v>
                </c:pt>
                <c:pt idx="64">
                  <c:v>118.816655900388</c:v>
                </c:pt>
                <c:pt idx="65">
                  <c:v>115.327982854626</c:v>
                </c:pt>
                <c:pt idx="66">
                  <c:v>111.879066740109</c:v>
                </c:pt>
                <c:pt idx="67">
                  <c:v>108.472423783442</c:v>
                </c:pt>
                <c:pt idx="68">
                  <c:v>105.11069695394</c:v>
                </c:pt>
                <c:pt idx="69">
                  <c:v>101.796650482435</c:v>
                </c:pt>
                <c:pt idx="70">
                  <c:v>98.5331610893148</c:v>
                </c:pt>
                <c:pt idx="71">
                  <c:v>95.323205386407</c:v>
                </c:pt>
                <c:pt idx="72">
                  <c:v>92.1698429373873</c:v>
                </c:pt>
                <c:pt idx="73">
                  <c:v>89.076194521724</c:v>
                </c:pt>
                <c:pt idx="74">
                  <c:v>86.0454152578132</c:v>
                </c:pt>
                <c:pt idx="75">
                  <c:v>83.0806624104649</c:v>
                </c:pt>
                <c:pt idx="76">
                  <c:v>80.1850579412711</c:v>
                </c:pt>
                <c:pt idx="77">
                  <c:v>77.3616461567807</c:v>
                </c:pt>
                <c:pt idx="78">
                  <c:v>74.6133471597402</c:v>
                </c:pt>
                <c:pt idx="79">
                  <c:v>71.9429071936831</c:v>
                </c:pt>
                <c:pt idx="80">
                  <c:v>69.3528473607337</c:v>
                </c:pt>
                <c:pt idx="81">
                  <c:v>66.8454125467523</c:v>
                </c:pt>
                <c:pt idx="82">
                  <c:v>64.4225226608352</c:v>
                </c:pt>
                <c:pt idx="83">
                  <c:v>62.0857284414899</c:v>
                </c:pt>
                <c:pt idx="84">
                  <c:v>59.8361740610198</c:v>
                </c:pt>
                <c:pt idx="85">
                  <c:v>57.6745685503275</c:v>
                </c:pt>
                <c:pt idx="86">
                  <c:v>55.6011676688178</c:v>
                </c:pt>
                <c:pt idx="87">
                  <c:v>53.6157672848924</c:v>
                </c:pt>
                <c:pt idx="88">
                  <c:v>51.7177086626445</c:v>
                </c:pt>
                <c:pt idx="89">
                  <c:v>49.9058953385186</c:v>
                </c:pt>
                <c:pt idx="90">
                  <c:v>48.1788205934314</c:v>
                </c:pt>
                <c:pt idx="91">
                  <c:v>46.5346039512608</c:v>
                </c:pt>
                <c:pt idx="92">
                  <c:v>44.9710347170769</c:v>
                </c:pt>
                <c:pt idx="93">
                  <c:v>43.4856203375074</c:v>
                </c:pt>
                <c:pt idx="94">
                  <c:v>42.0756373243768</c:v>
                </c:pt>
                <c:pt idx="95">
                  <c:v>40.7381826110808</c:v>
                </c:pt>
                <c:pt idx="96">
                  <c:v>39.4702234719214</c:v>
                </c:pt>
                <c:pt idx="97">
                  <c:v>38.2686444821059</c:v>
                </c:pt>
                <c:pt idx="98">
                  <c:v>37.1302903838605</c:v>
                </c:pt>
                <c:pt idx="99">
                  <c:v>36.0520041113544</c:v>
                </c:pt>
                <c:pt idx="100">
                  <c:v>35.0306595825259</c:v>
                </c:pt>
              </c:numCache>
            </c:numRef>
          </c:val>
          <c:smooth val="0"/>
        </c:ser>
        <c:ser>
          <c:idx val="3"/>
          <c:order val="3"/>
          <c:spPr>
            <a:ln w="28575" cap="rnd" cmpd="sng" algn="ctr">
              <a:noFill/>
              <a:prstDash val="solid"/>
              <a:round/>
            </a:ln>
          </c:spPr>
          <c:marker>
            <c:symbol val="x"/>
            <c:size val="10"/>
            <c:spPr>
              <a:pattFill prst="pct5">
                <a:fgClr>
                  <a:schemeClr val="tx1"/>
                </a:fgClr>
                <a:bgClr>
                  <a:schemeClr val="bg1"/>
                </a:bgClr>
              </a:pattFill>
              <a:ln w="9525" cap="flat" cmpd="sng" algn="ctr">
                <a:solidFill>
                  <a:srgbClr val="33CC33"/>
                </a:solidFill>
                <a:prstDash val="solid"/>
                <a:round/>
              </a:ln>
            </c:spPr>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145.066135050434</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w="28575" cap="rnd" cmpd="sng" algn="ctr">
              <a:noFill/>
              <a:prstDash val="solid"/>
              <a:round/>
            </a:ln>
          </c:spPr>
          <c:marker>
            <c:symbol val="x"/>
            <c:size val="10"/>
            <c:spPr>
              <a:pattFill prst="pct5">
                <a:fgClr>
                  <a:schemeClr val="tx1"/>
                </a:fgClr>
                <a:bgClr>
                  <a:schemeClr val="bg1"/>
                </a:bgClr>
              </a:pattFill>
              <a:ln w="9525" cap="flat" cmpd="sng" algn="ctr">
                <a:solidFill>
                  <a:srgbClr val="0000FF"/>
                </a:solidFill>
                <a:prstDash val="solid"/>
                <a:round/>
              </a:ln>
            </c:spPr>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160.153769874493</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w="28575" cap="rnd" cmpd="sng" algn="ctr">
              <a:noFill/>
              <a:prstDash val="solid"/>
              <a:round/>
            </a:ln>
          </c:spPr>
          <c:marker>
            <c:symbol val="x"/>
            <c:size val="10"/>
            <c:spPr>
              <a:pattFill prst="pct5">
                <a:fgClr>
                  <a:schemeClr val="tx1"/>
                </a:fgClr>
                <a:bgClr>
                  <a:schemeClr val="bg1"/>
                </a:bgClr>
              </a:pattFill>
              <a:ln w="9525" cap="flat" cmpd="sng" algn="ctr">
                <a:solidFill>
                  <a:srgbClr val="FF0000"/>
                </a:solidFill>
                <a:prstDash val="solid"/>
                <a:round/>
              </a:ln>
            </c:spPr>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170.718321020283</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561510656"/>
        <c:axId val="561529216"/>
      </c:lineChart>
      <c:lineChart>
        <c:grouping val="standard"/>
        <c:varyColors val="0"/>
        <c:ser>
          <c:idx val="6"/>
          <c:order val="6"/>
          <c:spPr>
            <a:ln w="31750" cap="rnd" cmpd="sng" algn="ctr">
              <a:solidFill>
                <a:srgbClr val="FF0000"/>
              </a:solidFill>
              <a:prstDash val="solid"/>
              <a:round/>
            </a:ln>
          </c:spPr>
          <c:marker>
            <c:symbol val="none"/>
          </c:marker>
          <c:dLbls>
            <c:delete val="1"/>
          </c:dLbls>
          <c:val>
            <c:numRef>
              <c:f>'Calculations - Single'!$AW$5:$AW$105</c:f>
              <c:numCache>
                <c:formatCode>0.000</c:formatCode>
                <c:ptCount val="101"/>
                <c:pt idx="0">
                  <c:v>0.0075</c:v>
                </c:pt>
                <c:pt idx="1">
                  <c:v>0.0511111111111111</c:v>
                </c:pt>
                <c:pt idx="2">
                  <c:v>0.102222222222222</c:v>
                </c:pt>
                <c:pt idx="3">
                  <c:v>0.153333333333333</c:v>
                </c:pt>
                <c:pt idx="4">
                  <c:v>0.208337613386043</c:v>
                </c:pt>
                <c:pt idx="5">
                  <c:v>0.249227200623977</c:v>
                </c:pt>
                <c:pt idx="6">
                  <c:v>0.273014719451236</c:v>
                </c:pt>
                <c:pt idx="7">
                  <c:v>0.294889600602005</c:v>
                </c:pt>
                <c:pt idx="8">
                  <c:v>0.315250243535802</c:v>
                </c:pt>
                <c:pt idx="9">
                  <c:v>0.334373377462315</c:v>
                </c:pt>
                <c:pt idx="10">
                  <c:v>0.352460487234709</c:v>
                </c:pt>
                <c:pt idx="11">
                  <c:v>0.369663677642125</c:v>
                </c:pt>
                <c:pt idx="12">
                  <c:v>0.386101118975423</c:v>
                </c:pt>
                <c:pt idx="13">
                  <c:v>0.401866785863484</c:v>
                </c:pt>
                <c:pt idx="14">
                  <c:v>0.41703687257414</c:v>
                </c:pt>
                <c:pt idx="15">
                  <c:v>0.43167417410889</c:v>
                </c:pt>
                <c:pt idx="16">
                  <c:v>0.445831169949753</c:v>
                </c:pt>
                <c:pt idx="17">
                  <c:v>0.459552251223882</c:v>
                </c:pt>
                <c:pt idx="18">
                  <c:v>0.472875365303704</c:v>
                </c:pt>
                <c:pt idx="19">
                  <c:v>0.48583325392287</c:v>
                </c:pt>
                <c:pt idx="20">
                  <c:v>0.498454401247954</c:v>
                </c:pt>
                <c:pt idx="21">
                  <c:v>0.510763770866366</c:v>
                </c:pt>
                <c:pt idx="22">
                  <c:v>0.4998861441917</c:v>
                </c:pt>
                <c:pt idx="23">
                  <c:v>0.505619458818101</c:v>
                </c:pt>
                <c:pt idx="24">
                  <c:v>0.505619458818101</c:v>
                </c:pt>
                <c:pt idx="25">
                  <c:v>0.505619458818101</c:v>
                </c:pt>
                <c:pt idx="26">
                  <c:v>0.505619458818101</c:v>
                </c:pt>
                <c:pt idx="27">
                  <c:v>0.505619458818101</c:v>
                </c:pt>
                <c:pt idx="28">
                  <c:v>0.505619458818101</c:v>
                </c:pt>
                <c:pt idx="29">
                  <c:v>0.505619458818101</c:v>
                </c:pt>
                <c:pt idx="30">
                  <c:v>0.505619458818101</c:v>
                </c:pt>
                <c:pt idx="31">
                  <c:v>0.505619458818101</c:v>
                </c:pt>
                <c:pt idx="32">
                  <c:v>0.505619458818101</c:v>
                </c:pt>
                <c:pt idx="33">
                  <c:v>0.505619458818101</c:v>
                </c:pt>
                <c:pt idx="34">
                  <c:v>0.505619458818101</c:v>
                </c:pt>
                <c:pt idx="35">
                  <c:v>0.505619458818101</c:v>
                </c:pt>
                <c:pt idx="36">
                  <c:v>0.505619458818101</c:v>
                </c:pt>
                <c:pt idx="37">
                  <c:v>0.505619458818101</c:v>
                </c:pt>
                <c:pt idx="38">
                  <c:v>0.505619458818101</c:v>
                </c:pt>
                <c:pt idx="39">
                  <c:v>0.505619458818101</c:v>
                </c:pt>
                <c:pt idx="40">
                  <c:v>0.505619458818101</c:v>
                </c:pt>
                <c:pt idx="41">
                  <c:v>0.505619458818101</c:v>
                </c:pt>
                <c:pt idx="42">
                  <c:v>0.505619458818101</c:v>
                </c:pt>
                <c:pt idx="43">
                  <c:v>0.505619458818101</c:v>
                </c:pt>
                <c:pt idx="44">
                  <c:v>0.505619458818101</c:v>
                </c:pt>
                <c:pt idx="45">
                  <c:v>0.505619458818101</c:v>
                </c:pt>
                <c:pt idx="46">
                  <c:v>0.50048053085779</c:v>
                </c:pt>
                <c:pt idx="47">
                  <c:v>0.490111957526776</c:v>
                </c:pt>
                <c:pt idx="48">
                  <c:v>0.479783831051434</c:v>
                </c:pt>
                <c:pt idx="49">
                  <c:v>0.469498430866933</c:v>
                </c:pt>
                <c:pt idx="50">
                  <c:v>0.459258187550729</c:v>
                </c:pt>
                <c:pt idx="51">
                  <c:v>0.449065692939076</c:v>
                </c:pt>
                <c:pt idx="52">
                  <c:v>0.438923710695099</c:v>
                </c:pt>
                <c:pt idx="53">
                  <c:v>0.428835187280338</c:v>
                </c:pt>
                <c:pt idx="54">
                  <c:v>0.418803263259685</c:v>
                </c:pt>
                <c:pt idx="55">
                  <c:v>0.408831284842767</c:v>
                </c:pt>
                <c:pt idx="56">
                  <c:v>0.398922815532257</c:v>
                </c:pt>
                <c:pt idx="57">
                  <c:v>0.389081647710579</c:v>
                </c:pt>
                <c:pt idx="58">
                  <c:v>0.379311813950341</c:v>
                </c:pt>
                <c:pt idx="59">
                  <c:v>0.369617597779996</c:v>
                </c:pt>
                <c:pt idx="60">
                  <c:v>0.360003543574427</c:v>
                </c:pt>
                <c:pt idx="61">
                  <c:v>0.350474465170264</c:v>
                </c:pt>
                <c:pt idx="62">
                  <c:v>0.341035452728583</c:v>
                </c:pt>
                <c:pt idx="63">
                  <c:v>0.331691877284352</c:v>
                </c:pt>
                <c:pt idx="64">
                  <c:v>0.322449392335153</c:v>
                </c:pt>
                <c:pt idx="65">
                  <c:v>0.313313931735006</c:v>
                </c:pt>
                <c:pt idx="66">
                  <c:v>0.304291703077959</c:v>
                </c:pt>
                <c:pt idx="67">
                  <c:v>0.295389175687849</c:v>
                </c:pt>
                <c:pt idx="68">
                  <c:v>0.286613062284634</c:v>
                </c:pt>
                <c:pt idx="69">
                  <c:v>0.277970293385534</c:v>
                </c:pt>
                <c:pt idx="70">
                  <c:v>0.269467983534211</c:v>
                </c:pt>
                <c:pt idx="71">
                  <c:v>0.261113388547791</c:v>
                </c:pt>
                <c:pt idx="72">
                  <c:v>0.252913853144257</c:v>
                </c:pt>
                <c:pt idx="73">
                  <c:v>0.244876748573929</c:v>
                </c:pt>
                <c:pt idx="74">
                  <c:v>0.237009400236946</c:v>
                </c:pt>
                <c:pt idx="75">
                  <c:v>0.229319005724841</c:v>
                </c:pt>
                <c:pt idx="76">
                  <c:v>0.221812544269544</c:v>
                </c:pt>
                <c:pt idx="77">
                  <c:v>0.2144966791957</c:v>
                </c:pt>
                <c:pt idx="78">
                  <c:v>0.207377655615716</c:v>
                </c:pt>
                <c:pt idx="79">
                  <c:v>0.200461196231308</c:v>
                </c:pt>
                <c:pt idx="80">
                  <c:v>0.193752398648673</c:v>
                </c:pt>
                <c:pt idx="81">
                  <c:v>0.187255638009693</c:v>
                </c:pt>
                <c:pt idx="82">
                  <c:v>0.180974478924522</c:v>
                </c:pt>
                <c:pt idx="83">
                  <c:v>0.174911600610311</c:v>
                </c:pt>
                <c:pt idx="84">
                  <c:v>0.169068738768988</c:v>
                </c:pt>
                <c:pt idx="85">
                  <c:v>0.163446647077574</c:v>
                </c:pt>
                <c:pt idx="86">
                  <c:v>0.158045080256002</c:v>
                </c:pt>
                <c:pt idx="87">
                  <c:v>0.152862799591622</c:v>
                </c:pt>
                <c:pt idx="88">
                  <c:v>0.147897600632518</c:v>
                </c:pt>
                <c:pt idx="89">
                  <c:v>0.143146361621473</c:v>
                </c:pt>
                <c:pt idx="90">
                  <c:v>0.138605110232809</c:v>
                </c:pt>
                <c:pt idx="91">
                  <c:v>0.13426910538092</c:v>
                </c:pt>
                <c:pt idx="92">
                  <c:v>0.130132930348271</c:v>
                </c:pt>
                <c:pt idx="93">
                  <c:v>0.126190593253254</c:v>
                </c:pt>
                <c:pt idx="94">
                  <c:v>0.1224356309321</c:v>
                </c:pt>
                <c:pt idx="95">
                  <c:v>0.118861212603506</c:v>
                </c:pt>
                <c:pt idx="96">
                  <c:v>0.115460240161027</c:v>
                </c:pt>
                <c:pt idx="97">
                  <c:v>0.11222544252953</c:v>
                </c:pt>
                <c:pt idx="98">
                  <c:v>0.109149462162895</c:v>
                </c:pt>
                <c:pt idx="99">
                  <c:v>0.106224932393921</c:v>
                </c:pt>
                <c:pt idx="100">
                  <c:v>0.103444544930541</c:v>
                </c:pt>
              </c:numCache>
            </c:numRef>
          </c:val>
          <c:smooth val="0"/>
        </c:ser>
        <c:ser>
          <c:idx val="7"/>
          <c:order val="7"/>
          <c:spPr>
            <a:ln w="31750" cap="rnd" cmpd="sng" algn="ctr">
              <a:solidFill>
                <a:srgbClr val="00B050"/>
              </a:solidFill>
              <a:prstDash val="solid"/>
              <a:round/>
            </a:ln>
          </c:spPr>
          <c:marker>
            <c:symbol val="none"/>
          </c:marker>
          <c:dLbls>
            <c:delete val="1"/>
          </c:dLbls>
          <c:val>
            <c:numRef>
              <c:f>'Calculations - Single'!$AW$110:$AW$210</c:f>
              <c:numCache>
                <c:formatCode>0.000</c:formatCode>
                <c:ptCount val="101"/>
                <c:pt idx="0">
                  <c:v>0.009</c:v>
                </c:pt>
                <c:pt idx="1">
                  <c:v>0.0613333333333333</c:v>
                </c:pt>
                <c:pt idx="2">
                  <c:v>0.122666666666667</c:v>
                </c:pt>
                <c:pt idx="3">
                  <c:v>0.184</c:v>
                </c:pt>
                <c:pt idx="4">
                  <c:v>0.245333333333333</c:v>
                </c:pt>
                <c:pt idx="5">
                  <c:v>0.283725219182222</c:v>
                </c:pt>
                <c:pt idx="6">
                  <c:v>0.310805405358401</c:v>
                </c:pt>
                <c:pt idx="7">
                  <c:v>0.33570820663189</c:v>
                </c:pt>
                <c:pt idx="8">
                  <c:v>0.358887168898527</c:v>
                </c:pt>
                <c:pt idx="9">
                  <c:v>0.380657326213486</c:v>
                </c:pt>
                <c:pt idx="10">
                  <c:v>0.401248052954778</c:v>
                </c:pt>
                <c:pt idx="11">
                  <c:v>0.420832508250016</c:v>
                </c:pt>
                <c:pt idx="12">
                  <c:v>0.439545219516718</c:v>
                </c:pt>
                <c:pt idx="13">
                  <c:v>0.457493169347915</c:v>
                </c:pt>
                <c:pt idx="14">
                  <c:v>0.474763098818769</c:v>
                </c:pt>
                <c:pt idx="15">
                  <c:v>0.491426495012225</c:v>
                </c:pt>
                <c:pt idx="16">
                  <c:v>0.507543101617981</c:v>
                </c:pt>
                <c:pt idx="17">
                  <c:v>0.523163454381133</c:v>
                </c:pt>
                <c:pt idx="18">
                  <c:v>0.518891212616923</c:v>
                </c:pt>
                <c:pt idx="19">
                  <c:v>0.551021874214288</c:v>
                </c:pt>
                <c:pt idx="20">
                  <c:v>0.551021874214288</c:v>
                </c:pt>
                <c:pt idx="21">
                  <c:v>0.551021874214288</c:v>
                </c:pt>
                <c:pt idx="22">
                  <c:v>0.551021874214288</c:v>
                </c:pt>
                <c:pt idx="23">
                  <c:v>0.551021874214288</c:v>
                </c:pt>
                <c:pt idx="24">
                  <c:v>0.551021874214288</c:v>
                </c:pt>
                <c:pt idx="25">
                  <c:v>0.551021874214288</c:v>
                </c:pt>
                <c:pt idx="26">
                  <c:v>0.551021874214288</c:v>
                </c:pt>
                <c:pt idx="27">
                  <c:v>0.551021874214288</c:v>
                </c:pt>
                <c:pt idx="28">
                  <c:v>0.551021874214288</c:v>
                </c:pt>
                <c:pt idx="29">
                  <c:v>0.551021874214288</c:v>
                </c:pt>
                <c:pt idx="30">
                  <c:v>0.551021874214288</c:v>
                </c:pt>
                <c:pt idx="31">
                  <c:v>0.551021874214288</c:v>
                </c:pt>
                <c:pt idx="32">
                  <c:v>0.551021874214288</c:v>
                </c:pt>
                <c:pt idx="33">
                  <c:v>0.551021874214288</c:v>
                </c:pt>
                <c:pt idx="34">
                  <c:v>0.551021874214288</c:v>
                </c:pt>
                <c:pt idx="35">
                  <c:v>0.551021874214288</c:v>
                </c:pt>
                <c:pt idx="36">
                  <c:v>0.551021874214288</c:v>
                </c:pt>
                <c:pt idx="37">
                  <c:v>0.551021874214288</c:v>
                </c:pt>
                <c:pt idx="38">
                  <c:v>0.551021874214288</c:v>
                </c:pt>
                <c:pt idx="39">
                  <c:v>0.551021874214288</c:v>
                </c:pt>
                <c:pt idx="40">
                  <c:v>0.551021874214288</c:v>
                </c:pt>
                <c:pt idx="41">
                  <c:v>0.551021874214288</c:v>
                </c:pt>
                <c:pt idx="42">
                  <c:v>0.543998006439127</c:v>
                </c:pt>
                <c:pt idx="43">
                  <c:v>0.533597321265012</c:v>
                </c:pt>
                <c:pt idx="44">
                  <c:v>0.523234631361022</c:v>
                </c:pt>
                <c:pt idx="45">
                  <c:v>0.512911908779699</c:v>
                </c:pt>
                <c:pt idx="46">
                  <c:v>0.502631245703519</c:v>
                </c:pt>
                <c:pt idx="47">
                  <c:v>0.49239486180742</c:v>
                </c:pt>
                <c:pt idx="48">
                  <c:v>0.48220511191867</c:v>
                </c:pt>
                <c:pt idx="49">
                  <c:v>0.472064493943653</c:v>
                </c:pt>
                <c:pt idx="50">
                  <c:v>0.461975657018656</c:v>
                </c:pt>
                <c:pt idx="51">
                  <c:v>0.451941409826728</c:v>
                </c:pt>
                <c:pt idx="52">
                  <c:v>0.441964729004659</c:v>
                </c:pt>
                <c:pt idx="53">
                  <c:v>0.432048767542919</c:v>
                </c:pt>
                <c:pt idx="54">
                  <c:v>0.422196863056464</c:v>
                </c:pt>
                <c:pt idx="55">
                  <c:v>0.412412545775568</c:v>
                </c:pt>
                <c:pt idx="56">
                  <c:v>0.402699546072855</c:v>
                </c:pt>
                <c:pt idx="57">
                  <c:v>0.393061801305644</c:v>
                </c:pt>
                <c:pt idx="58">
                  <c:v>0.383503461711482</c:v>
                </c:pt>
                <c:pt idx="59">
                  <c:v>0.374028895049922</c:v>
                </c:pt>
                <c:pt idx="60">
                  <c:v>0.364642689635912</c:v>
                </c:pt>
                <c:pt idx="61">
                  <c:v>0.355349655360906</c:v>
                </c:pt>
                <c:pt idx="62">
                  <c:v>0.346154822248917</c:v>
                </c:pt>
                <c:pt idx="63">
                  <c:v>0.337063436048884</c:v>
                </c:pt>
                <c:pt idx="64">
                  <c:v>0.328080950325381</c:v>
                </c:pt>
                <c:pt idx="65">
                  <c:v>0.319213014481346</c:v>
                </c:pt>
                <c:pt idx="66">
                  <c:v>0.31046545713452</c:v>
                </c:pt>
                <c:pt idx="67">
                  <c:v>0.301844264279867</c:v>
                </c:pt>
                <c:pt idx="68">
                  <c:v>0.293355551710251</c:v>
                </c:pt>
                <c:pt idx="69">
                  <c:v>0.285005531244118</c:v>
                </c:pt>
                <c:pt idx="70">
                  <c:v>0.276800470428443</c:v>
                </c:pt>
                <c:pt idx="71">
                  <c:v>0.268746645553075</c:v>
                </c:pt>
                <c:pt idx="72">
                  <c:v>0.26085028803171</c:v>
                </c:pt>
                <c:pt idx="73">
                  <c:v>0.253117524474421</c:v>
                </c:pt>
                <c:pt idx="74">
                  <c:v>0.245554311091392</c:v>
                </c:pt>
                <c:pt idx="75">
                  <c:v>0.238166363415876</c:v>
                </c:pt>
                <c:pt idx="76">
                  <c:v>0.230959082698695</c:v>
                </c:pt>
                <c:pt idx="77">
                  <c:v>0.223937480682623</c:v>
                </c:pt>
                <c:pt idx="78">
                  <c:v>0.217106104783562</c:v>
                </c:pt>
                <c:pt idx="79">
                  <c:v>0.210468965954376</c:v>
                </c:pt>
                <c:pt idx="80">
                  <c:v>0.204029471654713</c:v>
                </c:pt>
                <c:pt idx="81">
                  <c:v>0.197790366368795</c:v>
                </c:pt>
                <c:pt idx="82">
                  <c:v>0.191753681984388</c:v>
                </c:pt>
                <c:pt idx="83">
                  <c:v>0.185920700063763</c:v>
                </c:pt>
                <c:pt idx="84">
                  <c:v>0.180291927610531</c:v>
                </c:pt>
                <c:pt idx="85">
                  <c:v>0.174867087389115</c:v>
                </c:pt>
                <c:pt idx="86">
                  <c:v>0.169645123224757</c:v>
                </c:pt>
                <c:pt idx="87">
                  <c:v>0.164624220049392</c:v>
                </c:pt>
                <c:pt idx="88">
                  <c:v>0.159801837814651</c:v>
                </c:pt>
                <c:pt idx="89">
                  <c:v>0.155174757817699</c:v>
                </c:pt>
                <c:pt idx="90">
                  <c:v>0.150739139520137</c:v>
                </c:pt>
                <c:pt idx="91">
                  <c:v>0.146490585613828</c:v>
                </c:pt>
                <c:pt idx="92">
                  <c:v>0.142424212913612</c:v>
                </c:pt>
                <c:pt idx="93">
                  <c:v>0.138534726633713</c:v>
                </c:pt>
                <c:pt idx="94">
                  <c:v>0.134816495716848</c:v>
                </c:pt>
                <c:pt idx="95">
                  <c:v>0.131263627107407</c:v>
                </c:pt>
                <c:pt idx="96">
                  <c:v>0.127870037161582</c:v>
                </c:pt>
                <c:pt idx="97">
                  <c:v>0.124629518735617</c:v>
                </c:pt>
                <c:pt idx="98">
                  <c:v>0.121535802857925</c:v>
                </c:pt>
                <c:pt idx="99">
                  <c:v>0.118582614246041</c:v>
                </c:pt>
                <c:pt idx="100">
                  <c:v>0.11576372025543</c:v>
                </c:pt>
              </c:numCache>
            </c:numRef>
          </c:val>
          <c:smooth val="0"/>
        </c:ser>
        <c:ser>
          <c:idx val="8"/>
          <c:order val="8"/>
          <c:spPr>
            <a:ln w="31750" cap="rnd" cmpd="sng" algn="ctr">
              <a:solidFill>
                <a:srgbClr val="0000FF"/>
              </a:solidFill>
              <a:prstDash val="solid"/>
              <a:round/>
            </a:ln>
          </c:spPr>
          <c:marker>
            <c:symbol val="none"/>
          </c:marker>
          <c:dLbls>
            <c:delete val="1"/>
          </c:dLbls>
          <c:val>
            <c:numRef>
              <c:f>'Calculations - Single'!$AW$216:$AW$316</c:f>
              <c:numCache>
                <c:formatCode>0.000</c:formatCode>
                <c:ptCount val="101"/>
                <c:pt idx="0">
                  <c:v>0.00642857142857143</c:v>
                </c:pt>
                <c:pt idx="1">
                  <c:v>0.0438095238095238</c:v>
                </c:pt>
                <c:pt idx="2">
                  <c:v>0.0876190476190476</c:v>
                </c:pt>
                <c:pt idx="3">
                  <c:v>0.131428571428571</c:v>
                </c:pt>
                <c:pt idx="4">
                  <c:v>0.175238095238095</c:v>
                </c:pt>
                <c:pt idx="5">
                  <c:v>0.202660870844444</c:v>
                </c:pt>
                <c:pt idx="6">
                  <c:v>0.222003860970286</c:v>
                </c:pt>
                <c:pt idx="7">
                  <c:v>0.239791576165636</c:v>
                </c:pt>
                <c:pt idx="8">
                  <c:v>0.256347977784662</c:v>
                </c:pt>
                <c:pt idx="9">
                  <c:v>0.27189809015249</c:v>
                </c:pt>
                <c:pt idx="10">
                  <c:v>0.286605752110555</c:v>
                </c:pt>
                <c:pt idx="11">
                  <c:v>0.300594648750012</c:v>
                </c:pt>
                <c:pt idx="12">
                  <c:v>0.31396087108337</c:v>
                </c:pt>
                <c:pt idx="13">
                  <c:v>0.326780835248511</c:v>
                </c:pt>
                <c:pt idx="14">
                  <c:v>0.339116499156263</c:v>
                </c:pt>
                <c:pt idx="15">
                  <c:v>0.351018925008732</c:v>
                </c:pt>
                <c:pt idx="16">
                  <c:v>0.362530786869986</c:v>
                </c:pt>
                <c:pt idx="17">
                  <c:v>0.373688181700809</c:v>
                </c:pt>
                <c:pt idx="18">
                  <c:v>0.384521966676993</c:v>
                </c:pt>
                <c:pt idx="19">
                  <c:v>0.395058765972138</c:v>
                </c:pt>
                <c:pt idx="20">
                  <c:v>0.405321741688889</c:v>
                </c:pt>
                <c:pt idx="21">
                  <c:v>0.415331193145904</c:v>
                </c:pt>
                <c:pt idx="22">
                  <c:v>0.425105029039043</c:v>
                </c:pt>
                <c:pt idx="23">
                  <c:v>0.434659143960611</c:v>
                </c:pt>
                <c:pt idx="24">
                  <c:v>0.444007721940573</c:v>
                </c:pt>
                <c:pt idx="25">
                  <c:v>0.443003864671393</c:v>
                </c:pt>
                <c:pt idx="26">
                  <c:v>0.434401028953163</c:v>
                </c:pt>
                <c:pt idx="27">
                  <c:v>0.467129502755702</c:v>
                </c:pt>
                <c:pt idx="28">
                  <c:v>0.467129502755702</c:v>
                </c:pt>
                <c:pt idx="29">
                  <c:v>0.467129502755702</c:v>
                </c:pt>
                <c:pt idx="30">
                  <c:v>0.467129502755702</c:v>
                </c:pt>
                <c:pt idx="31">
                  <c:v>0.467129502755702</c:v>
                </c:pt>
                <c:pt idx="32">
                  <c:v>0.467129502755702</c:v>
                </c:pt>
                <c:pt idx="33">
                  <c:v>0.467129502755702</c:v>
                </c:pt>
                <c:pt idx="34">
                  <c:v>0.467129502755702</c:v>
                </c:pt>
                <c:pt idx="35">
                  <c:v>0.467129502755702</c:v>
                </c:pt>
                <c:pt idx="36">
                  <c:v>0.467129502755702</c:v>
                </c:pt>
                <c:pt idx="37">
                  <c:v>0.467129502755702</c:v>
                </c:pt>
                <c:pt idx="38">
                  <c:v>0.467129502755702</c:v>
                </c:pt>
                <c:pt idx="39">
                  <c:v>0.467129502755702</c:v>
                </c:pt>
                <c:pt idx="40">
                  <c:v>0.467129502755702</c:v>
                </c:pt>
                <c:pt idx="41">
                  <c:v>0.467129502755702</c:v>
                </c:pt>
                <c:pt idx="42">
                  <c:v>0.467129502755702</c:v>
                </c:pt>
                <c:pt idx="43">
                  <c:v>0.467129502755702</c:v>
                </c:pt>
                <c:pt idx="44">
                  <c:v>0.467129502755702</c:v>
                </c:pt>
                <c:pt idx="45">
                  <c:v>0.467129502755702</c:v>
                </c:pt>
                <c:pt idx="46">
                  <c:v>0.467129502755702</c:v>
                </c:pt>
                <c:pt idx="47">
                  <c:v>0.467129502755702</c:v>
                </c:pt>
                <c:pt idx="48">
                  <c:v>0.467129502755702</c:v>
                </c:pt>
                <c:pt idx="49">
                  <c:v>0.467129502755702</c:v>
                </c:pt>
                <c:pt idx="50">
                  <c:v>0.457281217018614</c:v>
                </c:pt>
                <c:pt idx="51">
                  <c:v>0.446971294810987</c:v>
                </c:pt>
                <c:pt idx="52">
                  <c:v>0.436706342485189</c:v>
                </c:pt>
                <c:pt idx="53">
                  <c:v>0.426489105002863</c:v>
                </c:pt>
                <c:pt idx="54">
                  <c:v>0.416322523269929</c:v>
                </c:pt>
                <c:pt idx="55">
                  <c:v>0.406209748011315</c:v>
                </c:pt>
                <c:pt idx="56">
                  <c:v>0.396154154230213</c:v>
                </c:pt>
                <c:pt idx="57">
                  <c:v>0.386159356149016</c:v>
                </c:pt>
                <c:pt idx="58">
                  <c:v>0.376229222485729</c:v>
                </c:pt>
                <c:pt idx="59">
                  <c:v>0.366367891866344</c:v>
                </c:pt>
                <c:pt idx="60">
                  <c:v>0.356579788109012</c:v>
                </c:pt>
                <c:pt idx="61">
                  <c:v>0.346869635038597</c:v>
                </c:pt>
                <c:pt idx="62">
                  <c:v>0.337242470399325</c:v>
                </c:pt>
                <c:pt idx="63">
                  <c:v>0.327703658328198</c:v>
                </c:pt>
                <c:pt idx="64">
                  <c:v>0.318258899733181</c:v>
                </c:pt>
                <c:pt idx="65">
                  <c:v>0.308914239789178</c:v>
                </c:pt>
                <c:pt idx="66">
                  <c:v>0.299676071625292</c:v>
                </c:pt>
                <c:pt idx="67">
                  <c:v>0.29055113513422</c:v>
                </c:pt>
                <c:pt idx="68">
                  <c:v>0.281546509698054</c:v>
                </c:pt>
                <c:pt idx="69">
                  <c:v>0.272669599506522</c:v>
                </c:pt>
                <c:pt idx="70">
                  <c:v>0.263928110060665</c:v>
                </c:pt>
                <c:pt idx="71">
                  <c:v>0.255330014427876</c:v>
                </c:pt>
                <c:pt idx="72">
                  <c:v>0.246883507868002</c:v>
                </c:pt>
                <c:pt idx="73">
                  <c:v>0.238596949611761</c:v>
                </c:pt>
                <c:pt idx="74">
                  <c:v>0.230478790869142</c:v>
                </c:pt>
                <c:pt idx="75">
                  <c:v>0.22253748859946</c:v>
                </c:pt>
                <c:pt idx="76">
                  <c:v>0.214781405199833</c:v>
                </c:pt>
                <c:pt idx="77">
                  <c:v>0.207218695062806</c:v>
                </c:pt>
                <c:pt idx="78">
                  <c:v>0.199857179892161</c:v>
                </c:pt>
                <c:pt idx="79">
                  <c:v>0.192704215697365</c:v>
                </c:pt>
                <c:pt idx="80">
                  <c:v>0.185766555430537</c:v>
                </c:pt>
                <c:pt idx="81">
                  <c:v>0.179050212178801</c:v>
                </c:pt>
                <c:pt idx="82">
                  <c:v>0.172560328555809</c:v>
                </c:pt>
                <c:pt idx="83">
                  <c:v>0.166301058325419</c:v>
                </c:pt>
                <c:pt idx="84">
                  <c:v>0.160275466234875</c:v>
                </c:pt>
                <c:pt idx="85">
                  <c:v>0.154485451474092</c:v>
                </c:pt>
                <c:pt idx="86">
                  <c:v>0.148931699112905</c:v>
                </c:pt>
                <c:pt idx="87">
                  <c:v>0.143613662370248</c:v>
                </c:pt>
                <c:pt idx="88">
                  <c:v>0.138529576774941</c:v>
                </c:pt>
                <c:pt idx="89">
                  <c:v>0.133676505371032</c:v>
                </c:pt>
                <c:pt idx="90">
                  <c:v>0.129050412303834</c:v>
                </c:pt>
                <c:pt idx="91">
                  <c:v>0.124646260583734</c:v>
                </c:pt>
                <c:pt idx="92">
                  <c:v>0.120458128706456</c:v>
                </c:pt>
                <c:pt idx="93">
                  <c:v>0.116479340189752</c:v>
                </c:pt>
                <c:pt idx="94">
                  <c:v>0.112702599976009</c:v>
                </c:pt>
                <c:pt idx="95">
                  <c:v>0.109120131993966</c:v>
                </c:pt>
                <c:pt idx="96">
                  <c:v>0.105723812871218</c:v>
                </c:pt>
                <c:pt idx="97">
                  <c:v>0.102505297719926</c:v>
                </c:pt>
                <c:pt idx="98">
                  <c:v>0.0994561349567692</c:v>
                </c:pt>
                <c:pt idx="99">
                  <c:v>0.0965678681554135</c:v>
                </c:pt>
                <c:pt idx="100">
                  <c:v>0.0938321238817657</c:v>
                </c:pt>
              </c:numCache>
            </c:numRef>
          </c:val>
          <c:smooth val="0"/>
        </c:ser>
        <c:dLbls>
          <c:showLegendKey val="0"/>
          <c:showVal val="0"/>
          <c:showCatName val="0"/>
          <c:showSerName val="0"/>
          <c:showPercent val="0"/>
          <c:showBubbleSize val="0"/>
        </c:dLbls>
        <c:marker val="0"/>
        <c:smooth val="0"/>
        <c:axId val="561533312"/>
        <c:axId val="561531136"/>
      </c:lineChart>
      <c:catAx>
        <c:axId val="561510656"/>
        <c:scaling>
          <c:orientation val="minMax"/>
        </c:scaling>
        <c:delete val="0"/>
        <c:axPos val="b"/>
        <c:majorGridlines>
          <c:spPr>
            <a:ln w="15875" cap="flat" cmpd="sng" algn="ctr">
              <a:solidFill>
                <a:srgbClr val="969696"/>
              </a:solidFill>
              <a:prstDash val="sysDash"/>
              <a:round/>
            </a:ln>
          </c:spPr>
        </c:majorGridlines>
        <c:title>
          <c:tx>
            <c:rich>
              <a:bodyPr rot="0" spcFirstLastPara="0" vertOverflow="ellipsis" vert="horz" wrap="square" anchor="ctr" anchorCtr="1"/>
              <a:lstStyle/>
              <a:p>
                <a:pPr>
                  <a:defRPr lang="zh-CN" sz="14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400">
                    <a:solidFill>
                      <a:schemeClr val="tx1"/>
                    </a:solidFill>
                    <a:latin typeface="Arial" panose="020B0604020202020204" pitchFamily="7" charset="0"/>
                    <a:cs typeface="Arial" panose="020B0604020202020204" pitchFamily="7" charset="0"/>
                  </a:rPr>
                  <a:t>Load Current (mA)</a:t>
                </a:r>
                <a:endParaRPr lang="en-US" sz="1400">
                  <a:solidFill>
                    <a:schemeClr val="tx1"/>
                  </a:solidFill>
                  <a:latin typeface="Arial" panose="020B0604020202020204" pitchFamily="7" charset="0"/>
                  <a:cs typeface="Arial" panose="020B0604020202020204" pitchFamily="7" charset="0"/>
                </a:endParaRPr>
              </a:p>
            </c:rich>
          </c:tx>
          <c:layout>
            <c:manualLayout>
              <c:xMode val="edge"/>
              <c:yMode val="edge"/>
              <c:x val="0.411230571984953"/>
              <c:y val="0.941066916105386"/>
            </c:manualLayout>
          </c:layout>
          <c:overlay val="0"/>
          <c:spPr>
            <a:noFill/>
            <a:ln w="25400">
              <a:noFill/>
            </a:ln>
          </c:spPr>
        </c:title>
        <c:numFmt formatCode="0" sourceLinked="1"/>
        <c:majorTickMark val="in"/>
        <c:minorTickMark val="in"/>
        <c:tickLblPos val="nextTo"/>
        <c:spPr>
          <a:ln w="3175" cap="flat" cmpd="sng" algn="ctr">
            <a:solidFill>
              <a:schemeClr val="tx1"/>
            </a:solidFill>
            <a:prstDash val="solid"/>
            <a:round/>
          </a:ln>
        </c:spPr>
        <c:txPr>
          <a:bodyPr rot="0" spcFirstLastPara="0" vertOverflow="ellipsis" vert="horz" wrap="square" anchor="ctr" anchorCtr="1"/>
          <a:lstStyle/>
          <a:p>
            <a:pPr>
              <a:defRPr lang="zh-CN" sz="12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561529216"/>
        <c:crosses val="autoZero"/>
        <c:auto val="1"/>
        <c:lblAlgn val="ctr"/>
        <c:lblOffset val="100"/>
        <c:tickLblSkip val="20"/>
        <c:tickMarkSkip val="10"/>
        <c:noMultiLvlLbl val="0"/>
      </c:catAx>
      <c:valAx>
        <c:axId val="561529216"/>
        <c:scaling>
          <c:orientation val="minMax"/>
          <c:max val="400"/>
          <c:min val="0"/>
        </c:scaling>
        <c:delete val="0"/>
        <c:axPos val="l"/>
        <c:majorGridlines>
          <c:spPr>
            <a:ln w="15875" cap="flat" cmpd="sng" algn="ctr">
              <a:solidFill>
                <a:srgbClr val="808080"/>
              </a:solidFill>
              <a:prstDash val="solid"/>
              <a:round/>
            </a:ln>
          </c:spPr>
        </c:majorGridlines>
        <c:title>
          <c:tx>
            <c:rich>
              <a:bodyPr rot="-5400000" spcFirstLastPara="0" vertOverflow="ellipsis" vert="horz" wrap="square" anchor="ctr" anchorCtr="1"/>
              <a:lstStyle/>
              <a:p>
                <a:pPr>
                  <a:defRPr lang="zh-CN" sz="14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400" b="1">
                    <a:solidFill>
                      <a:schemeClr val="tx1"/>
                    </a:solidFill>
                    <a:latin typeface="Arial" panose="020B0604020202020204" pitchFamily="7" charset="0"/>
                    <a:cs typeface="Arial" panose="020B0604020202020204" pitchFamily="7" charset="0"/>
                  </a:rPr>
                  <a:t>Switching</a:t>
                </a:r>
                <a:r>
                  <a:rPr lang="en-US" sz="1400" b="1" baseline="0">
                    <a:solidFill>
                      <a:schemeClr val="tx1"/>
                    </a:solidFill>
                    <a:latin typeface="Arial" panose="020B0604020202020204" pitchFamily="7" charset="0"/>
                    <a:cs typeface="Arial" panose="020B0604020202020204" pitchFamily="7" charset="0"/>
                  </a:rPr>
                  <a:t> Frquency (kHz)</a:t>
                </a:r>
                <a:endParaRPr lang="en-US" sz="1400" b="1">
                  <a:solidFill>
                    <a:schemeClr val="tx1"/>
                  </a:solidFill>
                  <a:latin typeface="Arial" panose="020B0604020202020204" pitchFamily="7" charset="0"/>
                  <a:cs typeface="Arial" panose="020B0604020202020204" pitchFamily="7" charset="0"/>
                </a:endParaRPr>
              </a:p>
            </c:rich>
          </c:tx>
          <c:layout>
            <c:manualLayout>
              <c:xMode val="edge"/>
              <c:yMode val="edge"/>
              <c:x val="0.00855682683677485"/>
              <c:y val="0.300506610995683"/>
            </c:manualLayout>
          </c:layout>
          <c:overlay val="0"/>
          <c:spPr>
            <a:noFill/>
            <a:ln w="25400">
              <a:noFill/>
            </a:ln>
          </c:spPr>
        </c:title>
        <c:numFmt formatCode="#,##0" sourceLinked="0"/>
        <c:majorTickMark val="out"/>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2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561510656"/>
        <c:crossesAt val="0"/>
        <c:crossBetween val="between"/>
        <c:majorUnit val="50"/>
        <c:minorUnit val="25"/>
      </c:valAx>
      <c:catAx>
        <c:axId val="561533312"/>
        <c:scaling>
          <c:orientation val="minMax"/>
        </c:scaling>
        <c:delete val="1"/>
        <c:axPos val="b"/>
        <c:majorTickMark val="out"/>
        <c:minorTickMark val="none"/>
        <c:tickLblPos val="nextTo"/>
        <c:txPr>
          <a:bodyPr rot="-60000000" spcFirstLastPara="0" vertOverflow="ellipsis" vert="horz" wrap="square" anchor="ctr" anchorCtr="1"/>
          <a:lstStyle/>
          <a:p>
            <a:pPr>
              <a:defRPr lang="zh-CN" sz="850" b="0" i="0" u="none" strike="noStrike" kern="1200" baseline="0">
                <a:solidFill>
                  <a:srgbClr val="000000"/>
                </a:solidFill>
                <a:latin typeface="Arial" panose="020B0604020202020204"/>
                <a:ea typeface="Arial" panose="020B0604020202020204"/>
                <a:cs typeface="Arial" panose="020B0604020202020204"/>
              </a:defRPr>
            </a:pPr>
          </a:p>
        </c:txPr>
        <c:crossAx val="561531136"/>
        <c:crosses val="autoZero"/>
        <c:auto val="1"/>
        <c:lblAlgn val="ctr"/>
        <c:lblOffset val="100"/>
        <c:noMultiLvlLbl val="0"/>
      </c:catAx>
      <c:valAx>
        <c:axId val="561531136"/>
        <c:scaling>
          <c:orientation val="minMax"/>
          <c:min val="0"/>
        </c:scaling>
        <c:delete val="0"/>
        <c:axPos val="r"/>
        <c:title>
          <c:tx>
            <c:rich>
              <a:bodyPr rot="-5400000" spcFirstLastPara="0" vertOverflow="ellipsis" vert="horz" wrap="square" anchor="ctr" anchorCtr="1"/>
              <a:lstStyle/>
              <a:p>
                <a:pPr>
                  <a:defRPr lang="zh-CN" sz="1400" b="1" i="0" u="none" strike="noStrike" kern="1200" baseline="0">
                    <a:solidFill>
                      <a:srgbClr val="000000"/>
                    </a:solidFill>
                    <a:latin typeface="Arial" panose="020B0604020202020204"/>
                    <a:ea typeface="Arial" panose="020B0604020202020204"/>
                    <a:cs typeface="Arial" panose="020B0604020202020204"/>
                  </a:defRPr>
                </a:pPr>
                <a:r>
                  <a:rPr lang="en-US" sz="1400" b="1"/>
                  <a:t>Duty Cycle</a:t>
                </a:r>
                <a:endParaRPr lang="en-US" sz="1400" b="1"/>
              </a:p>
            </c:rich>
          </c:tx>
          <c:layout>
            <c:manualLayout>
              <c:xMode val="edge"/>
              <c:yMode val="edge"/>
              <c:x val="0.963231007414396"/>
              <c:y val="0.410731693328185"/>
            </c:manualLayout>
          </c:layout>
          <c:overlay val="0"/>
        </c:title>
        <c:numFmt formatCode="General" sourceLinked="0"/>
        <c:majorTickMark val="in"/>
        <c:minorTickMark val="in"/>
        <c:tickLblPos val="nextTo"/>
        <c:txPr>
          <a:bodyPr rot="-6000000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p>
        </c:txPr>
        <c:crossAx val="561533312"/>
        <c:crosses val="max"/>
        <c:crossBetween val="between"/>
        <c:majorUnit val="0.1"/>
        <c:minorUnit val="0.02"/>
      </c:val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
          <c:y val="0.0346552271106485"/>
          <c:w val="0.563623861533437"/>
          <c:h val="0.0543357668478178"/>
        </c:manualLayout>
      </c:layout>
      <c:overlay val="0"/>
      <c:spPr>
        <a:solidFill>
          <a:srgbClr val="FFFFFF"/>
        </a:solidFill>
        <a:ln w="25400">
          <a:noFill/>
        </a:ln>
      </c:spPr>
      <c:txPr>
        <a:bodyPr rot="0" spcFirstLastPara="0" vertOverflow="ellipsis" vert="horz" wrap="square" anchor="ctr" anchorCtr="1"/>
        <a:lstStyle/>
        <a:p>
          <a:pPr>
            <a:defRPr lang="zh-CN" sz="1400" b="1"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590e907f-8a3d-4d39-b747-cbe23e509336}"/>
      </c:ext>
    </c:extLst>
  </c:chart>
  <c:spPr>
    <a:solidFill>
      <a:srgbClr val="FFFFFF"/>
    </a:solidFill>
    <a:ln w="9525" cap="flat" cmpd="sng" algn="ctr">
      <a:no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defRPr lang="zh-CN" sz="1800" b="1"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r>
              <a:rPr lang="en-US" sz="1800" b="1" i="0" baseline="0">
                <a:effectLst/>
                <a:sym typeface="Symbol" panose="05050102010706020507"/>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0.0825867049166182"/>
          <c:y val="0.0183632897461127"/>
        </c:manualLayout>
      </c:layout>
      <c:overlay val="0"/>
      <c:spPr>
        <a:noFill/>
        <a:ln w="25400">
          <a:noFill/>
        </a:ln>
      </c:spPr>
    </c:title>
    <c:autoTitleDeleted val="0"/>
    <c:plotArea>
      <c:layout>
        <c:manualLayout>
          <c:layoutTarget val="inner"/>
          <c:xMode val="edge"/>
          <c:yMode val="edge"/>
          <c:x val="0.0767618840858043"/>
          <c:y val="0.121335233430015"/>
          <c:w val="0.825799902285061"/>
          <c:h val="0.755898026893831"/>
        </c:manualLayout>
      </c:layout>
      <c:lineChart>
        <c:grouping val="standard"/>
        <c:varyColors val="0"/>
        <c:ser>
          <c:idx val="0"/>
          <c:order val="0"/>
          <c:tx>
            <c:strRef>
              <c:f>"Efficiency"</c:f>
              <c:strCache>
                <c:ptCount val="1"/>
                <c:pt idx="0">
                  <c:v>Efficiency</c:v>
                </c:pt>
              </c:strCache>
            </c:strRef>
          </c:tx>
          <c:spPr>
            <a:ln w="38100" cap="rnd" cmpd="sng" algn="ctr">
              <a:solidFill>
                <a:srgbClr val="FF0000"/>
              </a:solidFill>
              <a:prstDash val="solid"/>
              <a:round/>
            </a:ln>
          </c:spPr>
          <c:marker>
            <c:symbol val="none"/>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Single'!$CD$5:$CD$105</c:f>
              <c:numCache>
                <c:formatCode>0.00</c:formatCode>
                <c:ptCount val="101"/>
                <c:pt idx="0">
                  <c:v>0.000121432733260719</c:v>
                </c:pt>
                <c:pt idx="1">
                  <c:v>78.860094492196</c:v>
                </c:pt>
                <c:pt idx="2">
                  <c:v>83.9295843760887</c:v>
                </c:pt>
                <c:pt idx="3">
                  <c:v>85.7662433087635</c:v>
                </c:pt>
                <c:pt idx="4">
                  <c:v>86.5583561050567</c:v>
                </c:pt>
                <c:pt idx="5">
                  <c:v>87.1499258637192</c:v>
                </c:pt>
                <c:pt idx="6">
                  <c:v>87.8446624129201</c:v>
                </c:pt>
                <c:pt idx="7">
                  <c:v>88.3537835708311</c:v>
                </c:pt>
                <c:pt idx="8">
                  <c:v>88.742744435552</c:v>
                </c:pt>
                <c:pt idx="9">
                  <c:v>89.0492510237867</c:v>
                </c:pt>
                <c:pt idx="10">
                  <c:v>89.2966098879993</c:v>
                </c:pt>
                <c:pt idx="11">
                  <c:v>89.5000299738671</c:v>
                </c:pt>
                <c:pt idx="12">
                  <c:v>89.669873037493</c:v>
                </c:pt>
                <c:pt idx="13">
                  <c:v>89.8134505471974</c:v>
                </c:pt>
                <c:pt idx="14">
                  <c:v>89.9360741406393</c:v>
                </c:pt>
                <c:pt idx="15">
                  <c:v>90.0416986614087</c:v>
                </c:pt>
                <c:pt idx="16">
                  <c:v>90.1333313075978</c:v>
                </c:pt>
                <c:pt idx="17">
                  <c:v>90.2133006776562</c:v>
                </c:pt>
                <c:pt idx="18">
                  <c:v>90.2834387842029</c:v>
                </c:pt>
                <c:pt idx="19">
                  <c:v>90.3452072750243</c:v>
                </c:pt>
                <c:pt idx="20">
                  <c:v>90.3997868899338</c:v>
                </c:pt>
                <c:pt idx="21">
                  <c:v>90.4481420973243</c:v>
                </c:pt>
                <c:pt idx="22">
                  <c:v>90.6264437056113</c:v>
                </c:pt>
                <c:pt idx="23">
                  <c:v>90.4739610177899</c:v>
                </c:pt>
                <c:pt idx="24">
                  <c:v>90.4166634576669</c:v>
                </c:pt>
                <c:pt idx="25">
                  <c:v>90.3495516567295</c:v>
                </c:pt>
                <c:pt idx="26">
                  <c:v>90.2739112212908</c:v>
                </c:pt>
                <c:pt idx="27">
                  <c:v>90.190811721983</c:v>
                </c:pt>
                <c:pt idx="28">
                  <c:v>90.1011488671624</c:v>
                </c:pt>
                <c:pt idx="29">
                  <c:v>90.0056772679266</c:v>
                </c:pt>
                <c:pt idx="30">
                  <c:v>89.9050361329695</c:v>
                </c:pt>
                <c:pt idx="31">
                  <c:v>89.7997695949252</c:v>
                </c:pt>
                <c:pt idx="32">
                  <c:v>89.6903429206468</c:v>
                </c:pt>
                <c:pt idx="33">
                  <c:v>89.5771555370162</c:v>
                </c:pt>
                <c:pt idx="34">
                  <c:v>89.4605515720844</c:v>
                </c:pt>
                <c:pt idx="35">
                  <c:v>89.3408284421026</c:v>
                </c:pt>
                <c:pt idx="36">
                  <c:v>89.2182438901886</c:v>
                </c:pt>
                <c:pt idx="37">
                  <c:v>89.0930217894669</c:v>
                </c:pt>
                <c:pt idx="38">
                  <c:v>88.9653569537444</c:v>
                </c:pt>
                <c:pt idx="39">
                  <c:v>88.8354191459432</c:v>
                </c:pt>
                <c:pt idx="40">
                  <c:v>88.7033564341832</c:v>
                </c:pt>
                <c:pt idx="41">
                  <c:v>88.569298014392</c:v>
                </c:pt>
                <c:pt idx="42">
                  <c:v>88.4333565943091</c:v>
                </c:pt>
                <c:pt idx="43">
                  <c:v>88.2956304150217</c:v>
                </c:pt>
                <c:pt idx="44">
                  <c:v>88.1562049714861</c:v>
                </c:pt>
                <c:pt idx="45">
                  <c:v>88.0151544818907</c:v>
                </c:pt>
                <c:pt idx="46">
                  <c:v>87.8361877493926</c:v>
                </c:pt>
                <c:pt idx="47">
                  <c:v>87.6137988238639</c:v>
                </c:pt>
                <c:pt idx="48">
                  <c:v>87.3833110957011</c:v>
                </c:pt>
                <c:pt idx="49">
                  <c:v>87.1443601930113</c:v>
                </c:pt>
                <c:pt idx="50">
                  <c:v>86.8965648984548</c:v>
                </c:pt>
                <c:pt idx="51">
                  <c:v>86.6395268164819</c:v>
                </c:pt>
                <c:pt idx="52">
                  <c:v>86.3728301483887</c:v>
                </c:pt>
                <c:pt idx="53">
                  <c:v>86.0960416039946</c:v>
                </c:pt>
                <c:pt idx="54">
                  <c:v>85.8087104836684</c:v>
                </c:pt>
                <c:pt idx="55">
                  <c:v>85.5103689698871</c:v>
                </c:pt>
                <c:pt idx="56">
                  <c:v>85.2005326734599</c:v>
                </c:pt>
                <c:pt idx="57">
                  <c:v>84.8787014859121</c:v>
                </c:pt>
                <c:pt idx="58">
                  <c:v>84.5443607961558</c:v>
                </c:pt>
                <c:pt idx="59">
                  <c:v>84.1969831362558</c:v>
                </c:pt>
                <c:pt idx="60">
                  <c:v>83.8360303275086</c:v>
                </c:pt>
                <c:pt idx="61">
                  <c:v>83.4609562037367</c:v>
                </c:pt>
                <c:pt idx="62">
                  <c:v>83.0712099930685</c:v>
                </c:pt>
                <c:pt idx="63">
                  <c:v>82.6662404417389</c:v>
                </c:pt>
                <c:pt idx="64">
                  <c:v>82.2455007626558</c:v>
                </c:pt>
                <c:pt idx="65">
                  <c:v>81.8084544864685</c:v>
                </c:pt>
                <c:pt idx="66">
                  <c:v>81.3545822823062</c:v>
                </c:pt>
                <c:pt idx="67">
                  <c:v>80.8833897977822</c:v>
                </c:pt>
                <c:pt idx="68">
                  <c:v>80.3944165417707</c:v>
                </c:pt>
                <c:pt idx="69">
                  <c:v>79.8872457974971</c:v>
                </c:pt>
                <c:pt idx="70">
                  <c:v>79.3615155065833</c:v>
                </c:pt>
                <c:pt idx="71">
                  <c:v>78.8169300064373</c:v>
                </c:pt>
                <c:pt idx="72">
                  <c:v>78.2532724342799</c:v>
                </c:pt>
                <c:pt idx="73">
                  <c:v>77.6704175330182</c:v>
                </c:pt>
                <c:pt idx="74">
                  <c:v>77.0683445105948</c:v>
                </c:pt>
                <c:pt idx="75">
                  <c:v>76.4471495207849</c:v>
                </c:pt>
                <c:pt idx="76">
                  <c:v>75.8070572570109</c:v>
                </c:pt>
                <c:pt idx="77">
                  <c:v>75.1484310906124</c:v>
                </c:pt>
                <c:pt idx="78">
                  <c:v>74.4717811511358</c:v>
                </c:pt>
                <c:pt idx="79">
                  <c:v>73.777769748451</c:v>
                </c:pt>
                <c:pt idx="80">
                  <c:v>73.0672135831078</c:v>
                </c:pt>
                <c:pt idx="81">
                  <c:v>72.3410822872064</c:v>
                </c:pt>
                <c:pt idx="82">
                  <c:v>71.6004929831533</c:v>
                </c:pt>
                <c:pt idx="83">
                  <c:v>70.8467007358705</c:v>
                </c:pt>
                <c:pt idx="84">
                  <c:v>70.0810849928285</c:v>
                </c:pt>
                <c:pt idx="85">
                  <c:v>69.3051323376161</c:v>
                </c:pt>
                <c:pt idx="86">
                  <c:v>68.5204161050128</c:v>
                </c:pt>
                <c:pt idx="87">
                  <c:v>67.7285735964099</c:v>
                </c:pt>
                <c:pt idx="88">
                  <c:v>66.931281774254</c:v>
                </c:pt>
                <c:pt idx="89">
                  <c:v>66.1302323890384</c:v>
                </c:pt>
                <c:pt idx="90">
                  <c:v>65.3271074960397</c:v>
                </c:pt>
                <c:pt idx="91">
                  <c:v>64.5235562539197</c:v>
                </c:pt>
                <c:pt idx="92">
                  <c:v>63.7211737736411</c:v>
                </c:pt>
                <c:pt idx="93">
                  <c:v>62.9214826198923</c:v>
                </c:pt>
                <c:pt idx="94">
                  <c:v>62.1259173773572</c:v>
                </c:pt>
                <c:pt idx="95">
                  <c:v>61.3358124998599</c:v>
                </c:pt>
                <c:pt idx="96">
                  <c:v>60.552393478388</c:v>
                </c:pt>
                <c:pt idx="97">
                  <c:v>59.776771207005</c:v>
                </c:pt>
                <c:pt idx="98">
                  <c:v>59.0099393015436</c:v>
                </c:pt>
                <c:pt idx="99">
                  <c:v>58.2527740379213</c:v>
                </c:pt>
                <c:pt idx="100">
                  <c:v>57.5060365240546</c:v>
                </c:pt>
              </c:numCache>
            </c:numRef>
          </c:val>
          <c:smooth val="0"/>
        </c:ser>
        <c:dLbls>
          <c:showLegendKey val="0"/>
          <c:showVal val="0"/>
          <c:showCatName val="0"/>
          <c:showSerName val="0"/>
          <c:showPercent val="0"/>
          <c:showBubbleSize val="0"/>
        </c:dLbls>
        <c:marker val="0"/>
        <c:smooth val="0"/>
        <c:axId val="185214080"/>
        <c:axId val="185216000"/>
      </c:lineChart>
      <c:lineChart>
        <c:grouping val="standard"/>
        <c:varyColors val="0"/>
        <c:ser>
          <c:idx val="2"/>
          <c:order val="1"/>
          <c:tx>
            <c:strRef>
              <c:f>'Calculations - Single'!$BQ$3</c:f>
              <c:strCache>
                <c:ptCount val="1"/>
                <c:pt idx="0">
                  <c:v>Flyback Diode Loss</c:v>
                </c:pt>
              </c:strCache>
            </c:strRef>
          </c:tx>
          <c:spPr>
            <a:ln w="38100" cap="rnd" cmpd="sng" algn="ctr">
              <a:solidFill>
                <a:srgbClr val="808000"/>
              </a:solidFill>
              <a:prstDash val="sysDash"/>
              <a:round/>
            </a:ln>
          </c:spPr>
          <c:marker>
            <c:symbol val="none"/>
          </c:marker>
          <c:dLbls>
            <c:delete val="1"/>
          </c:dLbls>
          <c:cat>
            <c:numRef>
              <c:f>{0,0.025,0.05,0.075,0.1,0.125,0.15,0.175,0.2,0.225,0.25,0.275,0.3,0.325,0.35,0.375,0.4,0.425,0.45,0.475,0.5,0.525,0.55,0.575,0.6,0.625,0.65,0.675,0.7,0.725,0.75,0.775,0.8,0.825,0.85,0.875,0.9,0.925,0.95,0.975,1,1.025,1.05,1.075,1.1,1.125,1.15,1.175,1.2,1.225,1.25,1.275,1.3,1.325,1.35,1.375,1.4,1.425,1.45,1.475,1.5,1.525,1.55,1.575,1.6,1.625,1.65,1.675,1.7,1.725,1.75,1.775,1.8,1.825,1.85,1.875,1.9,1.925,1.95,1.975,2,2.025,2.05,2.075,2.1,2.125,2.15,2.175,2.2,2.225,2.25,2.275,2.3,2.325,2.35,2.375,2.4,2.425,2.45,2.475,2.5,2.525,2.55,2.575,2.6,2.625,2.65,2.675,2.7,2.725,2.75,2.775,2.8,2.825,2.85,2.875,2.9,2.925,2.95,2.975,3,3.025,3.05,3.075,3.1,3.125,3.15,3.175,3.2,3.225,3.25,3.275,3.3,3.325,3.35,3.375,3.4,3.425,3.45,3.475,3.5,3.525,3.55,3.575,3.6,3.625,3.65,3.675,3.7,3.725,3.75,3.775,3.8,3.825,3.85,3.875,3.9,3.925,3.95,3.975,4,4.025,4.05,4.075,4.1,4.125,4.15,4.175,4.2,4.225,4.25,4.275,4.3,4.325,4.35,4.375,4.4,4.425,4.45,4.475,4.5,4.525,4.55,4.575,4.6,4.625,4.65,4.675,4.7,4.725,4.75,4.775,4.8,4.825,4.85,4.875,4.9,4.925,4.95,4.975,5}</c:f>
              <c:numCache>
                <c:formatCode>General</c:formatCode>
                <c:ptCount val="201"/>
                <c:pt idx="0">
                  <c:v>0</c:v>
                </c:pt>
                <c:pt idx="1">
                  <c:v>0.025</c:v>
                </c:pt>
                <c:pt idx="2">
                  <c:v>0.05</c:v>
                </c:pt>
                <c:pt idx="3">
                  <c:v>0.075</c:v>
                </c:pt>
                <c:pt idx="4">
                  <c:v>0.1</c:v>
                </c:pt>
                <c:pt idx="5">
                  <c:v>0.125</c:v>
                </c:pt>
                <c:pt idx="6">
                  <c:v>0.15</c:v>
                </c:pt>
                <c:pt idx="7">
                  <c:v>0.175</c:v>
                </c:pt>
                <c:pt idx="8">
                  <c:v>0.2</c:v>
                </c:pt>
                <c:pt idx="9">
                  <c:v>0.225</c:v>
                </c:pt>
                <c:pt idx="10">
                  <c:v>0.25</c:v>
                </c:pt>
                <c:pt idx="11">
                  <c:v>0.275</c:v>
                </c:pt>
                <c:pt idx="12">
                  <c:v>0.3</c:v>
                </c:pt>
                <c:pt idx="13">
                  <c:v>0.325</c:v>
                </c:pt>
                <c:pt idx="14">
                  <c:v>0.35</c:v>
                </c:pt>
                <c:pt idx="15">
                  <c:v>0.375</c:v>
                </c:pt>
                <c:pt idx="16">
                  <c:v>0.4</c:v>
                </c:pt>
                <c:pt idx="17">
                  <c:v>0.425</c:v>
                </c:pt>
                <c:pt idx="18">
                  <c:v>0.45</c:v>
                </c:pt>
                <c:pt idx="19">
                  <c:v>0.475</c:v>
                </c:pt>
                <c:pt idx="20">
                  <c:v>0.5</c:v>
                </c:pt>
                <c:pt idx="21">
                  <c:v>0.525</c:v>
                </c:pt>
                <c:pt idx="22">
                  <c:v>0.55</c:v>
                </c:pt>
                <c:pt idx="23">
                  <c:v>0.575</c:v>
                </c:pt>
                <c:pt idx="24">
                  <c:v>0.6</c:v>
                </c:pt>
                <c:pt idx="25">
                  <c:v>0.625</c:v>
                </c:pt>
                <c:pt idx="26">
                  <c:v>0.65</c:v>
                </c:pt>
                <c:pt idx="27">
                  <c:v>0.675</c:v>
                </c:pt>
                <c:pt idx="28">
                  <c:v>0.7</c:v>
                </c:pt>
                <c:pt idx="29">
                  <c:v>0.725</c:v>
                </c:pt>
                <c:pt idx="30">
                  <c:v>0.75</c:v>
                </c:pt>
                <c:pt idx="31">
                  <c:v>0.775</c:v>
                </c:pt>
                <c:pt idx="32">
                  <c:v>0.8</c:v>
                </c:pt>
                <c:pt idx="33">
                  <c:v>0.825</c:v>
                </c:pt>
                <c:pt idx="34">
                  <c:v>0.85</c:v>
                </c:pt>
                <c:pt idx="35">
                  <c:v>0.875</c:v>
                </c:pt>
                <c:pt idx="36">
                  <c:v>0.9</c:v>
                </c:pt>
                <c:pt idx="37">
                  <c:v>0.925</c:v>
                </c:pt>
                <c:pt idx="38">
                  <c:v>0.95</c:v>
                </c:pt>
                <c:pt idx="39">
                  <c:v>0.975</c:v>
                </c:pt>
                <c:pt idx="40">
                  <c:v>1</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pt idx="151">
                  <c:v>3.775</c:v>
                </c:pt>
                <c:pt idx="152">
                  <c:v>3.8</c:v>
                </c:pt>
                <c:pt idx="153">
                  <c:v>3.825</c:v>
                </c:pt>
                <c:pt idx="154">
                  <c:v>3.85</c:v>
                </c:pt>
                <c:pt idx="155">
                  <c:v>3.875</c:v>
                </c:pt>
                <c:pt idx="156">
                  <c:v>3.9</c:v>
                </c:pt>
                <c:pt idx="157">
                  <c:v>3.925</c:v>
                </c:pt>
                <c:pt idx="158">
                  <c:v>3.95</c:v>
                </c:pt>
                <c:pt idx="159">
                  <c:v>3.975</c:v>
                </c:pt>
                <c:pt idx="160">
                  <c:v>4</c:v>
                </c:pt>
                <c:pt idx="161">
                  <c:v>4.025</c:v>
                </c:pt>
                <c:pt idx="162">
                  <c:v>4.05</c:v>
                </c:pt>
                <c:pt idx="163">
                  <c:v>4.075</c:v>
                </c:pt>
                <c:pt idx="164">
                  <c:v>4.1</c:v>
                </c:pt>
                <c:pt idx="165">
                  <c:v>4.125</c:v>
                </c:pt>
                <c:pt idx="166">
                  <c:v>4.15</c:v>
                </c:pt>
                <c:pt idx="167">
                  <c:v>4.175</c:v>
                </c:pt>
                <c:pt idx="168">
                  <c:v>4.2</c:v>
                </c:pt>
                <c:pt idx="169">
                  <c:v>4.225</c:v>
                </c:pt>
                <c:pt idx="170">
                  <c:v>4.25</c:v>
                </c:pt>
                <c:pt idx="171">
                  <c:v>4.275</c:v>
                </c:pt>
                <c:pt idx="172">
                  <c:v>4.3</c:v>
                </c:pt>
                <c:pt idx="173">
                  <c:v>4.325</c:v>
                </c:pt>
                <c:pt idx="174">
                  <c:v>4.35</c:v>
                </c:pt>
                <c:pt idx="175">
                  <c:v>4.375</c:v>
                </c:pt>
                <c:pt idx="176">
                  <c:v>4.4</c:v>
                </c:pt>
                <c:pt idx="177">
                  <c:v>4.425</c:v>
                </c:pt>
                <c:pt idx="178">
                  <c:v>4.45</c:v>
                </c:pt>
                <c:pt idx="179">
                  <c:v>4.475</c:v>
                </c:pt>
                <c:pt idx="180">
                  <c:v>4.5</c:v>
                </c:pt>
                <c:pt idx="181">
                  <c:v>4.525</c:v>
                </c:pt>
                <c:pt idx="182">
                  <c:v>4.55</c:v>
                </c:pt>
                <c:pt idx="183">
                  <c:v>4.575</c:v>
                </c:pt>
                <c:pt idx="184">
                  <c:v>4.6</c:v>
                </c:pt>
                <c:pt idx="185">
                  <c:v>4.625</c:v>
                </c:pt>
                <c:pt idx="186">
                  <c:v>4.65</c:v>
                </c:pt>
                <c:pt idx="187">
                  <c:v>4.675</c:v>
                </c:pt>
                <c:pt idx="188">
                  <c:v>4.7</c:v>
                </c:pt>
                <c:pt idx="189">
                  <c:v>4.725</c:v>
                </c:pt>
                <c:pt idx="190">
                  <c:v>4.75</c:v>
                </c:pt>
                <c:pt idx="191">
                  <c:v>4.775</c:v>
                </c:pt>
                <c:pt idx="192">
                  <c:v>4.8</c:v>
                </c:pt>
                <c:pt idx="193">
                  <c:v>4.825</c:v>
                </c:pt>
                <c:pt idx="194">
                  <c:v>4.85</c:v>
                </c:pt>
                <c:pt idx="195">
                  <c:v>4.875</c:v>
                </c:pt>
                <c:pt idx="196">
                  <c:v>4.9</c:v>
                </c:pt>
                <c:pt idx="197">
                  <c:v>4.925</c:v>
                </c:pt>
                <c:pt idx="198">
                  <c:v>4.95</c:v>
                </c:pt>
                <c:pt idx="199">
                  <c:v>4.975</c:v>
                </c:pt>
                <c:pt idx="200">
                  <c:v>5</c:v>
                </c:pt>
              </c:numCache>
            </c:numRef>
          </c:cat>
          <c:val>
            <c:numRef>
              <c:f>'Calculations - Single'!$BT$5:$BT$105</c:f>
              <c:numCache>
                <c:formatCode>0.0</c:formatCode>
                <c:ptCount val="101"/>
                <c:pt idx="0">
                  <c:v>8.40561163791125</c:v>
                </c:pt>
                <c:pt idx="1">
                  <c:v>11.3376378322433</c:v>
                </c:pt>
                <c:pt idx="2">
                  <c:v>14.2061462159867</c:v>
                </c:pt>
                <c:pt idx="3">
                  <c:v>17.07465459973</c:v>
                </c:pt>
                <c:pt idx="4">
                  <c:v>20.1679730110224</c:v>
                </c:pt>
                <c:pt idx="5">
                  <c:v>24.7604491268176</c:v>
                </c:pt>
                <c:pt idx="6">
                  <c:v>29.3987310197195</c:v>
                </c:pt>
                <c:pt idx="7">
                  <c:v>33.9618473173261</c:v>
                </c:pt>
                <c:pt idx="8">
                  <c:v>38.4554062501886</c:v>
                </c:pt>
                <c:pt idx="9">
                  <c:v>42.883919858891</c:v>
                </c:pt>
                <c:pt idx="10">
                  <c:v>47.2511208080357</c:v>
                </c:pt>
                <c:pt idx="11">
                  <c:v>51.5601640379173</c:v>
                </c:pt>
                <c:pt idx="12">
                  <c:v>55.8137621015078</c:v>
                </c:pt>
                <c:pt idx="13">
                  <c:v>60.0142798566958</c:v>
                </c:pt>
                <c:pt idx="14">
                  <c:v>64.163802986399</c:v>
                </c:pt>
                <c:pt idx="15">
                  <c:v>68.2641889759817</c:v>
                </c:pt>
                <c:pt idx="16">
                  <c:v>72.317105934122</c:v>
                </c:pt>
                <c:pt idx="17">
                  <c:v>76.3240627495684</c:v>
                </c:pt>
                <c:pt idx="18">
                  <c:v>80.286432922653</c:v>
                </c:pt>
                <c:pt idx="19">
                  <c:v>84.2054736819355</c:v>
                </c:pt>
                <c:pt idx="20">
                  <c:v>88.0823415218003</c:v>
                </c:pt>
                <c:pt idx="21">
                  <c:v>91.9181049792264</c:v>
                </c:pt>
                <c:pt idx="22">
                  <c:v>96.8213206547296</c:v>
                </c:pt>
                <c:pt idx="23">
                  <c:v>102.671738263889</c:v>
                </c:pt>
                <c:pt idx="24">
                  <c:v>108.348888922495</c:v>
                </c:pt>
                <c:pt idx="25">
                  <c:v>114.127136417638</c:v>
                </c:pt>
                <c:pt idx="26">
                  <c:v>120.006480749317</c:v>
                </c:pt>
                <c:pt idx="27">
                  <c:v>125.986921917533</c:v>
                </c:pt>
                <c:pt idx="28">
                  <c:v>132.068459922285</c:v>
                </c:pt>
                <c:pt idx="29">
                  <c:v>138.251094763574</c:v>
                </c:pt>
                <c:pt idx="30">
                  <c:v>144.534826441399</c:v>
                </c:pt>
                <c:pt idx="31">
                  <c:v>150.919654955761</c:v>
                </c:pt>
                <c:pt idx="32">
                  <c:v>157.405580306659</c:v>
                </c:pt>
                <c:pt idx="33">
                  <c:v>163.992602494093</c:v>
                </c:pt>
                <c:pt idx="34">
                  <c:v>170.680721518064</c:v>
                </c:pt>
                <c:pt idx="35">
                  <c:v>177.469937378571</c:v>
                </c:pt>
                <c:pt idx="36">
                  <c:v>184.360250075615</c:v>
                </c:pt>
                <c:pt idx="37">
                  <c:v>191.351659609195</c:v>
                </c:pt>
                <c:pt idx="38">
                  <c:v>198.444165979311</c:v>
                </c:pt>
                <c:pt idx="39">
                  <c:v>205.637769185964</c:v>
                </c:pt>
                <c:pt idx="40">
                  <c:v>212.932469229153</c:v>
                </c:pt>
                <c:pt idx="41">
                  <c:v>220.328266108879</c:v>
                </c:pt>
                <c:pt idx="42">
                  <c:v>227.825159825142</c:v>
                </c:pt>
                <c:pt idx="43">
                  <c:v>235.42315037794</c:v>
                </c:pt>
                <c:pt idx="44">
                  <c:v>243.122237767275</c:v>
                </c:pt>
                <c:pt idx="45">
                  <c:v>250.922421993147</c:v>
                </c:pt>
                <c:pt idx="46">
                  <c:v>257.625626155285</c:v>
                </c:pt>
                <c:pt idx="47">
                  <c:v>263.1223208987</c:v>
                </c:pt>
                <c:pt idx="48">
                  <c:v>268.610451900704</c:v>
                </c:pt>
                <c:pt idx="49">
                  <c:v>274.089536540508</c:v>
                </c:pt>
                <c:pt idx="50">
                  <c:v>279.559060196235</c:v>
                </c:pt>
                <c:pt idx="51">
                  <c:v>285.018474102965</c:v>
                </c:pt>
                <c:pt idx="52">
                  <c:v>290.467193115181</c:v>
                </c:pt>
                <c:pt idx="53">
                  <c:v>295.904593383777</c:v>
                </c:pt>
                <c:pt idx="54">
                  <c:v>301.330009962488</c:v>
                </c:pt>
                <c:pt idx="55">
                  <c:v>306.742734364251</c:v>
                </c:pt>
                <c:pt idx="56">
                  <c:v>312.142012094931</c:v>
                </c:pt>
                <c:pt idx="57">
                  <c:v>317.527040200086</c:v>
                </c:pt>
                <c:pt idx="58">
                  <c:v>322.89696487023</c:v>
                </c:pt>
                <c:pt idx="59">
                  <c:v>328.25087916144</c:v>
                </c:pt>
                <c:pt idx="60">
                  <c:v>333.587820901237</c:v>
                </c:pt>
                <c:pt idx="61">
                  <c:v>338.906770864481</c:v>
                </c:pt>
                <c:pt idx="62">
                  <c:v>344.206651320346</c:v>
                </c:pt>
                <c:pt idx="63">
                  <c:v>349.486325069071</c:v>
                </c:pt>
                <c:pt idx="64">
                  <c:v>354.744595105586</c:v>
                </c:pt>
                <c:pt idx="65">
                  <c:v>359.980205065444</c:v>
                </c:pt>
                <c:pt idx="66">
                  <c:v>365.191840625706</c:v>
                </c:pt>
                <c:pt idx="67">
                  <c:v>370.378132047847</c:v>
                </c:pt>
                <c:pt idx="68">
                  <c:v>375.537658059511</c:v>
                </c:pt>
                <c:pt idx="69">
                  <c:v>380.66895127451</c:v>
                </c:pt>
                <c:pt idx="70">
                  <c:v>385.770505343062</c:v>
                </c:pt>
                <c:pt idx="71">
                  <c:v>390.840784003807</c:v>
                </c:pt>
                <c:pt idx="72">
                  <c:v>395.878232172559</c:v>
                </c:pt>
                <c:pt idx="73">
                  <c:v>400.88128914749</c:v>
                </c:pt>
                <c:pt idx="74">
                  <c:v>405.848403934549</c:v>
                </c:pt>
                <c:pt idx="75">
                  <c:v>410.778052600375</c:v>
                </c:pt>
                <c:pt idx="76">
                  <c:v>415.668757444502</c:v>
                </c:pt>
                <c:pt idx="77">
                  <c:v>420.519107652956</c:v>
                </c:pt>
                <c:pt idx="78">
                  <c:v>425.327780959101</c:v>
                </c:pt>
                <c:pt idx="79">
                  <c:v>430.093565705397</c:v>
                </c:pt>
                <c:pt idx="80">
                  <c:v>434.815382584675</c:v>
                </c:pt>
                <c:pt idx="81">
                  <c:v>439.492305255861</c:v>
                </c:pt>
                <c:pt idx="82">
                  <c:v>444.123578990335</c:v>
                </c:pt>
                <c:pt idx="83">
                  <c:v>448.708636522174</c:v>
                </c:pt>
                <c:pt idx="84">
                  <c:v>453.24711035427</c:v>
                </c:pt>
                <c:pt idx="85">
                  <c:v>457.738840911918</c:v>
                </c:pt>
                <c:pt idx="86">
                  <c:v>462.183880127834</c:v>
                </c:pt>
                <c:pt idx="87">
                  <c:v>466.582490272461</c:v>
                </c:pt>
                <c:pt idx="88">
                  <c:v>470.935138090516</c:v>
                </c:pt>
                <c:pt idx="89">
                  <c:v>475.242484546149</c:v>
                </c:pt>
                <c:pt idx="90">
                  <c:v>479.505370692868</c:v>
                </c:pt>
                <c:pt idx="91">
                  <c:v>483.724800352368</c:v>
                </c:pt>
                <c:pt idx="92">
                  <c:v>487.901920396697</c:v>
                </c:pt>
                <c:pt idx="93">
                  <c:v>492.03799947638</c:v>
                </c:pt>
                <c:pt idx="94">
                  <c:v>496.134406025682</c:v>
                </c:pt>
                <c:pt idx="95">
                  <c:v>500.192586313881</c:v>
                </c:pt>
                <c:pt idx="96">
                  <c:v>504.214043210534</c:v>
                </c:pt>
                <c:pt idx="97">
                  <c:v>508.200316207555</c:v>
                </c:pt>
                <c:pt idx="98">
                  <c:v>512.152963105207</c:v>
                </c:pt>
                <c:pt idx="99">
                  <c:v>516.073543634943</c:v>
                </c:pt>
                <c:pt idx="100">
                  <c:v>519.963605168552</c:v>
                </c:pt>
              </c:numCache>
            </c:numRef>
          </c:val>
          <c:smooth val="0"/>
        </c:ser>
        <c:ser>
          <c:idx val="3"/>
          <c:order val="2"/>
          <c:tx>
            <c:strRef>
              <c:f>'Calculations - Single'!$BI$3</c:f>
              <c:strCache>
                <c:ptCount val="1"/>
                <c:pt idx="0">
                  <c:v>IC Loss</c:v>
                </c:pt>
              </c:strCache>
            </c:strRef>
          </c:tx>
          <c:spPr>
            <a:ln w="38100" cap="rnd" cmpd="sng" algn="ctr">
              <a:solidFill>
                <a:srgbClr val="800080"/>
              </a:solidFill>
              <a:prstDash val="dash"/>
              <a:round/>
            </a:ln>
          </c:spPr>
          <c:marker>
            <c:symbol val="none"/>
          </c:marker>
          <c:dLbls>
            <c:delete val="1"/>
          </c:dLbls>
          <c:cat>
            <c:numRef>
              <c:f>{0,0.025,0.05,0.075,0.1,0.125,0.15,0.175,0.2,0.225,0.25,0.275,0.3,0.325,0.35,0.375,0.4,0.425,0.45,0.475,0.5,0.525,0.55,0.575,0.6,0.625,0.65,0.675,0.7,0.725,0.75,0.775,0.8,0.825,0.85,0.875,0.9,0.925,0.95,0.975,1,1.025,1.05,1.075,1.1,1.125,1.15,1.175,1.2,1.225,1.25,1.275,1.3,1.325,1.35,1.375,1.4,1.425,1.45,1.475,1.5,1.525,1.55,1.575,1.6,1.625,1.65,1.675,1.7,1.725,1.75,1.775,1.8,1.825,1.85,1.875,1.9,1.925,1.95,1.975,2,2.025,2.05,2.075,2.1,2.125,2.15,2.175,2.2,2.225,2.25,2.275,2.3,2.325,2.35,2.375,2.4,2.425,2.45,2.475,2.5,2.525,2.55,2.575,2.6,2.625,2.65,2.675,2.7,2.725,2.75,2.775,2.8,2.825,2.85,2.875,2.9,2.925,2.95,2.975,3,3.025,3.05,3.075,3.1,3.125,3.15,3.175,3.2,3.225,3.25,3.275,3.3,3.325,3.35,3.375,3.4,3.425,3.45,3.475,3.5,3.525,3.55,3.575,3.6,3.625,3.65,3.675,3.7,3.725,3.75,3.775,3.8,3.825,3.85,3.875,3.9,3.925,3.95,3.975,4,4.025,4.05,4.075,4.1,4.125,4.15,4.175,4.2,4.225,4.25,4.275,4.3,4.325,4.35,4.375,4.4,4.425,4.45,4.475,4.5,4.525,4.55,4.575,4.6,4.625,4.65,4.675,4.7,4.725,4.75,4.775,4.8,4.825,4.85,4.875,4.9,4.925,4.95,4.975,5}</c:f>
              <c:numCache>
                <c:formatCode>General</c:formatCode>
                <c:ptCount val="201"/>
                <c:pt idx="0">
                  <c:v>0</c:v>
                </c:pt>
                <c:pt idx="1">
                  <c:v>0.025</c:v>
                </c:pt>
                <c:pt idx="2">
                  <c:v>0.05</c:v>
                </c:pt>
                <c:pt idx="3">
                  <c:v>0.075</c:v>
                </c:pt>
                <c:pt idx="4">
                  <c:v>0.1</c:v>
                </c:pt>
                <c:pt idx="5">
                  <c:v>0.125</c:v>
                </c:pt>
                <c:pt idx="6">
                  <c:v>0.15</c:v>
                </c:pt>
                <c:pt idx="7">
                  <c:v>0.175</c:v>
                </c:pt>
                <c:pt idx="8">
                  <c:v>0.2</c:v>
                </c:pt>
                <c:pt idx="9">
                  <c:v>0.225</c:v>
                </c:pt>
                <c:pt idx="10">
                  <c:v>0.25</c:v>
                </c:pt>
                <c:pt idx="11">
                  <c:v>0.275</c:v>
                </c:pt>
                <c:pt idx="12">
                  <c:v>0.3</c:v>
                </c:pt>
                <c:pt idx="13">
                  <c:v>0.325</c:v>
                </c:pt>
                <c:pt idx="14">
                  <c:v>0.35</c:v>
                </c:pt>
                <c:pt idx="15">
                  <c:v>0.375</c:v>
                </c:pt>
                <c:pt idx="16">
                  <c:v>0.4</c:v>
                </c:pt>
                <c:pt idx="17">
                  <c:v>0.425</c:v>
                </c:pt>
                <c:pt idx="18">
                  <c:v>0.45</c:v>
                </c:pt>
                <c:pt idx="19">
                  <c:v>0.475</c:v>
                </c:pt>
                <c:pt idx="20">
                  <c:v>0.5</c:v>
                </c:pt>
                <c:pt idx="21">
                  <c:v>0.525</c:v>
                </c:pt>
                <c:pt idx="22">
                  <c:v>0.55</c:v>
                </c:pt>
                <c:pt idx="23">
                  <c:v>0.575</c:v>
                </c:pt>
                <c:pt idx="24">
                  <c:v>0.6</c:v>
                </c:pt>
                <c:pt idx="25">
                  <c:v>0.625</c:v>
                </c:pt>
                <c:pt idx="26">
                  <c:v>0.65</c:v>
                </c:pt>
                <c:pt idx="27">
                  <c:v>0.675</c:v>
                </c:pt>
                <c:pt idx="28">
                  <c:v>0.7</c:v>
                </c:pt>
                <c:pt idx="29">
                  <c:v>0.725</c:v>
                </c:pt>
                <c:pt idx="30">
                  <c:v>0.75</c:v>
                </c:pt>
                <c:pt idx="31">
                  <c:v>0.775</c:v>
                </c:pt>
                <c:pt idx="32">
                  <c:v>0.8</c:v>
                </c:pt>
                <c:pt idx="33">
                  <c:v>0.825</c:v>
                </c:pt>
                <c:pt idx="34">
                  <c:v>0.85</c:v>
                </c:pt>
                <c:pt idx="35">
                  <c:v>0.875</c:v>
                </c:pt>
                <c:pt idx="36">
                  <c:v>0.9</c:v>
                </c:pt>
                <c:pt idx="37">
                  <c:v>0.925</c:v>
                </c:pt>
                <c:pt idx="38">
                  <c:v>0.95</c:v>
                </c:pt>
                <c:pt idx="39">
                  <c:v>0.975</c:v>
                </c:pt>
                <c:pt idx="40">
                  <c:v>1</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pt idx="151">
                  <c:v>3.775</c:v>
                </c:pt>
                <c:pt idx="152">
                  <c:v>3.8</c:v>
                </c:pt>
                <c:pt idx="153">
                  <c:v>3.825</c:v>
                </c:pt>
                <c:pt idx="154">
                  <c:v>3.85</c:v>
                </c:pt>
                <c:pt idx="155">
                  <c:v>3.875</c:v>
                </c:pt>
                <c:pt idx="156">
                  <c:v>3.9</c:v>
                </c:pt>
                <c:pt idx="157">
                  <c:v>3.925</c:v>
                </c:pt>
                <c:pt idx="158">
                  <c:v>3.95</c:v>
                </c:pt>
                <c:pt idx="159">
                  <c:v>3.975</c:v>
                </c:pt>
                <c:pt idx="160">
                  <c:v>4</c:v>
                </c:pt>
                <c:pt idx="161">
                  <c:v>4.025</c:v>
                </c:pt>
                <c:pt idx="162">
                  <c:v>4.05</c:v>
                </c:pt>
                <c:pt idx="163">
                  <c:v>4.075</c:v>
                </c:pt>
                <c:pt idx="164">
                  <c:v>4.1</c:v>
                </c:pt>
                <c:pt idx="165">
                  <c:v>4.125</c:v>
                </c:pt>
                <c:pt idx="166">
                  <c:v>4.15</c:v>
                </c:pt>
                <c:pt idx="167">
                  <c:v>4.175</c:v>
                </c:pt>
                <c:pt idx="168">
                  <c:v>4.2</c:v>
                </c:pt>
                <c:pt idx="169">
                  <c:v>4.225</c:v>
                </c:pt>
                <c:pt idx="170">
                  <c:v>4.25</c:v>
                </c:pt>
                <c:pt idx="171">
                  <c:v>4.275</c:v>
                </c:pt>
                <c:pt idx="172">
                  <c:v>4.3</c:v>
                </c:pt>
                <c:pt idx="173">
                  <c:v>4.325</c:v>
                </c:pt>
                <c:pt idx="174">
                  <c:v>4.35</c:v>
                </c:pt>
                <c:pt idx="175">
                  <c:v>4.375</c:v>
                </c:pt>
                <c:pt idx="176">
                  <c:v>4.4</c:v>
                </c:pt>
                <c:pt idx="177">
                  <c:v>4.425</c:v>
                </c:pt>
                <c:pt idx="178">
                  <c:v>4.45</c:v>
                </c:pt>
                <c:pt idx="179">
                  <c:v>4.475</c:v>
                </c:pt>
                <c:pt idx="180">
                  <c:v>4.5</c:v>
                </c:pt>
                <c:pt idx="181">
                  <c:v>4.525</c:v>
                </c:pt>
                <c:pt idx="182">
                  <c:v>4.55</c:v>
                </c:pt>
                <c:pt idx="183">
                  <c:v>4.575</c:v>
                </c:pt>
                <c:pt idx="184">
                  <c:v>4.6</c:v>
                </c:pt>
                <c:pt idx="185">
                  <c:v>4.625</c:v>
                </c:pt>
                <c:pt idx="186">
                  <c:v>4.65</c:v>
                </c:pt>
                <c:pt idx="187">
                  <c:v>4.675</c:v>
                </c:pt>
                <c:pt idx="188">
                  <c:v>4.7</c:v>
                </c:pt>
                <c:pt idx="189">
                  <c:v>4.725</c:v>
                </c:pt>
                <c:pt idx="190">
                  <c:v>4.75</c:v>
                </c:pt>
                <c:pt idx="191">
                  <c:v>4.775</c:v>
                </c:pt>
                <c:pt idx="192">
                  <c:v>4.8</c:v>
                </c:pt>
                <c:pt idx="193">
                  <c:v>4.825</c:v>
                </c:pt>
                <c:pt idx="194">
                  <c:v>4.85</c:v>
                </c:pt>
                <c:pt idx="195">
                  <c:v>4.875</c:v>
                </c:pt>
                <c:pt idx="196">
                  <c:v>4.9</c:v>
                </c:pt>
                <c:pt idx="197">
                  <c:v>4.925</c:v>
                </c:pt>
                <c:pt idx="198">
                  <c:v>4.95</c:v>
                </c:pt>
                <c:pt idx="199">
                  <c:v>4.975</c:v>
                </c:pt>
                <c:pt idx="200">
                  <c:v>5</c:v>
                </c:pt>
              </c:numCache>
            </c:numRef>
          </c:cat>
          <c:val>
            <c:numRef>
              <c:f>'Calculations - Single'!$BP$5:$BP$105</c:f>
              <c:numCache>
                <c:formatCode>0.0</c:formatCode>
                <c:ptCount val="101"/>
                <c:pt idx="0">
                  <c:v>4.53323812518658</c:v>
                </c:pt>
                <c:pt idx="1">
                  <c:v>10.6594721359413</c:v>
                </c:pt>
                <c:pt idx="2">
                  <c:v>17.8432814967841</c:v>
                </c:pt>
                <c:pt idx="3">
                  <c:v>25.0314320139883</c:v>
                </c:pt>
                <c:pt idx="4">
                  <c:v>32.6319259060506</c:v>
                </c:pt>
                <c:pt idx="5">
                  <c:v>37.6111435832478</c:v>
                </c:pt>
                <c:pt idx="6">
                  <c:v>40.5520577543554</c:v>
                </c:pt>
                <c:pt idx="7">
                  <c:v>43.5204824673638</c:v>
                </c:pt>
                <c:pt idx="8">
                  <c:v>46.5300925563738</c:v>
                </c:pt>
                <c:pt idx="9">
                  <c:v>49.5894314590526</c:v>
                </c:pt>
                <c:pt idx="10">
                  <c:v>52.7040511519457</c:v>
                </c:pt>
                <c:pt idx="11">
                  <c:v>55.8776595488899</c:v>
                </c:pt>
                <c:pt idx="12">
                  <c:v>59.112779162803</c:v>
                </c:pt>
                <c:pt idx="13">
                  <c:v>62.4111457708405</c:v>
                </c:pt>
                <c:pt idx="14">
                  <c:v>65.7739601182149</c:v>
                </c:pt>
                <c:pt idx="15">
                  <c:v>69.2020523885733</c:v>
                </c:pt>
                <c:pt idx="16">
                  <c:v>72.6959927658968</c:v>
                </c:pt>
                <c:pt idx="17">
                  <c:v>76.2561675395755</c:v>
                </c:pt>
                <c:pt idx="18">
                  <c:v>79.8828325466778</c:v>
                </c:pt>
                <c:pt idx="19">
                  <c:v>83.5761513386254</c:v>
                </c:pt>
                <c:pt idx="20">
                  <c:v>87.3362228310204</c:v>
                </c:pt>
                <c:pt idx="21">
                  <c:v>91.1631015781353</c:v>
                </c:pt>
                <c:pt idx="22">
                  <c:v>90.9770697733709</c:v>
                </c:pt>
                <c:pt idx="23">
                  <c:v>96.6154736032326</c:v>
                </c:pt>
                <c:pt idx="24">
                  <c:v>100.602351588935</c:v>
                </c:pt>
                <c:pt idx="25">
                  <c:v>104.843799659339</c:v>
                </c:pt>
                <c:pt idx="26">
                  <c:v>109.336843810666</c:v>
                </c:pt>
                <c:pt idx="27">
                  <c:v>114.079386129943</c:v>
                </c:pt>
                <c:pt idx="28">
                  <c:v>119.070070825046</c:v>
                </c:pt>
                <c:pt idx="29">
                  <c:v>124.308178700854</c:v>
                </c:pt>
                <c:pt idx="30">
                  <c:v>129.793543487746</c:v>
                </c:pt>
                <c:pt idx="31">
                  <c:v>135.526485132501</c:v>
                </c:pt>
                <c:pt idx="32">
                  <c:v>141.507756386395</c:v>
                </c:pt>
                <c:pt idx="33">
                  <c:v>147.738499916235</c:v>
                </c:pt>
                <c:pt idx="34">
                  <c:v>154.220213819287</c:v>
                </c:pt>
                <c:pt idx="35">
                  <c:v>160.954723909987</c:v>
                </c:pt>
                <c:pt idx="36">
                  <c:v>167.944161511701</c:v>
                </c:pt>
                <c:pt idx="37">
                  <c:v>175.190945763512</c:v>
                </c:pt>
                <c:pt idx="38">
                  <c:v>182.697769663333</c:v>
                </c:pt>
                <c:pt idx="39">
                  <c:v>190.467589231486</c:v>
                </c:pt>
                <c:pt idx="40">
                  <c:v>198.503615305236</c:v>
                </c:pt>
                <c:pt idx="41">
                  <c:v>206.80930757366</c:v>
                </c:pt>
                <c:pt idx="42">
                  <c:v>215.388370540166</c:v>
                </c:pt>
                <c:pt idx="43">
                  <c:v>224.244751161835</c:v>
                </c:pt>
                <c:pt idx="44">
                  <c:v>233.382637964274</c:v>
                </c:pt>
                <c:pt idx="45">
                  <c:v>242.806461470525</c:v>
                </c:pt>
                <c:pt idx="46">
                  <c:v>245.002884686723</c:v>
                </c:pt>
                <c:pt idx="47">
                  <c:v>239.608841428294</c:v>
                </c:pt>
                <c:pt idx="48">
                  <c:v>234.253511641057</c:v>
                </c:pt>
                <c:pt idx="49">
                  <c:v>228.937778061773</c:v>
                </c:pt>
                <c:pt idx="50">
                  <c:v>223.662589299057</c:v>
                </c:pt>
                <c:pt idx="51">
                  <c:v>218.428964068794</c:v>
                </c:pt>
                <c:pt idx="52">
                  <c:v>213.237995599209</c:v>
                </c:pt>
                <c:pt idx="53">
                  <c:v>208.090856180651</c:v>
                </c:pt>
                <c:pt idx="54">
                  <c:v>202.988801825063</c:v>
                </c:pt>
                <c:pt idx="55">
                  <c:v>197.933176987891</c:v>
                </c:pt>
                <c:pt idx="56">
                  <c:v>192.925419290468</c:v>
                </c:pt>
                <c:pt idx="57">
                  <c:v>187.967064163387</c:v>
                </c:pt>
                <c:pt idx="58">
                  <c:v>183.05974931075</c:v>
                </c:pt>
                <c:pt idx="59">
                  <c:v>178.205218871332</c:v>
                </c:pt>
                <c:pt idx="60">
                  <c:v>173.405327125389</c:v>
                </c:pt>
                <c:pt idx="61">
                  <c:v>168.662041565281</c:v>
                </c:pt>
                <c:pt idx="62">
                  <c:v>163.977445114492</c:v>
                </c:pt>
                <c:pt idx="63">
                  <c:v>159.353737243834</c:v>
                </c:pt>
                <c:pt idx="64">
                  <c:v>154.793233696598</c:v>
                </c:pt>
                <c:pt idx="65">
                  <c:v>150.298364498154</c:v>
                </c:pt>
                <c:pt idx="66">
                  <c:v>145.8716698923</c:v>
                </c:pt>
                <c:pt idx="67">
                  <c:v>141.515793819978</c:v>
                </c:pt>
                <c:pt idx="68">
                  <c:v>137.233474540043</c:v>
                </c:pt>
                <c:pt idx="69">
                  <c:v>133.027531991633</c:v>
                </c:pt>
                <c:pt idx="70">
                  <c:v>128.900851519389</c:v>
                </c:pt>
                <c:pt idx="71">
                  <c:v>124.856363632417</c:v>
                </c:pt>
                <c:pt idx="72">
                  <c:v>120.897019551775</c:v>
                </c:pt>
                <c:pt idx="73">
                  <c:v>117.025762424435</c:v>
                </c:pt>
                <c:pt idx="74">
                  <c:v>113.245494247387</c:v>
                </c:pt>
                <c:pt idx="75">
                  <c:v>109.559038753448</c:v>
                </c:pt>
                <c:pt idx="76">
                  <c:v>105.969100755777</c:v>
                </c:pt>
                <c:pt idx="77">
                  <c:v>102.478222720347</c:v>
                </c:pt>
                <c:pt idx="78">
                  <c:v>99.0887396178598</c:v>
                </c:pt>
                <c:pt idx="79">
                  <c:v>95.8027333757816</c:v>
                </c:pt>
                <c:pt idx="80">
                  <c:v>92.6219884795469</c:v>
                </c:pt>
                <c:pt idx="81">
                  <c:v>89.5479504298906</c:v>
                </c:pt>
                <c:pt idx="82">
                  <c:v>86.5816888228257</c:v>
                </c:pt>
                <c:pt idx="83">
                  <c:v>83.7238667586305</c:v>
                </c:pt>
                <c:pt idx="84">
                  <c:v>80.9747180958199</c:v>
                </c:pt>
                <c:pt idx="85">
                  <c:v>78.3340337493064</c:v>
                </c:pt>
                <c:pt idx="86">
                  <c:v>75.8011578082308</c:v>
                </c:pt>
                <c:pt idx="87">
                  <c:v>73.3749937521658</c:v>
                </c:pt>
                <c:pt idx="88">
                  <c:v>71.0540205187733</c:v>
                </c:pt>
                <c:pt idx="89">
                  <c:v>68.8363176702121</c:v>
                </c:pt>
                <c:pt idx="90">
                  <c:v>66.7195984656253</c:v>
                </c:pt>
                <c:pt idx="91">
                  <c:v>64.7012493098909</c:v>
                </c:pt>
                <c:pt idx="92">
                  <c:v>62.7783738376645</c:v>
                </c:pt>
                <c:pt idx="93">
                  <c:v>60.9478398140069</c:v>
                </c:pt>
                <c:pt idx="94">
                  <c:v>59.2063270807891</c:v>
                </c:pt>
                <c:pt idx="95">
                  <c:v>57.5503749316444</c:v>
                </c:pt>
                <c:pt idx="96">
                  <c:v>55.9764275298037</c:v>
                </c:pt>
                <c:pt idx="97">
                  <c:v>54.4808762618992</c:v>
                </c:pt>
                <c:pt idx="98">
                  <c:v>53.060098217268</c:v>
                </c:pt>
                <c:pt idx="99">
                  <c:v>51.7104902712371</c:v>
                </c:pt>
                <c:pt idx="100">
                  <c:v>50.4284985133659</c:v>
                </c:pt>
              </c:numCache>
            </c:numRef>
          </c:val>
          <c:smooth val="0"/>
        </c:ser>
        <c:ser>
          <c:idx val="1"/>
          <c:order val="3"/>
          <c:tx>
            <c:strRef>
              <c:f>'Calculations - Single'!$BU$3</c:f>
              <c:strCache>
                <c:ptCount val="1"/>
                <c:pt idx="0">
                  <c:v>Transformer Loss</c:v>
                </c:pt>
              </c:strCache>
            </c:strRef>
          </c:tx>
          <c:spPr>
            <a:ln w="38100" cap="rnd" cmpd="sng" algn="ctr">
              <a:solidFill>
                <a:srgbClr val="002060"/>
              </a:solidFill>
              <a:prstDash val="sysDot"/>
              <a:round/>
            </a:ln>
          </c:spPr>
          <c:marker>
            <c:symbol val="none"/>
          </c:marker>
          <c:dLbls>
            <c:delete val="1"/>
          </c:dLbls>
          <c:cat>
            <c:numRef>
              <c:f>{0,0.025,0.05,0.075,0.1,0.125,0.15,0.175,0.2,0.225,0.25,0.275,0.3,0.325,0.35,0.375,0.4,0.425,0.45,0.475,0.5,0.525,0.55,0.575,0.6,0.625,0.65,0.675,0.7,0.725,0.75,0.775,0.8,0.825,0.85,0.875,0.9,0.925,0.95,0.975,1,1.025,1.05,1.075,1.1,1.125,1.15,1.175,1.2,1.225,1.25,1.275,1.3,1.325,1.35,1.375,1.4,1.425,1.45,1.475,1.5,1.525,1.55,1.575,1.6,1.625,1.65,1.675,1.7,1.725,1.75,1.775,1.8,1.825,1.85,1.875,1.9,1.925,1.95,1.975,2,2.025,2.05,2.075,2.1,2.125,2.15,2.175,2.2,2.225,2.25,2.275,2.3,2.325,2.35,2.375,2.4,2.425,2.45,2.475,2.5,2.525,2.55,2.575,2.6,2.625,2.65,2.675,2.7,2.725,2.75,2.775,2.8,2.825,2.85,2.875,2.9,2.925,2.95,2.975,3,3.025,3.05,3.075,3.1,3.125,3.15,3.175,3.2,3.225,3.25,3.275,3.3,3.325,3.35,3.375,3.4,3.425,3.45,3.475,3.5,3.525,3.55,3.575,3.6,3.625,3.65,3.675,3.7,3.725,3.75,3.775,3.8,3.825,3.85,3.875,3.9,3.925,3.95,3.975,4,4.025,4.05,4.075,4.1,4.125,4.15,4.175,4.2,4.225,4.25,4.275,4.3,4.325,4.35,4.375,4.4,4.425,4.45,4.475,4.5,4.525,4.55,4.575,4.6,4.625,4.65,4.675,4.7,4.725,4.75,4.775,4.8,4.825,4.85,4.875,4.9,4.925,4.95,4.975,5}</c:f>
              <c:numCache>
                <c:formatCode>General</c:formatCode>
                <c:ptCount val="201"/>
                <c:pt idx="0">
                  <c:v>0</c:v>
                </c:pt>
                <c:pt idx="1">
                  <c:v>0.025</c:v>
                </c:pt>
                <c:pt idx="2">
                  <c:v>0.05</c:v>
                </c:pt>
                <c:pt idx="3">
                  <c:v>0.075</c:v>
                </c:pt>
                <c:pt idx="4">
                  <c:v>0.1</c:v>
                </c:pt>
                <c:pt idx="5">
                  <c:v>0.125</c:v>
                </c:pt>
                <c:pt idx="6">
                  <c:v>0.15</c:v>
                </c:pt>
                <c:pt idx="7">
                  <c:v>0.175</c:v>
                </c:pt>
                <c:pt idx="8">
                  <c:v>0.2</c:v>
                </c:pt>
                <c:pt idx="9">
                  <c:v>0.225</c:v>
                </c:pt>
                <c:pt idx="10">
                  <c:v>0.25</c:v>
                </c:pt>
                <c:pt idx="11">
                  <c:v>0.275</c:v>
                </c:pt>
                <c:pt idx="12">
                  <c:v>0.3</c:v>
                </c:pt>
                <c:pt idx="13">
                  <c:v>0.325</c:v>
                </c:pt>
                <c:pt idx="14">
                  <c:v>0.35</c:v>
                </c:pt>
                <c:pt idx="15">
                  <c:v>0.375</c:v>
                </c:pt>
                <c:pt idx="16">
                  <c:v>0.4</c:v>
                </c:pt>
                <c:pt idx="17">
                  <c:v>0.425</c:v>
                </c:pt>
                <c:pt idx="18">
                  <c:v>0.45</c:v>
                </c:pt>
                <c:pt idx="19">
                  <c:v>0.475</c:v>
                </c:pt>
                <c:pt idx="20">
                  <c:v>0.5</c:v>
                </c:pt>
                <c:pt idx="21">
                  <c:v>0.525</c:v>
                </c:pt>
                <c:pt idx="22">
                  <c:v>0.55</c:v>
                </c:pt>
                <c:pt idx="23">
                  <c:v>0.575</c:v>
                </c:pt>
                <c:pt idx="24">
                  <c:v>0.6</c:v>
                </c:pt>
                <c:pt idx="25">
                  <c:v>0.625</c:v>
                </c:pt>
                <c:pt idx="26">
                  <c:v>0.65</c:v>
                </c:pt>
                <c:pt idx="27">
                  <c:v>0.675</c:v>
                </c:pt>
                <c:pt idx="28">
                  <c:v>0.7</c:v>
                </c:pt>
                <c:pt idx="29">
                  <c:v>0.725</c:v>
                </c:pt>
                <c:pt idx="30">
                  <c:v>0.75</c:v>
                </c:pt>
                <c:pt idx="31">
                  <c:v>0.775</c:v>
                </c:pt>
                <c:pt idx="32">
                  <c:v>0.8</c:v>
                </c:pt>
                <c:pt idx="33">
                  <c:v>0.825</c:v>
                </c:pt>
                <c:pt idx="34">
                  <c:v>0.85</c:v>
                </c:pt>
                <c:pt idx="35">
                  <c:v>0.875</c:v>
                </c:pt>
                <c:pt idx="36">
                  <c:v>0.9</c:v>
                </c:pt>
                <c:pt idx="37">
                  <c:v>0.925</c:v>
                </c:pt>
                <c:pt idx="38">
                  <c:v>0.95</c:v>
                </c:pt>
                <c:pt idx="39">
                  <c:v>0.975</c:v>
                </c:pt>
                <c:pt idx="40">
                  <c:v>1</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pt idx="151">
                  <c:v>3.775</c:v>
                </c:pt>
                <c:pt idx="152">
                  <c:v>3.8</c:v>
                </c:pt>
                <c:pt idx="153">
                  <c:v>3.825</c:v>
                </c:pt>
                <c:pt idx="154">
                  <c:v>3.85</c:v>
                </c:pt>
                <c:pt idx="155">
                  <c:v>3.875</c:v>
                </c:pt>
                <c:pt idx="156">
                  <c:v>3.9</c:v>
                </c:pt>
                <c:pt idx="157">
                  <c:v>3.925</c:v>
                </c:pt>
                <c:pt idx="158">
                  <c:v>3.95</c:v>
                </c:pt>
                <c:pt idx="159">
                  <c:v>3.975</c:v>
                </c:pt>
                <c:pt idx="160">
                  <c:v>4</c:v>
                </c:pt>
                <c:pt idx="161">
                  <c:v>4.025</c:v>
                </c:pt>
                <c:pt idx="162">
                  <c:v>4.05</c:v>
                </c:pt>
                <c:pt idx="163">
                  <c:v>4.075</c:v>
                </c:pt>
                <c:pt idx="164">
                  <c:v>4.1</c:v>
                </c:pt>
                <c:pt idx="165">
                  <c:v>4.125</c:v>
                </c:pt>
                <c:pt idx="166">
                  <c:v>4.15</c:v>
                </c:pt>
                <c:pt idx="167">
                  <c:v>4.175</c:v>
                </c:pt>
                <c:pt idx="168">
                  <c:v>4.2</c:v>
                </c:pt>
                <c:pt idx="169">
                  <c:v>4.225</c:v>
                </c:pt>
                <c:pt idx="170">
                  <c:v>4.25</c:v>
                </c:pt>
                <c:pt idx="171">
                  <c:v>4.275</c:v>
                </c:pt>
                <c:pt idx="172">
                  <c:v>4.3</c:v>
                </c:pt>
                <c:pt idx="173">
                  <c:v>4.325</c:v>
                </c:pt>
                <c:pt idx="174">
                  <c:v>4.35</c:v>
                </c:pt>
                <c:pt idx="175">
                  <c:v>4.375</c:v>
                </c:pt>
                <c:pt idx="176">
                  <c:v>4.4</c:v>
                </c:pt>
                <c:pt idx="177">
                  <c:v>4.425</c:v>
                </c:pt>
                <c:pt idx="178">
                  <c:v>4.45</c:v>
                </c:pt>
                <c:pt idx="179">
                  <c:v>4.475</c:v>
                </c:pt>
                <c:pt idx="180">
                  <c:v>4.5</c:v>
                </c:pt>
                <c:pt idx="181">
                  <c:v>4.525</c:v>
                </c:pt>
                <c:pt idx="182">
                  <c:v>4.55</c:v>
                </c:pt>
                <c:pt idx="183">
                  <c:v>4.575</c:v>
                </c:pt>
                <c:pt idx="184">
                  <c:v>4.6</c:v>
                </c:pt>
                <c:pt idx="185">
                  <c:v>4.625</c:v>
                </c:pt>
                <c:pt idx="186">
                  <c:v>4.65</c:v>
                </c:pt>
                <c:pt idx="187">
                  <c:v>4.675</c:v>
                </c:pt>
                <c:pt idx="188">
                  <c:v>4.7</c:v>
                </c:pt>
                <c:pt idx="189">
                  <c:v>4.725</c:v>
                </c:pt>
                <c:pt idx="190">
                  <c:v>4.75</c:v>
                </c:pt>
                <c:pt idx="191">
                  <c:v>4.775</c:v>
                </c:pt>
                <c:pt idx="192">
                  <c:v>4.8</c:v>
                </c:pt>
                <c:pt idx="193">
                  <c:v>4.825</c:v>
                </c:pt>
                <c:pt idx="194">
                  <c:v>4.85</c:v>
                </c:pt>
                <c:pt idx="195">
                  <c:v>4.875</c:v>
                </c:pt>
                <c:pt idx="196">
                  <c:v>4.9</c:v>
                </c:pt>
                <c:pt idx="197">
                  <c:v>4.925</c:v>
                </c:pt>
                <c:pt idx="198">
                  <c:v>4.95</c:v>
                </c:pt>
                <c:pt idx="199">
                  <c:v>4.975</c:v>
                </c:pt>
                <c:pt idx="200">
                  <c:v>5</c:v>
                </c:pt>
              </c:numCache>
            </c:numRef>
          </c:cat>
          <c:val>
            <c:numRef>
              <c:f>'Calculations - Single'!$BZ$5:$BZ$105</c:f>
              <c:numCache>
                <c:formatCode>0.0</c:formatCode>
                <c:ptCount val="101"/>
                <c:pt idx="0">
                  <c:v>1.88415360573983</c:v>
                </c:pt>
                <c:pt idx="1">
                  <c:v>2.12905305449141</c:v>
                </c:pt>
                <c:pt idx="2">
                  <c:v>2.41606897480912</c:v>
                </c:pt>
                <c:pt idx="3">
                  <c:v>2.70308490144785</c:v>
                </c:pt>
                <c:pt idx="4">
                  <c:v>3.10448767162835</c:v>
                </c:pt>
                <c:pt idx="5">
                  <c:v>3.97996529778405</c:v>
                </c:pt>
                <c:pt idx="6">
                  <c:v>4.77068111067615</c:v>
                </c:pt>
                <c:pt idx="7">
                  <c:v>5.56013940956288</c:v>
                </c:pt>
                <c:pt idx="8">
                  <c:v>6.34843567964042</c:v>
                </c:pt>
                <c:pt idx="9">
                  <c:v>7.13564672251603</c:v>
                </c:pt>
                <c:pt idx="10">
                  <c:v>7.92183605726499</c:v>
                </c:pt>
                <c:pt idx="11">
                  <c:v>8.70705735800104</c:v>
                </c:pt>
                <c:pt idx="12">
                  <c:v>9.49135676084533</c:v>
                </c:pt>
                <c:pt idx="13">
                  <c:v>10.27477447797</c:v>
                </c:pt>
                <c:pt idx="14">
                  <c:v>11.0573459654685</c:v>
                </c:pt>
                <c:pt idx="15">
                  <c:v>11.8391027921757</c:v>
                </c:pt>
                <c:pt idx="16">
                  <c:v>12.6200733012647</c:v>
                </c:pt>
                <c:pt idx="17">
                  <c:v>13.4002831241585</c:v>
                </c:pt>
                <c:pt idx="18">
                  <c:v>14.1797555866279</c:v>
                </c:pt>
                <c:pt idx="19">
                  <c:v>14.9585120345289</c:v>
                </c:pt>
                <c:pt idx="20">
                  <c:v>15.7365720985398</c:v>
                </c:pt>
                <c:pt idx="21">
                  <c:v>16.5139539118458</c:v>
                </c:pt>
                <c:pt idx="22">
                  <c:v>16.9943908397853</c:v>
                </c:pt>
                <c:pt idx="23">
                  <c:v>18.6639032531461</c:v>
                </c:pt>
                <c:pt idx="24">
                  <c:v>19.9889364409209</c:v>
                </c:pt>
                <c:pt idx="25">
                  <c:v>21.3568616176483</c:v>
                </c:pt>
                <c:pt idx="26">
                  <c:v>22.7676943853431</c:v>
                </c:pt>
                <c:pt idx="27">
                  <c:v>24.2214509878664</c:v>
                </c:pt>
                <c:pt idx="28">
                  <c:v>25.7181483115299</c:v>
                </c:pt>
                <c:pt idx="29">
                  <c:v>27.2578038857261</c:v>
                </c:pt>
                <c:pt idx="30">
                  <c:v>28.8404358835819</c:v>
                </c:pt>
                <c:pt idx="31">
                  <c:v>30.4660631226366</c:v>
                </c:pt>
                <c:pt idx="32">
                  <c:v>32.1347050655428</c:v>
                </c:pt>
                <c:pt idx="33">
                  <c:v>33.8463818207947</c:v>
                </c:pt>
                <c:pt idx="34">
                  <c:v>35.6011141434778</c:v>
                </c:pt>
                <c:pt idx="35">
                  <c:v>37.3989234360441</c:v>
                </c:pt>
                <c:pt idx="36">
                  <c:v>39.2398317491122</c:v>
                </c:pt>
                <c:pt idx="37">
                  <c:v>41.1238617822909</c:v>
                </c:pt>
                <c:pt idx="38">
                  <c:v>43.0510368850284</c:v>
                </c:pt>
                <c:pt idx="39">
                  <c:v>45.0213810574855</c:v>
                </c:pt>
                <c:pt idx="40">
                  <c:v>47.0349189514336</c:v>
                </c:pt>
                <c:pt idx="41">
                  <c:v>49.0916758711777</c:v>
                </c:pt>
                <c:pt idx="42">
                  <c:v>51.191677774504</c:v>
                </c:pt>
                <c:pt idx="43">
                  <c:v>53.3349512736522</c:v>
                </c:pt>
                <c:pt idx="44">
                  <c:v>55.5215236363135</c:v>
                </c:pt>
                <c:pt idx="45">
                  <c:v>57.7514227866526</c:v>
                </c:pt>
                <c:pt idx="46">
                  <c:v>58.7663548076856</c:v>
                </c:pt>
                <c:pt idx="47">
                  <c:v>58.5053737965212</c:v>
                </c:pt>
                <c:pt idx="48">
                  <c:v>58.2454110112295</c:v>
                </c:pt>
                <c:pt idx="49">
                  <c:v>57.9865238240795</c:v>
                </c:pt>
                <c:pt idx="50">
                  <c:v>57.7287734115073</c:v>
                </c:pt>
                <c:pt idx="51">
                  <c:v>57.4722250087413</c:v>
                </c:pt>
                <c:pt idx="52">
                  <c:v>57.2169481757933</c:v>
                </c:pt>
                <c:pt idx="53">
                  <c:v>56.9630170736038</c:v>
                </c:pt>
                <c:pt idx="54">
                  <c:v>56.7105107485787</c:v>
                </c:pt>
                <c:pt idx="55">
                  <c:v>56.4595134230768</c:v>
                </c:pt>
                <c:pt idx="56">
                  <c:v>56.2101147885875</c:v>
                </c:pt>
                <c:pt idx="57">
                  <c:v>55.9624102973578</c:v>
                </c:pt>
                <c:pt idx="58">
                  <c:v>55.7165014470648</c:v>
                </c:pt>
                <c:pt idx="59">
                  <c:v>55.4724960517759</c:v>
                </c:pt>
                <c:pt idx="60">
                  <c:v>55.2305084908823</c:v>
                </c:pt>
                <c:pt idx="61">
                  <c:v>54.9906599259344</c:v>
                </c:pt>
                <c:pt idx="62">
                  <c:v>54.7530784733636</c:v>
                </c:pt>
                <c:pt idx="63">
                  <c:v>54.5178993189787</c:v>
                </c:pt>
                <c:pt idx="64">
                  <c:v>54.2852647579416</c:v>
                </c:pt>
                <c:pt idx="65">
                  <c:v>54.0553241417437</c:v>
                </c:pt>
                <c:pt idx="66">
                  <c:v>53.8282337116592</c:v>
                </c:pt>
                <c:pt idx="67">
                  <c:v>53.6041562964378</c:v>
                </c:pt>
                <c:pt idx="68">
                  <c:v>53.3832608508391</c:v>
                </c:pt>
                <c:pt idx="69">
                  <c:v>53.1657218113032</c:v>
                </c:pt>
                <c:pt idx="70">
                  <c:v>52.9517182459372</c:v>
                </c:pt>
                <c:pt idx="71">
                  <c:v>52.7414327784243</c:v>
                </c:pt>
                <c:pt idx="72">
                  <c:v>52.5350502698109</c:v>
                </c:pt>
                <c:pt idx="73">
                  <c:v>52.3327562487018</c:v>
                </c:pt>
                <c:pt idx="74">
                  <c:v>52.1347350894089</c:v>
                </c:pt>
                <c:pt idx="75">
                  <c:v>51.9411679490806</c:v>
                </c:pt>
                <c:pt idx="76">
                  <c:v>51.7522304885621</c:v>
                </c:pt>
                <c:pt idx="77">
                  <c:v>51.5680904171564</c:v>
                </c:pt>
                <c:pt idx="78">
                  <c:v>51.3889049176509</c:v>
                </c:pt>
                <c:pt idx="79">
                  <c:v>51.2148180236904</c:v>
                </c:pt>
                <c:pt idx="80">
                  <c:v>51.045958035253</c:v>
                </c:pt>
                <c:pt idx="81">
                  <c:v>50.8824350679345</c:v>
                </c:pt>
                <c:pt idx="82">
                  <c:v>50.7243388363504</c:v>
                </c:pt>
                <c:pt idx="83">
                  <c:v>50.5717367699369</c:v>
                </c:pt>
                <c:pt idx="84">
                  <c:v>50.424672550072</c:v>
                </c:pt>
                <c:pt idx="85">
                  <c:v>50.283165140841</c:v>
                </c:pt>
                <c:pt idx="86">
                  <c:v>50.1472083629017</c:v>
                </c:pt>
                <c:pt idx="87">
                  <c:v>50.0167710325772</c:v>
                </c:pt>
                <c:pt idx="88">
                  <c:v>49.89179765893</c:v>
                </c:pt>
                <c:pt idx="89">
                  <c:v>49.7722096628682</c:v>
                </c:pt>
                <c:pt idx="90">
                  <c:v>49.6579070569259</c:v>
                </c:pt>
                <c:pt idx="91">
                  <c:v>49.5487705043886</c:v>
                </c:pt>
                <c:pt idx="92">
                  <c:v>49.4446636633212</c:v>
                </c:pt>
                <c:pt idx="93">
                  <c:v>49.3454357153314</c:v>
                </c:pt>
                <c:pt idx="94">
                  <c:v>49.2509239802595</c:v>
                </c:pt>
                <c:pt idx="95">
                  <c:v>49.1609565253931</c:v>
                </c:pt>
                <c:pt idx="96">
                  <c:v>49.0753546897982</c:v>
                </c:pt>
                <c:pt idx="97">
                  <c:v>48.9939354592418</c:v>
                </c:pt>
                <c:pt idx="98">
                  <c:v>48.9165136433066</c:v>
                </c:pt>
                <c:pt idx="99">
                  <c:v>48.8429038222566</c:v>
                </c:pt>
                <c:pt idx="100">
                  <c:v>48.7729220458852</c:v>
                </c:pt>
              </c:numCache>
            </c:numRef>
          </c:val>
          <c:smooth val="0"/>
        </c:ser>
        <c:dLbls>
          <c:showLegendKey val="0"/>
          <c:showVal val="0"/>
          <c:showCatName val="0"/>
          <c:showSerName val="0"/>
          <c:showPercent val="0"/>
          <c:showBubbleSize val="0"/>
        </c:dLbls>
        <c:marker val="0"/>
        <c:smooth val="0"/>
        <c:axId val="185232384"/>
        <c:axId val="185230464"/>
      </c:lineChart>
      <c:catAx>
        <c:axId val="185214080"/>
        <c:scaling>
          <c:orientation val="minMax"/>
        </c:scaling>
        <c:delete val="0"/>
        <c:axPos val="b"/>
        <c:majorGridlines>
          <c:spPr>
            <a:ln w="15875" cap="flat" cmpd="sng" algn="ctr">
              <a:solidFill>
                <a:srgbClr val="969696"/>
              </a:solidFill>
              <a:prstDash val="sysDash"/>
              <a:round/>
            </a:ln>
          </c:spPr>
        </c:majorGridlines>
        <c:minorGridlines/>
        <c:title>
          <c:tx>
            <c:rich>
              <a:bodyPr rot="0" spcFirstLastPara="0" vertOverflow="ellipsis" vert="horz" wrap="square" anchor="ctr" anchorCtr="1"/>
              <a:lstStyle/>
              <a:p>
                <a:pPr>
                  <a:defRPr lang="zh-CN" sz="1200" b="1" i="0" u="none" strike="noStrike" kern="1200" baseline="0">
                    <a:solidFill>
                      <a:srgbClr val="0000FF"/>
                    </a:solidFill>
                    <a:latin typeface="Arial" panose="020B0604020202020204" pitchFamily="7" charset="0"/>
                    <a:ea typeface="Calibri" panose="020F0502020204030204"/>
                    <a:cs typeface="Arial" panose="020B0604020202020204" pitchFamily="7" charset="0"/>
                  </a:defRPr>
                </a:pPr>
                <a:r>
                  <a:rPr lang="en-US" sz="1200">
                    <a:solidFill>
                      <a:srgbClr val="0000FF"/>
                    </a:solidFill>
                    <a:latin typeface="Arial" panose="020B0604020202020204" pitchFamily="7" charset="0"/>
                    <a:cs typeface="Arial" panose="020B0604020202020204" pitchFamily="7" charset="0"/>
                  </a:rPr>
                  <a:t>Load Current (mA)</a:t>
                </a:r>
                <a:endParaRPr lang="en-US" sz="1200">
                  <a:solidFill>
                    <a:srgbClr val="0000FF"/>
                  </a:solidFill>
                  <a:latin typeface="Arial" panose="020B0604020202020204" pitchFamily="7" charset="0"/>
                  <a:cs typeface="Arial" panose="020B0604020202020204" pitchFamily="7" charset="0"/>
                </a:endParaRPr>
              </a:p>
            </c:rich>
          </c:tx>
          <c:layout>
            <c:manualLayout>
              <c:xMode val="edge"/>
              <c:yMode val="edge"/>
              <c:x val="0.424710113963945"/>
              <c:y val="0.938537716369556"/>
            </c:manualLayout>
          </c:layout>
          <c:overlay val="0"/>
          <c:spPr>
            <a:noFill/>
            <a:ln w="25400">
              <a:noFill/>
            </a:ln>
          </c:spPr>
        </c:title>
        <c:numFmt formatCode="0" sourceLinked="1"/>
        <c:majorTickMark val="in"/>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rgbClr val="0000FF"/>
                </a:solidFill>
                <a:latin typeface="Arial" panose="020B0604020202020204" pitchFamily="7" charset="0"/>
                <a:ea typeface="Calibri" panose="020F0502020204030204"/>
                <a:cs typeface="Arial" panose="020B0604020202020204" pitchFamily="7" charset="0"/>
              </a:defRPr>
            </a:pPr>
          </a:p>
        </c:txPr>
        <c:crossAx val="185216000"/>
        <c:crosses val="autoZero"/>
        <c:auto val="1"/>
        <c:lblAlgn val="ctr"/>
        <c:lblOffset val="100"/>
        <c:tickLblSkip val="20"/>
        <c:tickMarkSkip val="20"/>
        <c:noMultiLvlLbl val="0"/>
      </c:catAx>
      <c:valAx>
        <c:axId val="185216000"/>
        <c:scaling>
          <c:orientation val="minMax"/>
          <c:max val="100"/>
          <c:min val="55"/>
        </c:scaling>
        <c:delete val="0"/>
        <c:axPos val="l"/>
        <c:majorGridlines>
          <c:spPr>
            <a:ln w="15875" cap="flat" cmpd="sng" algn="ctr">
              <a:solidFill>
                <a:srgbClr val="808080"/>
              </a:solidFill>
              <a:prstDash val="solid"/>
              <a:round/>
            </a:ln>
          </c:spPr>
        </c:majorGridlines>
        <c:title>
          <c:tx>
            <c:rich>
              <a:bodyPr rot="-5400000" spcFirstLastPara="0" vertOverflow="ellipsis" vert="horz" wrap="square" anchor="ctr" anchorCtr="1"/>
              <a:lstStyle/>
              <a:p>
                <a:pPr>
                  <a:defRPr lang="zh-CN" sz="1400" b="1" i="0" u="none" strike="noStrike" kern="1200" baseline="0">
                    <a:solidFill>
                      <a:srgbClr val="FF0000"/>
                    </a:solidFill>
                    <a:latin typeface="Arial" panose="020B0604020202020204" pitchFamily="7" charset="0"/>
                    <a:ea typeface="Calibri" panose="020F0502020204030204"/>
                    <a:cs typeface="Arial" panose="020B0604020202020204" pitchFamily="7" charset="0"/>
                  </a:defRPr>
                </a:pPr>
                <a:r>
                  <a:rPr lang="en-US" sz="1200" b="1">
                    <a:solidFill>
                      <a:srgbClr val="FF0000"/>
                    </a:solidFill>
                    <a:latin typeface="Arial" panose="020B0604020202020204" pitchFamily="7" charset="0"/>
                    <a:cs typeface="Arial" panose="020B0604020202020204" pitchFamily="7" charset="0"/>
                  </a:rPr>
                  <a:t>Efficiency  (%)</a:t>
                </a:r>
                <a:endParaRPr lang="en-US" sz="1200" b="1">
                  <a:solidFill>
                    <a:srgbClr val="FF0000"/>
                  </a:solidFill>
                  <a:latin typeface="Arial" panose="020B0604020202020204" pitchFamily="7" charset="0"/>
                  <a:cs typeface="Arial" panose="020B0604020202020204" pitchFamily="7" charset="0"/>
                </a:endParaRPr>
              </a:p>
            </c:rich>
          </c:tx>
          <c:layout>
            <c:manualLayout>
              <c:xMode val="edge"/>
              <c:yMode val="edge"/>
              <c:x val="0.0128718586740814"/>
              <c:y val="0.376381779156883"/>
            </c:manualLayout>
          </c:layout>
          <c:overlay val="0"/>
          <c:spPr>
            <a:noFill/>
            <a:ln w="25400">
              <a:noFill/>
            </a:ln>
          </c:spPr>
        </c:title>
        <c:numFmt formatCode="General" sourceLinked="0"/>
        <c:majorTickMark val="in"/>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rgbClr val="FF0000"/>
                </a:solidFill>
                <a:latin typeface="Arial" panose="020B0604020202020204" pitchFamily="7" charset="0"/>
                <a:ea typeface="Calibri" panose="020F0502020204030204"/>
                <a:cs typeface="Arial" panose="020B0604020202020204" pitchFamily="7" charset="0"/>
              </a:defRPr>
            </a:pPr>
          </a:p>
        </c:txPr>
        <c:crossAx val="185214080"/>
        <c:crossesAt val="0"/>
        <c:crossBetween val="between"/>
        <c:majorUnit val="5"/>
        <c:minorUnit val="2.5"/>
      </c:valAx>
      <c:catAx>
        <c:axId val="185232384"/>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850" b="0" i="0" u="none" strike="noStrike" kern="1200" baseline="0">
                <a:solidFill>
                  <a:srgbClr val="000000"/>
                </a:solidFill>
                <a:latin typeface="Arial" panose="020B0604020202020204"/>
                <a:ea typeface="Arial" panose="020B0604020202020204"/>
                <a:cs typeface="Arial" panose="020B0604020202020204"/>
              </a:defRPr>
            </a:pPr>
          </a:p>
        </c:txPr>
        <c:crossAx val="185230464"/>
        <c:crosses val="autoZero"/>
        <c:auto val="1"/>
        <c:lblAlgn val="ctr"/>
        <c:lblOffset val="100"/>
        <c:noMultiLvlLbl val="0"/>
      </c:catAx>
      <c:valAx>
        <c:axId val="185230464"/>
        <c:scaling>
          <c:orientation val="minMax"/>
        </c:scaling>
        <c:delete val="0"/>
        <c:axPos val="r"/>
        <c:title>
          <c:tx>
            <c:rich>
              <a:bodyPr rot="-540000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r>
                  <a:rPr lang="en-US" sz="1200" b="1"/>
                  <a:t>Power Loss (mW)</a:t>
                </a:r>
                <a:endParaRPr lang="en-US" sz="1200" b="1"/>
              </a:p>
            </c:rich>
          </c:tx>
          <c:layout>
            <c:manualLayout>
              <c:xMode val="edge"/>
              <c:yMode val="edge"/>
              <c:x val="0.951684743056013"/>
              <c:y val="0.381177140453683"/>
            </c:manualLayout>
          </c:layout>
          <c:overlay val="0"/>
        </c:title>
        <c:numFmt formatCode="General" sourceLinked="0"/>
        <c:majorTickMark val="out"/>
        <c:minorTickMark val="none"/>
        <c:tickLblPos val="nextTo"/>
        <c:txPr>
          <a:bodyPr rot="-60000000" spcFirstLastPara="0" vertOverflow="ellipsis" vert="horz" wrap="square" anchor="ctr" anchorCtr="1"/>
          <a:lstStyle/>
          <a:p>
            <a:pPr>
              <a:defRPr lang="zh-CN" sz="1100" b="1" i="0" u="none" strike="noStrike" kern="1200" baseline="0">
                <a:solidFill>
                  <a:sysClr val="windowText" lastClr="000000"/>
                </a:solidFill>
                <a:latin typeface="Arial" panose="020B0604020202020204"/>
                <a:ea typeface="Arial" panose="020B0604020202020204"/>
                <a:cs typeface="Arial" panose="020B0604020202020204"/>
              </a:defRPr>
            </a:pPr>
          </a:p>
        </c:txPr>
        <c:crossAx val="185232384"/>
        <c:crosses val="max"/>
        <c:crossBetween val="between"/>
      </c:valAx>
      <c:spPr>
        <a:noFill/>
        <a:ln w="25400">
          <a:noFill/>
        </a:ln>
      </c:spPr>
    </c:plotArea>
    <c:legend>
      <c:legendPos val="t"/>
      <c:layout>
        <c:manualLayout>
          <c:xMode val="edge"/>
          <c:yMode val="edge"/>
          <c:x val="0.401025575662313"/>
          <c:y val="0.0118926330381677"/>
          <c:w val="0.544675835203857"/>
          <c:h val="0.0897950493206176"/>
        </c:manualLayout>
      </c:layout>
      <c:overlay val="0"/>
      <c:spPr>
        <a:solidFill>
          <a:srgbClr val="FFFFFF"/>
        </a:solidFill>
        <a:ln w="25400">
          <a:noFill/>
        </a:ln>
      </c:spPr>
      <c:txPr>
        <a:bodyPr rot="0" spcFirstLastPara="0" vertOverflow="ellipsis" vert="horz" wrap="square" anchor="ctr" anchorCtr="1"/>
        <a:lstStyle/>
        <a:p>
          <a:pPr>
            <a:defRPr lang="zh-CN" sz="1100" b="0"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3bf963ac-0e49-422d-8ad2-d90636ea137c}"/>
      </c:ext>
    </c:extLst>
  </c:chart>
  <c:spPr>
    <a:solidFill>
      <a:srgbClr val="FFFFFF"/>
    </a:solidFill>
    <a:ln w="9525" cap="flat" cmpd="sng" algn="ctr">
      <a:solidFill>
        <a:srgbClr val="808080"/>
      </a:solid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defRPr lang="zh-CN" sz="1800" b="1"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r>
              <a:rPr lang="en-US" sz="1800" b="1" i="0" baseline="0">
                <a:effectLst/>
                <a:sym typeface="Symbol" panose="05050102010706020507"/>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0.0825867049166182"/>
          <c:y val="0.0183632897461127"/>
        </c:manualLayout>
      </c:layout>
      <c:overlay val="0"/>
      <c:spPr>
        <a:noFill/>
        <a:ln w="25400">
          <a:noFill/>
        </a:ln>
      </c:spPr>
    </c:title>
    <c:autoTitleDeleted val="0"/>
    <c:plotArea>
      <c:layout>
        <c:manualLayout>
          <c:layoutTarget val="inner"/>
          <c:xMode val="edge"/>
          <c:yMode val="edge"/>
          <c:x val="0.0767618840858043"/>
          <c:y val="0.121335233430015"/>
          <c:w val="0.825799902285061"/>
          <c:h val="0.755898026893831"/>
        </c:manualLayout>
      </c:layout>
      <c:lineChart>
        <c:grouping val="standard"/>
        <c:varyColors val="0"/>
        <c:ser>
          <c:idx val="0"/>
          <c:order val="0"/>
          <c:tx>
            <c:strRef>
              <c:f>"Efficiency"</c:f>
              <c:strCache>
                <c:ptCount val="1"/>
                <c:pt idx="0">
                  <c:v>Efficiency</c:v>
                </c:pt>
              </c:strCache>
            </c:strRef>
          </c:tx>
          <c:spPr>
            <a:ln w="38100" cap="rnd" cmpd="sng" algn="ctr">
              <a:solidFill>
                <a:srgbClr val="FF0000"/>
              </a:solidFill>
              <a:prstDash val="solid"/>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Dual'!$CF$5:$CF$105</c:f>
              <c:numCache>
                <c:formatCode>0.00</c:formatCode>
                <c:ptCount val="101"/>
                <c:pt idx="0">
                  <c:v>0.000153478953477578</c:v>
                </c:pt>
                <c:pt idx="1">
                  <c:v>79.3383681450899</c:v>
                </c:pt>
                <c:pt idx="2">
                  <c:v>83.5955781568989</c:v>
                </c:pt>
                <c:pt idx="3">
                  <c:v>85.1166005416404</c:v>
                </c:pt>
                <c:pt idx="4">
                  <c:v>86.2181011085601</c:v>
                </c:pt>
                <c:pt idx="5">
                  <c:v>87.0471439047306</c:v>
                </c:pt>
                <c:pt idx="6">
                  <c:v>87.6180994833587</c:v>
                </c:pt>
                <c:pt idx="7">
                  <c:v>88.035432971216</c:v>
                </c:pt>
                <c:pt idx="8">
                  <c:v>88.3535868471656</c:v>
                </c:pt>
                <c:pt idx="9">
                  <c:v>88.6038183076085</c:v>
                </c:pt>
                <c:pt idx="10">
                  <c:v>88.8053987800793</c:v>
                </c:pt>
                <c:pt idx="11">
                  <c:v>88.9708789539066</c:v>
                </c:pt>
                <c:pt idx="12">
                  <c:v>89.1087957401233</c:v>
                </c:pt>
                <c:pt idx="13">
                  <c:v>89.2251649228415</c:v>
                </c:pt>
                <c:pt idx="14">
                  <c:v>89.3243519345449</c:v>
                </c:pt>
                <c:pt idx="15">
                  <c:v>89.4096039744089</c:v>
                </c:pt>
                <c:pt idx="16">
                  <c:v>89.4833880841961</c:v>
                </c:pt>
                <c:pt idx="17">
                  <c:v>89.5476131779505</c:v>
                </c:pt>
                <c:pt idx="18">
                  <c:v>89.7227307965584</c:v>
                </c:pt>
                <c:pt idx="19">
                  <c:v>89.0239067859924</c:v>
                </c:pt>
                <c:pt idx="20">
                  <c:v>88.9499031309634</c:v>
                </c:pt>
                <c:pt idx="21">
                  <c:v>88.8625625505393</c:v>
                </c:pt>
                <c:pt idx="22">
                  <c:v>88.7639413756465</c:v>
                </c:pt>
                <c:pt idx="23">
                  <c:v>88.6556902938908</c:v>
                </c:pt>
                <c:pt idx="24">
                  <c:v>88.5391465758454</c:v>
                </c:pt>
                <c:pt idx="25">
                  <c:v>88.4154024602024</c:v>
                </c:pt>
                <c:pt idx="26">
                  <c:v>88.2853565288998</c:v>
                </c:pt>
                <c:pt idx="27">
                  <c:v>88.1497527690351</c:v>
                </c:pt>
                <c:pt idx="28">
                  <c:v>88.0092106019558</c:v>
                </c:pt>
                <c:pt idx="29">
                  <c:v>87.8642482039895</c:v>
                </c:pt>
                <c:pt idx="30">
                  <c:v>87.7153007880428</c:v>
                </c:pt>
                <c:pt idx="31">
                  <c:v>87.5627350596897</c:v>
                </c:pt>
                <c:pt idx="32">
                  <c:v>87.4068607403083</c:v>
                </c:pt>
                <c:pt idx="33">
                  <c:v>87.2479398207678</c:v>
                </c:pt>
                <c:pt idx="34">
                  <c:v>87.0861940438387</c:v>
                </c:pt>
                <c:pt idx="35">
                  <c:v>86.9218109928738</c:v>
                </c:pt>
                <c:pt idx="36">
                  <c:v>86.7549490754041</c:v>
                </c:pt>
                <c:pt idx="37">
                  <c:v>86.585741624142</c:v>
                </c:pt>
                <c:pt idx="38">
                  <c:v>86.4925460771151</c:v>
                </c:pt>
                <c:pt idx="39">
                  <c:v>86.4218133089911</c:v>
                </c:pt>
                <c:pt idx="40">
                  <c:v>86.3500947102178</c:v>
                </c:pt>
                <c:pt idx="41">
                  <c:v>86.2774428569733</c:v>
                </c:pt>
                <c:pt idx="42">
                  <c:v>86.203907389819</c:v>
                </c:pt>
                <c:pt idx="43">
                  <c:v>86.1295352115359</c:v>
                </c:pt>
                <c:pt idx="44">
                  <c:v>86.0543706692486</c:v>
                </c:pt>
                <c:pt idx="45">
                  <c:v>85.9784557222696</c:v>
                </c:pt>
                <c:pt idx="46">
                  <c:v>85.9018300969509</c:v>
                </c:pt>
                <c:pt idx="47">
                  <c:v>85.824531429696</c:v>
                </c:pt>
                <c:pt idx="48">
                  <c:v>85.7465953991734</c:v>
                </c:pt>
                <c:pt idx="49">
                  <c:v>85.6680558486688</c:v>
                </c:pt>
                <c:pt idx="50">
                  <c:v>85.5889448994205</c:v>
                </c:pt>
                <c:pt idx="51">
                  <c:v>85.5092930557014</c:v>
                </c:pt>
                <c:pt idx="52">
                  <c:v>85.4291293023398</c:v>
                </c:pt>
                <c:pt idx="53">
                  <c:v>85.3484811953039</c:v>
                </c:pt>
                <c:pt idx="54">
                  <c:v>85.2673749459167</c:v>
                </c:pt>
                <c:pt idx="55">
                  <c:v>85.1858354992174</c:v>
                </c:pt>
                <c:pt idx="56">
                  <c:v>85.103886606937</c:v>
                </c:pt>
                <c:pt idx="57">
                  <c:v>85.0215508955136</c:v>
                </c:pt>
                <c:pt idx="58">
                  <c:v>84.938849929536</c:v>
                </c:pt>
                <c:pt idx="59">
                  <c:v>84.8558042709681</c:v>
                </c:pt>
                <c:pt idx="60">
                  <c:v>84.772433534479</c:v>
                </c:pt>
                <c:pt idx="61">
                  <c:v>84.688756439171</c:v>
                </c:pt>
                <c:pt idx="62">
                  <c:v>84.6047908569775</c:v>
                </c:pt>
                <c:pt idx="63">
                  <c:v>84.520553857977</c:v>
                </c:pt>
                <c:pt idx="64">
                  <c:v>84.4360617528487</c:v>
                </c:pt>
                <c:pt idx="65">
                  <c:v>84.351330132679</c:v>
                </c:pt>
                <c:pt idx="66">
                  <c:v>84.2663739063073</c:v>
                </c:pt>
                <c:pt idx="67">
                  <c:v>84.1812073353877</c:v>
                </c:pt>
                <c:pt idx="68">
                  <c:v>84.0958440673275</c:v>
                </c:pt>
                <c:pt idx="69">
                  <c:v>84.0102971662493</c:v>
                </c:pt>
                <c:pt idx="70">
                  <c:v>83.9245791421151</c:v>
                </c:pt>
                <c:pt idx="71">
                  <c:v>83.8387019781368</c:v>
                </c:pt>
                <c:pt idx="72">
                  <c:v>83.75267715659</c:v>
                </c:pt>
                <c:pt idx="73">
                  <c:v>83.6665156831376</c:v>
                </c:pt>
                <c:pt idx="74">
                  <c:v>83.5802281097633</c:v>
                </c:pt>
                <c:pt idx="75">
                  <c:v>83.493824556406</c:v>
                </c:pt>
                <c:pt idx="76">
                  <c:v>83.4073147313793</c:v>
                </c:pt>
                <c:pt idx="77">
                  <c:v>83.3207079506561</c:v>
                </c:pt>
                <c:pt idx="78">
                  <c:v>83.2340131560903</c:v>
                </c:pt>
                <c:pt idx="79">
                  <c:v>83.1472389326426</c:v>
                </c:pt>
                <c:pt idx="80">
                  <c:v>83.060393524674</c:v>
                </c:pt>
                <c:pt idx="81">
                  <c:v>82.9734848513652</c:v>
                </c:pt>
                <c:pt idx="82">
                  <c:v>82.8865205213151</c:v>
                </c:pt>
                <c:pt idx="83">
                  <c:v>82.7995078463696</c:v>
                </c:pt>
                <c:pt idx="84">
                  <c:v>82.7124538547271</c:v>
                </c:pt>
                <c:pt idx="85">
                  <c:v>82.6253653033649</c:v>
                </c:pt>
                <c:pt idx="86">
                  <c:v>82.5382486898258</c:v>
                </c:pt>
                <c:pt idx="87">
                  <c:v>82.4511102634042</c:v>
                </c:pt>
                <c:pt idx="88">
                  <c:v>82.3639560357668</c:v>
                </c:pt>
                <c:pt idx="89">
                  <c:v>82.2767917910398</c:v>
                </c:pt>
                <c:pt idx="90">
                  <c:v>82.1896230953947</c:v>
                </c:pt>
                <c:pt idx="91">
                  <c:v>82.1024553061613</c:v>
                </c:pt>
                <c:pt idx="92">
                  <c:v>82.0152935804934</c:v>
                </c:pt>
                <c:pt idx="93">
                  <c:v>81.9281428836148</c:v>
                </c:pt>
                <c:pt idx="94">
                  <c:v>81.8410079966671</c:v>
                </c:pt>
                <c:pt idx="95">
                  <c:v>81.7538935241827</c:v>
                </c:pt>
                <c:pt idx="96">
                  <c:v>81.6668039012024</c:v>
                </c:pt>
                <c:pt idx="97">
                  <c:v>81.5797434000587</c:v>
                </c:pt>
                <c:pt idx="98">
                  <c:v>81.4927161368415</c:v>
                </c:pt>
                <c:pt idx="99">
                  <c:v>81.4057260775642</c:v>
                </c:pt>
                <c:pt idx="100">
                  <c:v>81.3187770440455</c:v>
                </c:pt>
              </c:numCache>
            </c:numRef>
          </c:val>
          <c:smooth val="0"/>
        </c:ser>
        <c:dLbls>
          <c:showLegendKey val="0"/>
          <c:showVal val="0"/>
          <c:showCatName val="0"/>
          <c:showSerName val="0"/>
          <c:showPercent val="0"/>
          <c:showBubbleSize val="0"/>
        </c:dLbls>
        <c:marker val="0"/>
        <c:smooth val="0"/>
        <c:axId val="184691328"/>
        <c:axId val="184697600"/>
      </c:lineChart>
      <c:lineChart>
        <c:grouping val="standard"/>
        <c:varyColors val="0"/>
        <c:ser>
          <c:idx val="2"/>
          <c:order val="1"/>
          <c:tx>
            <c:strRef>
              <c:f>'Calculations - Dual'!$BP$3</c:f>
              <c:strCache>
                <c:ptCount val="1"/>
                <c:pt idx="0">
                  <c:v>Flyback Diode Loss</c:v>
                </c:pt>
              </c:strCache>
            </c:strRef>
          </c:tx>
          <c:spPr>
            <a:ln w="38100" cap="rnd" cmpd="sng" algn="ctr">
              <a:solidFill>
                <a:srgbClr val="808000"/>
              </a:solidFill>
              <a:prstDash val="sysDash"/>
              <a:round/>
            </a:ln>
          </c:spPr>
          <c:marker>
            <c:symbol val="none"/>
          </c:marker>
          <c:dLbls>
            <c:delete val="1"/>
          </c:dLbls>
          <c:cat>
            <c:numRef>
              <c:f>{0,0.025,0.05,0.075,0.1,0.125,0.15,0.175,0.2,0.225,0.25,0.275,0.3,0.325,0.35,0.375,0.4,0.425,0.45,0.475,0.5,0.525,0.55,0.575,0.6,0.625,0.65,0.675,0.7,0.725,0.75,0.775,0.8,0.825,0.85,0.875,0.9,0.925,0.95,0.975,1,1.025,1.05,1.075,1.1,1.125,1.15,1.175,1.2,1.225,1.25,1.275,1.3,1.325,1.35,1.375,1.4,1.425,1.45,1.475,1.5,1.525,1.55,1.575,1.6,1.625,1.65,1.675,1.7,1.725,1.75,1.775,1.8,1.825,1.85,1.875,1.9,1.925,1.95,1.975,2,2.025,2.05,2.075,2.1,2.125,2.15,2.175,2.2,2.225,2.25,2.275,2.3,2.325,2.35,2.375,2.4,2.425,2.45,2.475,2.5,2.525,2.55,2.575,2.6,2.625,2.65,2.675,2.7,2.725,2.75,2.775,2.8,2.825,2.85,2.875,2.9,2.925,2.95,2.975,3,3.025,3.05,3.075,3.1,3.125,3.15,3.175,3.2,3.225,3.25,3.275,3.3,3.325,3.35,3.375,3.4,3.425,3.45,3.475,3.5,3.525,3.55,3.575,3.6,3.625,3.65,3.675,3.7,3.725,3.75,3.775,3.8,3.825,3.85,3.875,3.9,3.925,3.95,3.975,4,4.025,4.05,4.075,4.1,4.125,4.15,4.175,4.2,4.225,4.25,4.275,4.3,4.325,4.35,4.375,4.4,4.425,4.45,4.475,4.5,4.525,4.55,4.575,4.6,4.625,4.65,4.675,4.7,4.725,4.75,4.775,4.8,4.825,4.85,4.875,4.9,4.925,4.95,4.975,5}</c:f>
              <c:numCache>
                <c:formatCode>General</c:formatCode>
                <c:ptCount val="201"/>
                <c:pt idx="0">
                  <c:v>0</c:v>
                </c:pt>
                <c:pt idx="1">
                  <c:v>0.025</c:v>
                </c:pt>
                <c:pt idx="2">
                  <c:v>0.05</c:v>
                </c:pt>
                <c:pt idx="3">
                  <c:v>0.075</c:v>
                </c:pt>
                <c:pt idx="4">
                  <c:v>0.1</c:v>
                </c:pt>
                <c:pt idx="5">
                  <c:v>0.125</c:v>
                </c:pt>
                <c:pt idx="6">
                  <c:v>0.15</c:v>
                </c:pt>
                <c:pt idx="7">
                  <c:v>0.175</c:v>
                </c:pt>
                <c:pt idx="8">
                  <c:v>0.2</c:v>
                </c:pt>
                <c:pt idx="9">
                  <c:v>0.225</c:v>
                </c:pt>
                <c:pt idx="10">
                  <c:v>0.25</c:v>
                </c:pt>
                <c:pt idx="11">
                  <c:v>0.275</c:v>
                </c:pt>
                <c:pt idx="12">
                  <c:v>0.3</c:v>
                </c:pt>
                <c:pt idx="13">
                  <c:v>0.325</c:v>
                </c:pt>
                <c:pt idx="14">
                  <c:v>0.35</c:v>
                </c:pt>
                <c:pt idx="15">
                  <c:v>0.375</c:v>
                </c:pt>
                <c:pt idx="16">
                  <c:v>0.4</c:v>
                </c:pt>
                <c:pt idx="17">
                  <c:v>0.425</c:v>
                </c:pt>
                <c:pt idx="18">
                  <c:v>0.45</c:v>
                </c:pt>
                <c:pt idx="19">
                  <c:v>0.475</c:v>
                </c:pt>
                <c:pt idx="20">
                  <c:v>0.5</c:v>
                </c:pt>
                <c:pt idx="21">
                  <c:v>0.525</c:v>
                </c:pt>
                <c:pt idx="22">
                  <c:v>0.55</c:v>
                </c:pt>
                <c:pt idx="23">
                  <c:v>0.575</c:v>
                </c:pt>
                <c:pt idx="24">
                  <c:v>0.6</c:v>
                </c:pt>
                <c:pt idx="25">
                  <c:v>0.625</c:v>
                </c:pt>
                <c:pt idx="26">
                  <c:v>0.65</c:v>
                </c:pt>
                <c:pt idx="27">
                  <c:v>0.675</c:v>
                </c:pt>
                <c:pt idx="28">
                  <c:v>0.7</c:v>
                </c:pt>
                <c:pt idx="29">
                  <c:v>0.725</c:v>
                </c:pt>
                <c:pt idx="30">
                  <c:v>0.75</c:v>
                </c:pt>
                <c:pt idx="31">
                  <c:v>0.775</c:v>
                </c:pt>
                <c:pt idx="32">
                  <c:v>0.8</c:v>
                </c:pt>
                <c:pt idx="33">
                  <c:v>0.825</c:v>
                </c:pt>
                <c:pt idx="34">
                  <c:v>0.85</c:v>
                </c:pt>
                <c:pt idx="35">
                  <c:v>0.875</c:v>
                </c:pt>
                <c:pt idx="36">
                  <c:v>0.9</c:v>
                </c:pt>
                <c:pt idx="37">
                  <c:v>0.925</c:v>
                </c:pt>
                <c:pt idx="38">
                  <c:v>0.95</c:v>
                </c:pt>
                <c:pt idx="39">
                  <c:v>0.975</c:v>
                </c:pt>
                <c:pt idx="40">
                  <c:v>1</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pt idx="151">
                  <c:v>3.775</c:v>
                </c:pt>
                <c:pt idx="152">
                  <c:v>3.8</c:v>
                </c:pt>
                <c:pt idx="153">
                  <c:v>3.825</c:v>
                </c:pt>
                <c:pt idx="154">
                  <c:v>3.85</c:v>
                </c:pt>
                <c:pt idx="155">
                  <c:v>3.875</c:v>
                </c:pt>
                <c:pt idx="156">
                  <c:v>3.9</c:v>
                </c:pt>
                <c:pt idx="157">
                  <c:v>3.925</c:v>
                </c:pt>
                <c:pt idx="158">
                  <c:v>3.95</c:v>
                </c:pt>
                <c:pt idx="159">
                  <c:v>3.975</c:v>
                </c:pt>
                <c:pt idx="160">
                  <c:v>4</c:v>
                </c:pt>
                <c:pt idx="161">
                  <c:v>4.025</c:v>
                </c:pt>
                <c:pt idx="162">
                  <c:v>4.05</c:v>
                </c:pt>
                <c:pt idx="163">
                  <c:v>4.075</c:v>
                </c:pt>
                <c:pt idx="164">
                  <c:v>4.1</c:v>
                </c:pt>
                <c:pt idx="165">
                  <c:v>4.125</c:v>
                </c:pt>
                <c:pt idx="166">
                  <c:v>4.15</c:v>
                </c:pt>
                <c:pt idx="167">
                  <c:v>4.175</c:v>
                </c:pt>
                <c:pt idx="168">
                  <c:v>4.2</c:v>
                </c:pt>
                <c:pt idx="169">
                  <c:v>4.225</c:v>
                </c:pt>
                <c:pt idx="170">
                  <c:v>4.25</c:v>
                </c:pt>
                <c:pt idx="171">
                  <c:v>4.275</c:v>
                </c:pt>
                <c:pt idx="172">
                  <c:v>4.3</c:v>
                </c:pt>
                <c:pt idx="173">
                  <c:v>4.325</c:v>
                </c:pt>
                <c:pt idx="174">
                  <c:v>4.35</c:v>
                </c:pt>
                <c:pt idx="175">
                  <c:v>4.375</c:v>
                </c:pt>
                <c:pt idx="176">
                  <c:v>4.4</c:v>
                </c:pt>
                <c:pt idx="177">
                  <c:v>4.425</c:v>
                </c:pt>
                <c:pt idx="178">
                  <c:v>4.45</c:v>
                </c:pt>
                <c:pt idx="179">
                  <c:v>4.475</c:v>
                </c:pt>
                <c:pt idx="180">
                  <c:v>4.5</c:v>
                </c:pt>
                <c:pt idx="181">
                  <c:v>4.525</c:v>
                </c:pt>
                <c:pt idx="182">
                  <c:v>4.55</c:v>
                </c:pt>
                <c:pt idx="183">
                  <c:v>4.575</c:v>
                </c:pt>
                <c:pt idx="184">
                  <c:v>4.6</c:v>
                </c:pt>
                <c:pt idx="185">
                  <c:v>4.625</c:v>
                </c:pt>
                <c:pt idx="186">
                  <c:v>4.65</c:v>
                </c:pt>
                <c:pt idx="187">
                  <c:v>4.675</c:v>
                </c:pt>
                <c:pt idx="188">
                  <c:v>4.7</c:v>
                </c:pt>
                <c:pt idx="189">
                  <c:v>4.725</c:v>
                </c:pt>
                <c:pt idx="190">
                  <c:v>4.75</c:v>
                </c:pt>
                <c:pt idx="191">
                  <c:v>4.775</c:v>
                </c:pt>
                <c:pt idx="192">
                  <c:v>4.8</c:v>
                </c:pt>
                <c:pt idx="193">
                  <c:v>4.825</c:v>
                </c:pt>
                <c:pt idx="194">
                  <c:v>4.85</c:v>
                </c:pt>
                <c:pt idx="195">
                  <c:v>4.875</c:v>
                </c:pt>
                <c:pt idx="196">
                  <c:v>4.9</c:v>
                </c:pt>
                <c:pt idx="197">
                  <c:v>4.925</c:v>
                </c:pt>
                <c:pt idx="198">
                  <c:v>4.95</c:v>
                </c:pt>
                <c:pt idx="199">
                  <c:v>4.975</c:v>
                </c:pt>
                <c:pt idx="200">
                  <c:v>5</c:v>
                </c:pt>
              </c:numCache>
            </c:numRef>
          </c:cat>
          <c:val>
            <c:numRef>
              <c:f>'Calculations - Dual'!$BT$5:$BT$105</c:f>
              <c:numCache>
                <c:formatCode>0.0</c:formatCode>
                <c:ptCount val="101"/>
                <c:pt idx="0">
                  <c:v>8.86425347698031</c:v>
                </c:pt>
                <c:pt idx="1">
                  <c:v>14.3052523430772</c:v>
                </c:pt>
                <c:pt idx="2">
                  <c:v>19.6905025161616</c:v>
                </c:pt>
                <c:pt idx="3">
                  <c:v>25.075752689246</c:v>
                </c:pt>
                <c:pt idx="4">
                  <c:v>31.4327001691129</c:v>
                </c:pt>
                <c:pt idx="5">
                  <c:v>38.9507974110943</c:v>
                </c:pt>
                <c:pt idx="6">
                  <c:v>46.372012294007</c:v>
                </c:pt>
                <c:pt idx="7">
                  <c:v>53.7048548396742</c:v>
                </c:pt>
                <c:pt idx="8">
                  <c:v>60.9559186557121</c:v>
                </c:pt>
                <c:pt idx="9">
                  <c:v>68.1305085570509</c:v>
                </c:pt>
                <c:pt idx="10">
                  <c:v>75.2330130447563</c:v>
                </c:pt>
                <c:pt idx="11">
                  <c:v>82.267141388297</c:v>
                </c:pt>
                <c:pt idx="12">
                  <c:v>89.2360827415016</c:v>
                </c:pt>
                <c:pt idx="13">
                  <c:v>96.1426174724102</c:v>
                </c:pt>
                <c:pt idx="14">
                  <c:v>102.989197722504</c:v>
                </c:pt>
                <c:pt idx="15">
                  <c:v>109.778007340956</c:v>
                </c:pt>
                <c:pt idx="16">
                  <c:v>116.511007526396</c:v>
                </c:pt>
                <c:pt idx="17">
                  <c:v>123.189972282275</c:v>
                </c:pt>
                <c:pt idx="18">
                  <c:v>130.780215324241</c:v>
                </c:pt>
                <c:pt idx="19">
                  <c:v>141.617561817126</c:v>
                </c:pt>
                <c:pt idx="20">
                  <c:v>150.66172916025</c:v>
                </c:pt>
                <c:pt idx="21">
                  <c:v>159.864957649176</c:v>
                </c:pt>
                <c:pt idx="22">
                  <c:v>169.227247283903</c:v>
                </c:pt>
                <c:pt idx="23">
                  <c:v>178.748598064431</c:v>
                </c:pt>
                <c:pt idx="24">
                  <c:v>188.429009990761</c:v>
                </c:pt>
                <c:pt idx="25">
                  <c:v>198.268483062891</c:v>
                </c:pt>
                <c:pt idx="26">
                  <c:v>208.267017280823</c:v>
                </c:pt>
                <c:pt idx="27">
                  <c:v>218.424612644557</c:v>
                </c:pt>
                <c:pt idx="28">
                  <c:v>228.741269154091</c:v>
                </c:pt>
                <c:pt idx="29">
                  <c:v>239.216986809426</c:v>
                </c:pt>
                <c:pt idx="30">
                  <c:v>249.851765610564</c:v>
                </c:pt>
                <c:pt idx="31">
                  <c:v>260.645605557502</c:v>
                </c:pt>
                <c:pt idx="32">
                  <c:v>271.598506650241</c:v>
                </c:pt>
                <c:pt idx="33">
                  <c:v>282.710468888781</c:v>
                </c:pt>
                <c:pt idx="34">
                  <c:v>293.981492273124</c:v>
                </c:pt>
                <c:pt idx="35">
                  <c:v>305.411576803267</c:v>
                </c:pt>
                <c:pt idx="36">
                  <c:v>317.000722479211</c:v>
                </c:pt>
                <c:pt idx="37">
                  <c:v>328.748929300958</c:v>
                </c:pt>
                <c:pt idx="38">
                  <c:v>337.174201467414</c:v>
                </c:pt>
                <c:pt idx="39">
                  <c:v>344.532227027851</c:v>
                </c:pt>
                <c:pt idx="40">
                  <c:v>351.853215877062</c:v>
                </c:pt>
                <c:pt idx="41">
                  <c:v>359.138602797534</c:v>
                </c:pt>
                <c:pt idx="42">
                  <c:v>366.389749406273</c:v>
                </c:pt>
                <c:pt idx="43">
                  <c:v>373.607948759856</c:v>
                </c:pt>
                <c:pt idx="44">
                  <c:v>380.794429615998</c:v>
                </c:pt>
                <c:pt idx="45">
                  <c:v>387.950360381156</c:v>
                </c:pt>
                <c:pt idx="46">
                  <c:v>395.076852770823</c:v>
                </c:pt>
                <c:pt idx="47">
                  <c:v>402.174965206622</c:v>
                </c:pt>
                <c:pt idx="48">
                  <c:v>409.245705972016</c:v>
                </c:pt>
                <c:pt idx="49">
                  <c:v>416.290036146408</c:v>
                </c:pt>
                <c:pt idx="50">
                  <c:v>423.30887233558</c:v>
                </c:pt>
                <c:pt idx="51">
                  <c:v>430.303089214779</c:v>
                </c:pt>
                <c:pt idx="52">
                  <c:v>437.273521899263</c:v>
                </c:pt>
                <c:pt idx="53">
                  <c:v>444.220968155837</c:v>
                </c:pt>
                <c:pt idx="54">
                  <c:v>451.146190467657</c:v>
                </c:pt>
                <c:pt idx="55">
                  <c:v>458.049917963557</c:v>
                </c:pt>
                <c:pt idx="56">
                  <c:v>464.93284822215</c:v>
                </c:pt>
                <c:pt idx="57">
                  <c:v>471.795648960076</c:v>
                </c:pt>
                <c:pt idx="58">
                  <c:v>478.638959613005</c:v>
                </c:pt>
                <c:pt idx="59">
                  <c:v>485.463392817234</c:v>
                </c:pt>
                <c:pt idx="60">
                  <c:v>492.269535799117</c:v>
                </c:pt>
                <c:pt idx="61">
                  <c:v>499.057951678938</c:v>
                </c:pt>
                <c:pt idx="62">
                  <c:v>505.829180695303</c:v>
                </c:pt>
                <c:pt idx="63">
                  <c:v>512.583741355671</c:v>
                </c:pt>
                <c:pt idx="64">
                  <c:v>519.322131518142</c:v>
                </c:pt>
                <c:pt idx="65">
                  <c:v>526.044829409263</c:v>
                </c:pt>
                <c:pt idx="66">
                  <c:v>532.752294582226</c:v>
                </c:pt>
                <c:pt idx="67">
                  <c:v>539.444968819482</c:v>
                </c:pt>
                <c:pt idx="68">
                  <c:v>546.123276983497</c:v>
                </c:pt>
                <c:pt idx="69">
                  <c:v>552.787627819104</c:v>
                </c:pt>
                <c:pt idx="70">
                  <c:v>559.43841471062</c:v>
                </c:pt>
                <c:pt idx="71">
                  <c:v>566.076016396687</c:v>
                </c:pt>
                <c:pt idx="72">
                  <c:v>572.70079764556</c:v>
                </c:pt>
                <c:pt idx="73">
                  <c:v>579.31310989337</c:v>
                </c:pt>
                <c:pt idx="74">
                  <c:v>585.913291847709</c:v>
                </c:pt>
                <c:pt idx="75">
                  <c:v>592.501670058732</c:v>
                </c:pt>
                <c:pt idx="76">
                  <c:v>599.078559459762</c:v>
                </c:pt>
                <c:pt idx="77">
                  <c:v>605.644263879323</c:v>
                </c:pt>
                <c:pt idx="78">
                  <c:v>612.199076526313</c:v>
                </c:pt>
                <c:pt idx="79">
                  <c:v>618.743280449968</c:v>
                </c:pt>
                <c:pt idx="80">
                  <c:v>625.27714897612</c:v>
                </c:pt>
                <c:pt idx="81">
                  <c:v>631.80094612117</c:v>
                </c:pt>
                <c:pt idx="82">
                  <c:v>638.314926985091</c:v>
                </c:pt>
                <c:pt idx="83">
                  <c:v>644.819338124679</c:v>
                </c:pt>
                <c:pt idx="84">
                  <c:v>651.314417908229</c:v>
                </c:pt>
                <c:pt idx="85">
                  <c:v>657.800396852662</c:v>
                </c:pt>
                <c:pt idx="86">
                  <c:v>664.277497944158</c:v>
                </c:pt>
                <c:pt idx="87">
                  <c:v>670.745936943181</c:v>
                </c:pt>
                <c:pt idx="88">
                  <c:v>677.205922674815</c:v>
                </c:pt>
                <c:pt idx="89">
                  <c:v>683.657657305201</c:v>
                </c:pt>
                <c:pt idx="90">
                  <c:v>690.101336604862</c:v>
                </c:pt>
                <c:pt idx="91">
                  <c:v>696.537150199628</c:v>
                </c:pt>
                <c:pt idx="92">
                  <c:v>702.965281809841</c:v>
                </c:pt>
                <c:pt idx="93">
                  <c:v>709.38590947847</c:v>
                </c:pt>
                <c:pt idx="94">
                  <c:v>715.799205788736</c:v>
                </c:pt>
                <c:pt idx="95">
                  <c:v>722.205338071799</c:v>
                </c:pt>
                <c:pt idx="96">
                  <c:v>728.604468605039</c:v>
                </c:pt>
                <c:pt idx="97">
                  <c:v>734.996754801422</c:v>
                </c:pt>
                <c:pt idx="98">
                  <c:v>741.38234939041</c:v>
                </c:pt>
                <c:pt idx="99">
                  <c:v>747.761400590865</c:v>
                </c:pt>
                <c:pt idx="100">
                  <c:v>754.134052276341</c:v>
                </c:pt>
              </c:numCache>
            </c:numRef>
          </c:val>
          <c:smooth val="0"/>
        </c:ser>
        <c:ser>
          <c:idx val="3"/>
          <c:order val="2"/>
          <c:tx>
            <c:strRef>
              <c:f>'Calculations - Dual'!$BH$3</c:f>
              <c:strCache>
                <c:ptCount val="1"/>
                <c:pt idx="0">
                  <c:v>IC Loss</c:v>
                </c:pt>
              </c:strCache>
            </c:strRef>
          </c:tx>
          <c:spPr>
            <a:ln w="38100" cap="rnd" cmpd="sng" algn="ctr">
              <a:solidFill>
                <a:srgbClr val="800080"/>
              </a:solidFill>
              <a:prstDash val="dash"/>
              <a:round/>
            </a:ln>
          </c:spPr>
          <c:marker>
            <c:symbol val="none"/>
          </c:marker>
          <c:dLbls>
            <c:delete val="1"/>
          </c:dLbls>
          <c:cat>
            <c:numRef>
              <c:f>{0,0.025,0.05,0.075,0.1,0.125,0.15,0.175,0.2,0.225,0.25,0.275,0.3,0.325,0.35,0.375,0.4,0.425,0.45,0.475,0.5,0.525,0.55,0.575,0.6,0.625,0.65,0.675,0.7,0.725,0.75,0.775,0.8,0.825,0.85,0.875,0.9,0.925,0.95,0.975,1,1.025,1.05,1.075,1.1,1.125,1.15,1.175,1.2,1.225,1.25,1.275,1.3,1.325,1.35,1.375,1.4,1.425,1.45,1.475,1.5,1.525,1.55,1.575,1.6,1.625,1.65,1.675,1.7,1.725,1.75,1.775,1.8,1.825,1.85,1.875,1.9,1.925,1.95,1.975,2,2.025,2.05,2.075,2.1,2.125,2.15,2.175,2.2,2.225,2.25,2.275,2.3,2.325,2.35,2.375,2.4,2.425,2.45,2.475,2.5,2.525,2.55,2.575,2.6,2.625,2.65,2.675,2.7,2.725,2.75,2.775,2.8,2.825,2.85,2.875,2.9,2.925,2.95,2.975,3,3.025,3.05,3.075,3.1,3.125,3.15,3.175,3.2,3.225,3.25,3.275,3.3,3.325,3.35,3.375,3.4,3.425,3.45,3.475,3.5,3.525,3.55,3.575,3.6,3.625,3.65,3.675,3.7,3.725,3.75,3.775,3.8,3.825,3.85,3.875,3.9,3.925,3.95,3.975,4,4.025,4.05,4.075,4.1,4.125,4.15,4.175,4.2,4.225,4.25,4.275,4.3,4.325,4.35,4.375,4.4,4.425,4.45,4.475,4.5,4.525,4.55,4.575,4.6,4.625,4.65,4.675,4.7,4.725,4.75,4.775,4.8,4.825,4.85,4.875,4.9,4.925,4.95,4.975,5}</c:f>
              <c:numCache>
                <c:formatCode>General</c:formatCode>
                <c:ptCount val="201"/>
                <c:pt idx="0">
                  <c:v>0</c:v>
                </c:pt>
                <c:pt idx="1">
                  <c:v>0.025</c:v>
                </c:pt>
                <c:pt idx="2">
                  <c:v>0.05</c:v>
                </c:pt>
                <c:pt idx="3">
                  <c:v>0.075</c:v>
                </c:pt>
                <c:pt idx="4">
                  <c:v>0.1</c:v>
                </c:pt>
                <c:pt idx="5">
                  <c:v>0.125</c:v>
                </c:pt>
                <c:pt idx="6">
                  <c:v>0.15</c:v>
                </c:pt>
                <c:pt idx="7">
                  <c:v>0.175</c:v>
                </c:pt>
                <c:pt idx="8">
                  <c:v>0.2</c:v>
                </c:pt>
                <c:pt idx="9">
                  <c:v>0.225</c:v>
                </c:pt>
                <c:pt idx="10">
                  <c:v>0.25</c:v>
                </c:pt>
                <c:pt idx="11">
                  <c:v>0.275</c:v>
                </c:pt>
                <c:pt idx="12">
                  <c:v>0.3</c:v>
                </c:pt>
                <c:pt idx="13">
                  <c:v>0.325</c:v>
                </c:pt>
                <c:pt idx="14">
                  <c:v>0.35</c:v>
                </c:pt>
                <c:pt idx="15">
                  <c:v>0.375</c:v>
                </c:pt>
                <c:pt idx="16">
                  <c:v>0.4</c:v>
                </c:pt>
                <c:pt idx="17">
                  <c:v>0.425</c:v>
                </c:pt>
                <c:pt idx="18">
                  <c:v>0.45</c:v>
                </c:pt>
                <c:pt idx="19">
                  <c:v>0.475</c:v>
                </c:pt>
                <c:pt idx="20">
                  <c:v>0.5</c:v>
                </c:pt>
                <c:pt idx="21">
                  <c:v>0.525</c:v>
                </c:pt>
                <c:pt idx="22">
                  <c:v>0.55</c:v>
                </c:pt>
                <c:pt idx="23">
                  <c:v>0.575</c:v>
                </c:pt>
                <c:pt idx="24">
                  <c:v>0.6</c:v>
                </c:pt>
                <c:pt idx="25">
                  <c:v>0.625</c:v>
                </c:pt>
                <c:pt idx="26">
                  <c:v>0.65</c:v>
                </c:pt>
                <c:pt idx="27">
                  <c:v>0.675</c:v>
                </c:pt>
                <c:pt idx="28">
                  <c:v>0.7</c:v>
                </c:pt>
                <c:pt idx="29">
                  <c:v>0.725</c:v>
                </c:pt>
                <c:pt idx="30">
                  <c:v>0.75</c:v>
                </c:pt>
                <c:pt idx="31">
                  <c:v>0.775</c:v>
                </c:pt>
                <c:pt idx="32">
                  <c:v>0.8</c:v>
                </c:pt>
                <c:pt idx="33">
                  <c:v>0.825</c:v>
                </c:pt>
                <c:pt idx="34">
                  <c:v>0.85</c:v>
                </c:pt>
                <c:pt idx="35">
                  <c:v>0.875</c:v>
                </c:pt>
                <c:pt idx="36">
                  <c:v>0.9</c:v>
                </c:pt>
                <c:pt idx="37">
                  <c:v>0.925</c:v>
                </c:pt>
                <c:pt idx="38">
                  <c:v>0.95</c:v>
                </c:pt>
                <c:pt idx="39">
                  <c:v>0.975</c:v>
                </c:pt>
                <c:pt idx="40">
                  <c:v>1</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pt idx="151">
                  <c:v>3.775</c:v>
                </c:pt>
                <c:pt idx="152">
                  <c:v>3.8</c:v>
                </c:pt>
                <c:pt idx="153">
                  <c:v>3.825</c:v>
                </c:pt>
                <c:pt idx="154">
                  <c:v>3.85</c:v>
                </c:pt>
                <c:pt idx="155">
                  <c:v>3.875</c:v>
                </c:pt>
                <c:pt idx="156">
                  <c:v>3.9</c:v>
                </c:pt>
                <c:pt idx="157">
                  <c:v>3.925</c:v>
                </c:pt>
                <c:pt idx="158">
                  <c:v>3.95</c:v>
                </c:pt>
                <c:pt idx="159">
                  <c:v>3.975</c:v>
                </c:pt>
                <c:pt idx="160">
                  <c:v>4</c:v>
                </c:pt>
                <c:pt idx="161">
                  <c:v>4.025</c:v>
                </c:pt>
                <c:pt idx="162">
                  <c:v>4.05</c:v>
                </c:pt>
                <c:pt idx="163">
                  <c:v>4.075</c:v>
                </c:pt>
                <c:pt idx="164">
                  <c:v>4.1</c:v>
                </c:pt>
                <c:pt idx="165">
                  <c:v>4.125</c:v>
                </c:pt>
                <c:pt idx="166">
                  <c:v>4.15</c:v>
                </c:pt>
                <c:pt idx="167">
                  <c:v>4.175</c:v>
                </c:pt>
                <c:pt idx="168">
                  <c:v>4.2</c:v>
                </c:pt>
                <c:pt idx="169">
                  <c:v>4.225</c:v>
                </c:pt>
                <c:pt idx="170">
                  <c:v>4.25</c:v>
                </c:pt>
                <c:pt idx="171">
                  <c:v>4.275</c:v>
                </c:pt>
                <c:pt idx="172">
                  <c:v>4.3</c:v>
                </c:pt>
                <c:pt idx="173">
                  <c:v>4.325</c:v>
                </c:pt>
                <c:pt idx="174">
                  <c:v>4.35</c:v>
                </c:pt>
                <c:pt idx="175">
                  <c:v>4.375</c:v>
                </c:pt>
                <c:pt idx="176">
                  <c:v>4.4</c:v>
                </c:pt>
                <c:pt idx="177">
                  <c:v>4.425</c:v>
                </c:pt>
                <c:pt idx="178">
                  <c:v>4.45</c:v>
                </c:pt>
                <c:pt idx="179">
                  <c:v>4.475</c:v>
                </c:pt>
                <c:pt idx="180">
                  <c:v>4.5</c:v>
                </c:pt>
                <c:pt idx="181">
                  <c:v>4.525</c:v>
                </c:pt>
                <c:pt idx="182">
                  <c:v>4.55</c:v>
                </c:pt>
                <c:pt idx="183">
                  <c:v>4.575</c:v>
                </c:pt>
                <c:pt idx="184">
                  <c:v>4.6</c:v>
                </c:pt>
                <c:pt idx="185">
                  <c:v>4.625</c:v>
                </c:pt>
                <c:pt idx="186">
                  <c:v>4.65</c:v>
                </c:pt>
                <c:pt idx="187">
                  <c:v>4.675</c:v>
                </c:pt>
                <c:pt idx="188">
                  <c:v>4.7</c:v>
                </c:pt>
                <c:pt idx="189">
                  <c:v>4.725</c:v>
                </c:pt>
                <c:pt idx="190">
                  <c:v>4.75</c:v>
                </c:pt>
                <c:pt idx="191">
                  <c:v>4.775</c:v>
                </c:pt>
                <c:pt idx="192">
                  <c:v>4.8</c:v>
                </c:pt>
                <c:pt idx="193">
                  <c:v>4.825</c:v>
                </c:pt>
                <c:pt idx="194">
                  <c:v>4.85</c:v>
                </c:pt>
                <c:pt idx="195">
                  <c:v>4.875</c:v>
                </c:pt>
                <c:pt idx="196">
                  <c:v>4.9</c:v>
                </c:pt>
                <c:pt idx="197">
                  <c:v>4.925</c:v>
                </c:pt>
                <c:pt idx="198">
                  <c:v>4.95</c:v>
                </c:pt>
                <c:pt idx="199">
                  <c:v>4.975</c:v>
                </c:pt>
                <c:pt idx="200">
                  <c:v>5</c:v>
                </c:pt>
              </c:numCache>
            </c:numRef>
          </c:cat>
          <c:val>
            <c:numRef>
              <c:f>'Calculations - Dual'!$BO$5:$BO$105</c:f>
              <c:numCache>
                <c:formatCode>0.0</c:formatCode>
                <c:ptCount val="101"/>
                <c:pt idx="0">
                  <c:v>4.35769195753327</c:v>
                </c:pt>
                <c:pt idx="1">
                  <c:v>12.2554992558788</c:v>
                </c:pt>
                <c:pt idx="2">
                  <c:v>21.0374788808892</c:v>
                </c:pt>
                <c:pt idx="3">
                  <c:v>29.8259460559382</c:v>
                </c:pt>
                <c:pt idx="4">
                  <c:v>35.5698490784077</c:v>
                </c:pt>
                <c:pt idx="5">
                  <c:v>38.7279172810749</c:v>
                </c:pt>
                <c:pt idx="6">
                  <c:v>41.9028163737007</c:v>
                </c:pt>
                <c:pt idx="7">
                  <c:v>45.1176696588087</c:v>
                </c:pt>
                <c:pt idx="8">
                  <c:v>48.385971789176</c:v>
                </c:pt>
                <c:pt idx="9">
                  <c:v>51.7160494612633</c:v>
                </c:pt>
                <c:pt idx="10">
                  <c:v>55.1132367455003</c:v>
                </c:pt>
                <c:pt idx="11">
                  <c:v>58.581037013581</c:v>
                </c:pt>
                <c:pt idx="12">
                  <c:v>62.1217872058688</c:v>
                </c:pt>
                <c:pt idx="13">
                  <c:v>65.7370581101263</c:v>
                </c:pt>
                <c:pt idx="14">
                  <c:v>69.4279058722984</c:v>
                </c:pt>
                <c:pt idx="15">
                  <c:v>73.1950354839096</c:v>
                </c:pt>
                <c:pt idx="16">
                  <c:v>77.0389100579383</c:v>
                </c:pt>
                <c:pt idx="17">
                  <c:v>80.9598255800228</c:v>
                </c:pt>
                <c:pt idx="18">
                  <c:v>81.3389164699497</c:v>
                </c:pt>
                <c:pt idx="19">
                  <c:v>97.4792587853052</c:v>
                </c:pt>
                <c:pt idx="20">
                  <c:v>102.456210066879</c:v>
                </c:pt>
                <c:pt idx="21">
                  <c:v>107.811353226908</c:v>
                </c:pt>
                <c:pt idx="22">
                  <c:v>113.540164081841</c:v>
                </c:pt>
                <c:pt idx="23">
                  <c:v>119.639871929391</c:v>
                </c:pt>
                <c:pt idx="24">
                  <c:v>126.109154281035</c:v>
                </c:pt>
                <c:pt idx="25">
                  <c:v>132.947907290149</c:v>
                </c:pt>
                <c:pt idx="26">
                  <c:v>140.1570716729</c:v>
                </c:pt>
                <c:pt idx="27">
                  <c:v>147.738499916235</c:v>
                </c:pt>
                <c:pt idx="28">
                  <c:v>155.694854637674</c:v>
                </c:pt>
                <c:pt idx="29">
                  <c:v>164.029530769941</c:v>
                </c:pt>
                <c:pt idx="30">
                  <c:v>172.746596210154</c:v>
                </c:pt>
                <c:pt idx="31">
                  <c:v>181.850746970342</c:v>
                </c:pt>
                <c:pt idx="32">
                  <c:v>191.347273871248</c:v>
                </c:pt>
                <c:pt idx="33">
                  <c:v>201.242038553709</c:v>
                </c:pt>
                <c:pt idx="34">
                  <c:v>211.541457121787</c:v>
                </c:pt>
                <c:pt idx="35">
                  <c:v>222.252490134228</c:v>
                </c:pt>
                <c:pt idx="36">
                  <c:v>233.382637964274</c:v>
                </c:pt>
                <c:pt idx="37">
                  <c:v>244.93994077897</c:v>
                </c:pt>
                <c:pt idx="38">
                  <c:v>245.079337728294</c:v>
                </c:pt>
                <c:pt idx="39">
                  <c:v>241.774773550202</c:v>
                </c:pt>
                <c:pt idx="40">
                  <c:v>238.563086623055</c:v>
                </c:pt>
                <c:pt idx="41">
                  <c:v>235.440415632381</c:v>
                </c:pt>
                <c:pt idx="42">
                  <c:v>232.403110380388</c:v>
                </c:pt>
                <c:pt idx="43">
                  <c:v>229.447717552064</c:v>
                </c:pt>
                <c:pt idx="44">
                  <c:v>226.57096761756</c:v>
                </c:pt>
                <c:pt idx="45">
                  <c:v>223.769762766446</c:v>
                </c:pt>
                <c:pt idx="46">
                  <c:v>221.041165780188</c:v>
                </c:pt>
                <c:pt idx="47">
                  <c:v>218.382389758845</c:v>
                </c:pt>
                <c:pt idx="48">
                  <c:v>215.790788626446</c:v>
                </c:pt>
                <c:pt idx="49">
                  <c:v>213.263848347034</c:v>
                </c:pt>
                <c:pt idx="50">
                  <c:v>210.799178790105</c:v>
                </c:pt>
                <c:pt idx="51">
                  <c:v>208.394506190088</c:v>
                </c:pt>
                <c:pt idx="52">
                  <c:v>206.047666149884</c:v>
                </c:pt>
                <c:pt idx="53">
                  <c:v>203.756597143201</c:v>
                </c:pt>
                <c:pt idx="54">
                  <c:v>201.519334474684</c:v>
                </c:pt>
                <c:pt idx="55">
                  <c:v>199.334004660655</c:v>
                </c:pt>
                <c:pt idx="56">
                  <c:v>197.198820196669</c:v>
                </c:pt>
                <c:pt idx="57">
                  <c:v>195.112074681195</c:v>
                </c:pt>
                <c:pt idx="58">
                  <c:v>193.072138267432</c:v>
                </c:pt>
                <c:pt idx="59">
                  <c:v>191.077453417811</c:v>
                </c:pt>
                <c:pt idx="60">
                  <c:v>189.126530937924</c:v>
                </c:pt>
                <c:pt idx="61">
                  <c:v>187.217946268667</c:v>
                </c:pt>
                <c:pt idx="62">
                  <c:v>185.350336017179</c:v>
                </c:pt>
                <c:pt idx="63">
                  <c:v>183.522394708845</c:v>
                </c:pt>
                <c:pt idx="64">
                  <c:v>181.732871744087</c:v>
                </c:pt>
                <c:pt idx="65">
                  <c:v>179.980568545036</c:v>
                </c:pt>
                <c:pt idx="66">
                  <c:v>178.264335878414</c:v>
                </c:pt>
                <c:pt idx="67">
                  <c:v>176.583071342052</c:v>
                </c:pt>
                <c:pt idx="68">
                  <c:v>174.935717003493</c:v>
                </c:pt>
                <c:pt idx="69">
                  <c:v>173.321257180057</c:v>
                </c:pt>
                <c:pt idx="70">
                  <c:v>171.738716350568</c:v>
                </c:pt>
                <c:pt idx="71">
                  <c:v>170.187157189737</c:v>
                </c:pt>
                <c:pt idx="72">
                  <c:v>168.665678716862</c:v>
                </c:pt>
                <c:pt idx="73">
                  <c:v>167.173414551176</c:v>
                </c:pt>
                <c:pt idx="74">
                  <c:v>165.709531266732</c:v>
                </c:pt>
                <c:pt idx="75">
                  <c:v>164.273226840272</c:v>
                </c:pt>
                <c:pt idx="76">
                  <c:v>162.863729186004</c:v>
                </c:pt>
                <c:pt idx="77">
                  <c:v>161.480294771646</c:v>
                </c:pt>
                <c:pt idx="78">
                  <c:v>160.122207310562</c:v>
                </c:pt>
                <c:pt idx="79">
                  <c:v>158.788776525111</c:v>
                </c:pt>
                <c:pt idx="80">
                  <c:v>157.479336976759</c:v>
                </c:pt>
                <c:pt idx="81">
                  <c:v>156.193246958771</c:v>
                </c:pt>
                <c:pt idx="82">
                  <c:v>154.929887447611</c:v>
                </c:pt>
                <c:pt idx="83">
                  <c:v>153.688661109461</c:v>
                </c:pt>
                <c:pt idx="84">
                  <c:v>152.468991358497</c:v>
                </c:pt>
                <c:pt idx="85">
                  <c:v>151.270321463812</c:v>
                </c:pt>
                <c:pt idx="86">
                  <c:v>150.092113702067</c:v>
                </c:pt>
                <c:pt idx="87">
                  <c:v>148.933848553179</c:v>
                </c:pt>
                <c:pt idx="88">
                  <c:v>147.795023936506</c:v>
                </c:pt>
                <c:pt idx="89">
                  <c:v>146.675154485165</c:v>
                </c:pt>
                <c:pt idx="90">
                  <c:v>145.573770856295</c:v>
                </c:pt>
                <c:pt idx="91">
                  <c:v>144.490419075195</c:v>
                </c:pt>
                <c:pt idx="92">
                  <c:v>143.424659911408</c:v>
                </c:pt>
                <c:pt idx="93">
                  <c:v>142.376068284968</c:v>
                </c:pt>
                <c:pt idx="94">
                  <c:v>141.344232701092</c:v>
                </c:pt>
                <c:pt idx="95">
                  <c:v>140.328754711782</c:v>
                </c:pt>
                <c:pt idx="96">
                  <c:v>139.329248402806</c:v>
                </c:pt>
                <c:pt idx="97">
                  <c:v>138.345339904713</c:v>
                </c:pt>
                <c:pt idx="98">
                  <c:v>137.376666926561</c:v>
                </c:pt>
                <c:pt idx="99">
                  <c:v>136.422878311131</c:v>
                </c:pt>
                <c:pt idx="100">
                  <c:v>135.4836336105</c:v>
                </c:pt>
              </c:numCache>
            </c:numRef>
          </c:val>
          <c:smooth val="0"/>
        </c:ser>
        <c:ser>
          <c:idx val="1"/>
          <c:order val="3"/>
          <c:tx>
            <c:strRef>
              <c:f>'Calculations - Dual'!$BU$3</c:f>
              <c:strCache>
                <c:ptCount val="1"/>
                <c:pt idx="0">
                  <c:v>Transformer Loss</c:v>
                </c:pt>
              </c:strCache>
            </c:strRef>
          </c:tx>
          <c:spPr>
            <a:ln w="38100" cap="rnd" cmpd="sng" algn="ctr">
              <a:solidFill>
                <a:srgbClr val="002060"/>
              </a:solidFill>
              <a:prstDash val="sysDot"/>
              <a:round/>
            </a:ln>
          </c:spPr>
          <c:marker>
            <c:symbol val="none"/>
          </c:marker>
          <c:dLbls>
            <c:delete val="1"/>
          </c:dLbls>
          <c:cat>
            <c:numRef>
              <c:f>{0,0.025,0.05,0.075,0.1,0.125,0.15,0.175,0.2,0.225,0.25,0.275,0.3,0.325,0.35,0.375,0.4,0.425,0.45,0.475,0.5,0.525,0.55,0.575,0.6,0.625,0.65,0.675,0.7,0.725,0.75,0.775,0.8,0.825,0.85,0.875,0.9,0.925,0.95,0.975,1,1.025,1.05,1.075,1.1,1.125,1.15,1.175,1.2,1.225,1.25,1.275,1.3,1.325,1.35,1.375,1.4,1.425,1.45,1.475,1.5,1.525,1.55,1.575,1.6,1.625,1.65,1.675,1.7,1.725,1.75,1.775,1.8,1.825,1.85,1.875,1.9,1.925,1.95,1.975,2,2.025,2.05,2.075,2.1,2.125,2.15,2.175,2.2,2.225,2.25,2.275,2.3,2.325,2.35,2.375,2.4,2.425,2.45,2.475,2.5,2.525,2.55,2.575,2.6,2.625,2.65,2.675,2.7,2.725,2.75,2.775,2.8,2.825,2.85,2.875,2.9,2.925,2.95,2.975,3,3.025,3.05,3.075,3.1,3.125,3.15,3.175,3.2,3.225,3.25,3.275,3.3,3.325,3.35,3.375,3.4,3.425,3.45,3.475,3.5,3.525,3.55,3.575,3.6,3.625,3.65,3.675,3.7,3.725,3.75,3.775,3.8,3.825,3.85,3.875,3.9,3.925,3.95,3.975,4,4.025,4.05,4.075,4.1,4.125,4.15,4.175,4.2,4.225,4.25,4.275,4.3,4.325,4.35,4.375,4.4,4.425,4.45,4.475,4.5,4.525,4.55,4.575,4.6,4.625,4.65,4.675,4.7,4.725,4.75,4.775,4.8,4.825,4.85,4.875,4.9,4.925,4.95,4.975,5}</c:f>
              <c:numCache>
                <c:formatCode>General</c:formatCode>
                <c:ptCount val="201"/>
                <c:pt idx="0">
                  <c:v>0</c:v>
                </c:pt>
                <c:pt idx="1">
                  <c:v>0.025</c:v>
                </c:pt>
                <c:pt idx="2">
                  <c:v>0.05</c:v>
                </c:pt>
                <c:pt idx="3">
                  <c:v>0.075</c:v>
                </c:pt>
                <c:pt idx="4">
                  <c:v>0.1</c:v>
                </c:pt>
                <c:pt idx="5">
                  <c:v>0.125</c:v>
                </c:pt>
                <c:pt idx="6">
                  <c:v>0.15</c:v>
                </c:pt>
                <c:pt idx="7">
                  <c:v>0.175</c:v>
                </c:pt>
                <c:pt idx="8">
                  <c:v>0.2</c:v>
                </c:pt>
                <c:pt idx="9">
                  <c:v>0.225</c:v>
                </c:pt>
                <c:pt idx="10">
                  <c:v>0.25</c:v>
                </c:pt>
                <c:pt idx="11">
                  <c:v>0.275</c:v>
                </c:pt>
                <c:pt idx="12">
                  <c:v>0.3</c:v>
                </c:pt>
                <c:pt idx="13">
                  <c:v>0.325</c:v>
                </c:pt>
                <c:pt idx="14">
                  <c:v>0.35</c:v>
                </c:pt>
                <c:pt idx="15">
                  <c:v>0.375</c:v>
                </c:pt>
                <c:pt idx="16">
                  <c:v>0.4</c:v>
                </c:pt>
                <c:pt idx="17">
                  <c:v>0.425</c:v>
                </c:pt>
                <c:pt idx="18">
                  <c:v>0.45</c:v>
                </c:pt>
                <c:pt idx="19">
                  <c:v>0.475</c:v>
                </c:pt>
                <c:pt idx="20">
                  <c:v>0.5</c:v>
                </c:pt>
                <c:pt idx="21">
                  <c:v>0.525</c:v>
                </c:pt>
                <c:pt idx="22">
                  <c:v>0.55</c:v>
                </c:pt>
                <c:pt idx="23">
                  <c:v>0.575</c:v>
                </c:pt>
                <c:pt idx="24">
                  <c:v>0.6</c:v>
                </c:pt>
                <c:pt idx="25">
                  <c:v>0.625</c:v>
                </c:pt>
                <c:pt idx="26">
                  <c:v>0.65</c:v>
                </c:pt>
                <c:pt idx="27">
                  <c:v>0.675</c:v>
                </c:pt>
                <c:pt idx="28">
                  <c:v>0.7</c:v>
                </c:pt>
                <c:pt idx="29">
                  <c:v>0.725</c:v>
                </c:pt>
                <c:pt idx="30">
                  <c:v>0.75</c:v>
                </c:pt>
                <c:pt idx="31">
                  <c:v>0.775</c:v>
                </c:pt>
                <c:pt idx="32">
                  <c:v>0.8</c:v>
                </c:pt>
                <c:pt idx="33">
                  <c:v>0.825</c:v>
                </c:pt>
                <c:pt idx="34">
                  <c:v>0.85</c:v>
                </c:pt>
                <c:pt idx="35">
                  <c:v>0.875</c:v>
                </c:pt>
                <c:pt idx="36">
                  <c:v>0.9</c:v>
                </c:pt>
                <c:pt idx="37">
                  <c:v>0.925</c:v>
                </c:pt>
                <c:pt idx="38">
                  <c:v>0.95</c:v>
                </c:pt>
                <c:pt idx="39">
                  <c:v>0.975</c:v>
                </c:pt>
                <c:pt idx="40">
                  <c:v>1</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pt idx="151">
                  <c:v>3.775</c:v>
                </c:pt>
                <c:pt idx="152">
                  <c:v>3.8</c:v>
                </c:pt>
                <c:pt idx="153">
                  <c:v>3.825</c:v>
                </c:pt>
                <c:pt idx="154">
                  <c:v>3.85</c:v>
                </c:pt>
                <c:pt idx="155">
                  <c:v>3.875</c:v>
                </c:pt>
                <c:pt idx="156">
                  <c:v>3.9</c:v>
                </c:pt>
                <c:pt idx="157">
                  <c:v>3.925</c:v>
                </c:pt>
                <c:pt idx="158">
                  <c:v>3.95</c:v>
                </c:pt>
                <c:pt idx="159">
                  <c:v>3.975</c:v>
                </c:pt>
                <c:pt idx="160">
                  <c:v>4</c:v>
                </c:pt>
                <c:pt idx="161">
                  <c:v>4.025</c:v>
                </c:pt>
                <c:pt idx="162">
                  <c:v>4.05</c:v>
                </c:pt>
                <c:pt idx="163">
                  <c:v>4.075</c:v>
                </c:pt>
                <c:pt idx="164">
                  <c:v>4.1</c:v>
                </c:pt>
                <c:pt idx="165">
                  <c:v>4.125</c:v>
                </c:pt>
                <c:pt idx="166">
                  <c:v>4.15</c:v>
                </c:pt>
                <c:pt idx="167">
                  <c:v>4.175</c:v>
                </c:pt>
                <c:pt idx="168">
                  <c:v>4.2</c:v>
                </c:pt>
                <c:pt idx="169">
                  <c:v>4.225</c:v>
                </c:pt>
                <c:pt idx="170">
                  <c:v>4.25</c:v>
                </c:pt>
                <c:pt idx="171">
                  <c:v>4.275</c:v>
                </c:pt>
                <c:pt idx="172">
                  <c:v>4.3</c:v>
                </c:pt>
                <c:pt idx="173">
                  <c:v>4.325</c:v>
                </c:pt>
                <c:pt idx="174">
                  <c:v>4.35</c:v>
                </c:pt>
                <c:pt idx="175">
                  <c:v>4.375</c:v>
                </c:pt>
                <c:pt idx="176">
                  <c:v>4.4</c:v>
                </c:pt>
                <c:pt idx="177">
                  <c:v>4.425</c:v>
                </c:pt>
                <c:pt idx="178">
                  <c:v>4.45</c:v>
                </c:pt>
                <c:pt idx="179">
                  <c:v>4.475</c:v>
                </c:pt>
                <c:pt idx="180">
                  <c:v>4.5</c:v>
                </c:pt>
                <c:pt idx="181">
                  <c:v>4.525</c:v>
                </c:pt>
                <c:pt idx="182">
                  <c:v>4.55</c:v>
                </c:pt>
                <c:pt idx="183">
                  <c:v>4.575</c:v>
                </c:pt>
                <c:pt idx="184">
                  <c:v>4.6</c:v>
                </c:pt>
                <c:pt idx="185">
                  <c:v>4.625</c:v>
                </c:pt>
                <c:pt idx="186">
                  <c:v>4.65</c:v>
                </c:pt>
                <c:pt idx="187">
                  <c:v>4.675</c:v>
                </c:pt>
                <c:pt idx="188">
                  <c:v>4.7</c:v>
                </c:pt>
                <c:pt idx="189">
                  <c:v>4.725</c:v>
                </c:pt>
                <c:pt idx="190">
                  <c:v>4.75</c:v>
                </c:pt>
                <c:pt idx="191">
                  <c:v>4.775</c:v>
                </c:pt>
                <c:pt idx="192">
                  <c:v>4.8</c:v>
                </c:pt>
                <c:pt idx="193">
                  <c:v>4.825</c:v>
                </c:pt>
                <c:pt idx="194">
                  <c:v>4.85</c:v>
                </c:pt>
                <c:pt idx="195">
                  <c:v>4.875</c:v>
                </c:pt>
                <c:pt idx="196">
                  <c:v>4.9</c:v>
                </c:pt>
                <c:pt idx="197">
                  <c:v>4.925</c:v>
                </c:pt>
                <c:pt idx="198">
                  <c:v>4.95</c:v>
                </c:pt>
                <c:pt idx="199">
                  <c:v>4.975</c:v>
                </c:pt>
                <c:pt idx="200">
                  <c:v>5</c:v>
                </c:pt>
              </c:numCache>
            </c:numRef>
          </c:cat>
          <c:val>
            <c:numRef>
              <c:f>'Calculations - Dual'!$CB$5:$CB$105</c:f>
              <c:numCache>
                <c:formatCode>0.0</c:formatCode>
                <c:ptCount val="101"/>
                <c:pt idx="0">
                  <c:v>1.76379963261103</c:v>
                </c:pt>
                <c:pt idx="1">
                  <c:v>2.08591151218556</c:v>
                </c:pt>
                <c:pt idx="2">
                  <c:v>2.44383324975537</c:v>
                </c:pt>
                <c:pt idx="3">
                  <c:v>2.8017549877439</c:v>
                </c:pt>
                <c:pt idx="4">
                  <c:v>3.33112122613215</c:v>
                </c:pt>
                <c:pt idx="5">
                  <c:v>4.16280856556278</c:v>
                </c:pt>
                <c:pt idx="6">
                  <c:v>4.99419210733628</c:v>
                </c:pt>
                <c:pt idx="7">
                  <c:v>5.82530082857405</c:v>
                </c:pt>
                <c:pt idx="8">
                  <c:v>6.65615717509981</c:v>
                </c:pt>
                <c:pt idx="9">
                  <c:v>7.48677920084269</c:v>
                </c:pt>
                <c:pt idx="10">
                  <c:v>8.31718183745</c:v>
                </c:pt>
                <c:pt idx="11">
                  <c:v>9.14737770234775</c:v>
                </c:pt>
                <c:pt idx="12">
                  <c:v>9.9773776410335</c:v>
                </c:pt>
                <c:pt idx="13">
                  <c:v>10.8071911064849</c:v>
                </c:pt>
                <c:pt idx="14">
                  <c:v>11.6368264336872</c:v>
                </c:pt>
                <c:pt idx="15">
                  <c:v>12.4662910438645</c:v>
                </c:pt>
                <c:pt idx="16">
                  <c:v>13.2955915999986</c:v>
                </c:pt>
                <c:pt idx="17">
                  <c:v>14.124734127633</c:v>
                </c:pt>
                <c:pt idx="18">
                  <c:v>14.6795048740887</c:v>
                </c:pt>
                <c:pt idx="19">
                  <c:v>18.5871616611451</c:v>
                </c:pt>
                <c:pt idx="20">
                  <c:v>20.1843607887327</c:v>
                </c:pt>
                <c:pt idx="21">
                  <c:v>21.8435923297469</c:v>
                </c:pt>
                <c:pt idx="22">
                  <c:v>23.5648835901867</c:v>
                </c:pt>
                <c:pt idx="23">
                  <c:v>25.3482632188252</c:v>
                </c:pt>
                <c:pt idx="24">
                  <c:v>27.1937612087539</c:v>
                </c:pt>
                <c:pt idx="25">
                  <c:v>29.1014088990001</c:v>
                </c:pt>
                <c:pt idx="26">
                  <c:v>31.0712389762171</c:v>
                </c:pt>
                <c:pt idx="27">
                  <c:v>33.103285476449</c:v>
                </c:pt>
                <c:pt idx="28">
                  <c:v>35.1975837869655</c:v>
                </c:pt>
                <c:pt idx="29">
                  <c:v>37.3541706481761</c:v>
                </c:pt>
                <c:pt idx="30">
                  <c:v>39.5730841556141</c:v>
                </c:pt>
                <c:pt idx="31">
                  <c:v>41.8543637619931</c:v>
                </c:pt>
                <c:pt idx="32">
                  <c:v>44.1980502793443</c:v>
                </c:pt>
                <c:pt idx="33">
                  <c:v>46.6041858812221</c:v>
                </c:pt>
                <c:pt idx="34">
                  <c:v>49.0728141049876</c:v>
                </c:pt>
                <c:pt idx="35">
                  <c:v>51.6039798541643</c:v>
                </c:pt>
                <c:pt idx="36">
                  <c:v>54.1977294008741</c:v>
                </c:pt>
                <c:pt idx="37">
                  <c:v>56.8541103883443</c:v>
                </c:pt>
                <c:pt idx="38">
                  <c:v>57.3393275112516</c:v>
                </c:pt>
                <c:pt idx="39">
                  <c:v>57.1613630552128</c:v>
                </c:pt>
                <c:pt idx="40">
                  <c:v>56.9880548947905</c:v>
                </c:pt>
                <c:pt idx="41">
                  <c:v>56.8192226474699</c:v>
                </c:pt>
                <c:pt idx="42">
                  <c:v>56.6546951291903</c:v>
                </c:pt>
                <c:pt idx="43">
                  <c:v>56.4943097753919</c:v>
                </c:pt>
                <c:pt idx="44">
                  <c:v>56.3379121052456</c:v>
                </c:pt>
                <c:pt idx="45">
                  <c:v>56.1853552253565</c:v>
                </c:pt>
                <c:pt idx="46">
                  <c:v>56.0364993695855</c:v>
                </c:pt>
                <c:pt idx="47">
                  <c:v>55.8912114719633</c:v>
                </c:pt>
                <c:pt idx="48">
                  <c:v>55.7493647699504</c:v>
                </c:pt>
                <c:pt idx="49">
                  <c:v>55.6108384355579</c:v>
                </c:pt>
                <c:pt idx="50">
                  <c:v>55.4755172320737</c:v>
                </c:pt>
                <c:pt idx="51">
                  <c:v>55.3432911943427</c:v>
                </c:pt>
                <c:pt idx="52">
                  <c:v>55.2140553307378</c:v>
                </c:pt>
                <c:pt idx="53">
                  <c:v>55.0877093451244</c:v>
                </c:pt>
                <c:pt idx="54">
                  <c:v>54.9641573772692</c:v>
                </c:pt>
                <c:pt idx="55">
                  <c:v>54.8433077602836</c:v>
                </c:pt>
                <c:pt idx="56">
                  <c:v>54.72507279381</c:v>
                </c:pt>
                <c:pt idx="57">
                  <c:v>54.6093685317724</c:v>
                </c:pt>
                <c:pt idx="58">
                  <c:v>54.4961145836119</c:v>
                </c:pt>
                <c:pt idx="59">
                  <c:v>54.3852339280175</c:v>
                </c:pt>
                <c:pt idx="60">
                  <c:v>54.2766527382458</c:v>
                </c:pt>
                <c:pt idx="61">
                  <c:v>54.1703002181965</c:v>
                </c:pt>
                <c:pt idx="62">
                  <c:v>54.06610844848</c:v>
                </c:pt>
                <c:pt idx="63">
                  <c:v>53.9640122417717</c:v>
                </c:pt>
                <c:pt idx="64">
                  <c:v>53.863949006808</c:v>
                </c:pt>
                <c:pt idx="65">
                  <c:v>53.7658586204266</c:v>
                </c:pt>
                <c:pt idx="66">
                  <c:v>53.6696833071006</c:v>
                </c:pt>
                <c:pt idx="67">
                  <c:v>53.5753675254613</c:v>
                </c:pt>
                <c:pt idx="68">
                  <c:v>53.4828578613393</c:v>
                </c:pt>
                <c:pt idx="69">
                  <c:v>53.3921029268927</c:v>
                </c:pt>
                <c:pt idx="70">
                  <c:v>53.3030532654205</c:v>
                </c:pt>
                <c:pt idx="71">
                  <c:v>53.215661261493</c:v>
                </c:pt>
                <c:pt idx="72">
                  <c:v>53.129881056053</c:v>
                </c:pt>
                <c:pt idx="73">
                  <c:v>53.0456684661733</c:v>
                </c:pt>
                <c:pt idx="74">
                  <c:v>52.9629809091723</c:v>
                </c:pt>
                <c:pt idx="75">
                  <c:v>52.8817773308156</c:v>
                </c:pt>
                <c:pt idx="76">
                  <c:v>52.8020181373494</c:v>
                </c:pt>
                <c:pt idx="77">
                  <c:v>52.7236651311279</c:v>
                </c:pt>
                <c:pt idx="78">
                  <c:v>52.6466814496165</c:v>
                </c:pt>
                <c:pt idx="79">
                  <c:v>52.5710315075646</c:v>
                </c:pt>
                <c:pt idx="80">
                  <c:v>52.4966809421585</c:v>
                </c:pt>
                <c:pt idx="81">
                  <c:v>52.4235965609765</c:v>
                </c:pt>
                <c:pt idx="82">
                  <c:v>52.3517462925807</c:v>
                </c:pt>
                <c:pt idx="83">
                  <c:v>52.2810991395898</c:v>
                </c:pt>
                <c:pt idx="84">
                  <c:v>52.2116251340908</c:v>
                </c:pt>
                <c:pt idx="85">
                  <c:v>52.1432952952534</c:v>
                </c:pt>
                <c:pt idx="86">
                  <c:v>52.0760815890208</c:v>
                </c:pt>
                <c:pt idx="87">
                  <c:v>52.0099568897607</c:v>
                </c:pt>
                <c:pt idx="88">
                  <c:v>51.9448949437647</c:v>
                </c:pt>
                <c:pt idx="89">
                  <c:v>51.8808703344938</c:v>
                </c:pt>
                <c:pt idx="90">
                  <c:v>51.8178584494733</c:v>
                </c:pt>
                <c:pt idx="91">
                  <c:v>51.7558354487456</c:v>
                </c:pt>
                <c:pt idx="92">
                  <c:v>51.6947782347977</c:v>
                </c:pt>
                <c:pt idx="93">
                  <c:v>51.6346644238822</c:v>
                </c:pt>
                <c:pt idx="94">
                  <c:v>51.5754723186569</c:v>
                </c:pt>
                <c:pt idx="95">
                  <c:v>51.5171808820745</c:v>
                </c:pt>
                <c:pt idx="96">
                  <c:v>51.4597697124545</c:v>
                </c:pt>
                <c:pt idx="97">
                  <c:v>51.4032190196755</c:v>
                </c:pt>
                <c:pt idx="98">
                  <c:v>51.3475096024313</c:v>
                </c:pt>
                <c:pt idx="99">
                  <c:v>51.2926228264936</c:v>
                </c:pt>
                <c:pt idx="100">
                  <c:v>51.2385406039304</c:v>
                </c:pt>
              </c:numCache>
            </c:numRef>
          </c:val>
          <c:smooth val="0"/>
        </c:ser>
        <c:dLbls>
          <c:showLegendKey val="0"/>
          <c:showVal val="0"/>
          <c:showCatName val="0"/>
          <c:showSerName val="0"/>
          <c:showPercent val="0"/>
          <c:showBubbleSize val="0"/>
        </c:dLbls>
        <c:marker val="0"/>
        <c:smooth val="0"/>
        <c:axId val="184709888"/>
        <c:axId val="184699520"/>
      </c:lineChart>
      <c:catAx>
        <c:axId val="184691328"/>
        <c:scaling>
          <c:orientation val="minMax"/>
        </c:scaling>
        <c:delete val="0"/>
        <c:axPos val="b"/>
        <c:majorGridlines>
          <c:spPr>
            <a:ln w="15875" cap="flat" cmpd="sng" algn="ctr">
              <a:solidFill>
                <a:srgbClr val="969696"/>
              </a:solidFill>
              <a:prstDash val="sysDash"/>
              <a:round/>
            </a:ln>
          </c:spPr>
        </c:majorGridlines>
        <c:minorGridlines/>
        <c:title>
          <c:tx>
            <c:rich>
              <a:bodyPr rot="0" spcFirstLastPara="0" vertOverflow="ellipsis" vert="horz" wrap="square" anchor="ctr" anchorCtr="1"/>
              <a:lstStyle/>
              <a:p>
                <a:pPr>
                  <a:defRPr lang="zh-CN" sz="1200" b="1" i="0" u="none" strike="noStrike" kern="1200" baseline="0">
                    <a:solidFill>
                      <a:srgbClr val="0000FF"/>
                    </a:solidFill>
                    <a:latin typeface="Arial" panose="020B0604020202020204" pitchFamily="7" charset="0"/>
                    <a:ea typeface="Calibri" panose="020F0502020204030204"/>
                    <a:cs typeface="Arial" panose="020B0604020202020204" pitchFamily="7" charset="0"/>
                  </a:defRPr>
                </a:pPr>
                <a:r>
                  <a:rPr lang="en-US" sz="1200">
                    <a:solidFill>
                      <a:srgbClr val="0000FF"/>
                    </a:solidFill>
                    <a:latin typeface="Arial" panose="020B0604020202020204" pitchFamily="7" charset="0"/>
                    <a:cs typeface="Arial" panose="020B0604020202020204" pitchFamily="7" charset="0"/>
                  </a:rPr>
                  <a:t>%</a:t>
                </a:r>
                <a:r>
                  <a:rPr lang="en-US" sz="1200" baseline="0">
                    <a:solidFill>
                      <a:srgbClr val="0000FF"/>
                    </a:solidFill>
                    <a:latin typeface="Arial" panose="020B0604020202020204" pitchFamily="7" charset="0"/>
                    <a:cs typeface="Arial" panose="020B0604020202020204" pitchFamily="7" charset="0"/>
                  </a:rPr>
                  <a:t> Total Rated Output Power</a:t>
                </a:r>
                <a:endParaRPr lang="en-US" sz="1200">
                  <a:solidFill>
                    <a:srgbClr val="0000FF"/>
                  </a:solidFill>
                  <a:latin typeface="Arial" panose="020B0604020202020204" pitchFamily="7" charset="0"/>
                  <a:cs typeface="Arial" panose="020B0604020202020204" pitchFamily="7" charset="0"/>
                </a:endParaRPr>
              </a:p>
            </c:rich>
          </c:tx>
          <c:layout>
            <c:manualLayout>
              <c:xMode val="edge"/>
              <c:yMode val="edge"/>
              <c:x val="0.37236214410843"/>
              <c:y val="0.941029950695415"/>
            </c:manualLayout>
          </c:layout>
          <c:overlay val="0"/>
          <c:spPr>
            <a:noFill/>
            <a:ln w="25400">
              <a:noFill/>
            </a:ln>
          </c:spPr>
        </c:title>
        <c:numFmt formatCode="General" sourceLinked="1"/>
        <c:majorTickMark val="in"/>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rgbClr val="0000FF"/>
                </a:solidFill>
                <a:latin typeface="Arial" panose="020B0604020202020204" pitchFamily="7" charset="0"/>
                <a:ea typeface="Calibri" panose="020F0502020204030204"/>
                <a:cs typeface="Arial" panose="020B0604020202020204" pitchFamily="7" charset="0"/>
              </a:defRPr>
            </a:pPr>
          </a:p>
        </c:txPr>
        <c:crossAx val="184697600"/>
        <c:crosses val="autoZero"/>
        <c:auto val="1"/>
        <c:lblAlgn val="ctr"/>
        <c:lblOffset val="100"/>
        <c:tickLblSkip val="20"/>
        <c:tickMarkSkip val="20"/>
        <c:noMultiLvlLbl val="0"/>
      </c:catAx>
      <c:valAx>
        <c:axId val="184697600"/>
        <c:scaling>
          <c:orientation val="minMax"/>
          <c:max val="100"/>
          <c:min val="55"/>
        </c:scaling>
        <c:delete val="0"/>
        <c:axPos val="l"/>
        <c:majorGridlines>
          <c:spPr>
            <a:ln w="15875" cap="flat" cmpd="sng" algn="ctr">
              <a:solidFill>
                <a:srgbClr val="808080"/>
              </a:solidFill>
              <a:prstDash val="solid"/>
              <a:round/>
            </a:ln>
          </c:spPr>
        </c:majorGridlines>
        <c:title>
          <c:tx>
            <c:rich>
              <a:bodyPr rot="-5400000" spcFirstLastPara="0" vertOverflow="ellipsis" vert="horz" wrap="square" anchor="ctr" anchorCtr="1"/>
              <a:lstStyle/>
              <a:p>
                <a:pPr>
                  <a:defRPr lang="zh-CN" sz="1400" b="1" i="0" u="none" strike="noStrike" kern="1200" baseline="0">
                    <a:solidFill>
                      <a:srgbClr val="FF0000"/>
                    </a:solidFill>
                    <a:latin typeface="Arial" panose="020B0604020202020204" pitchFamily="7" charset="0"/>
                    <a:ea typeface="Calibri" panose="020F0502020204030204"/>
                    <a:cs typeface="Arial" panose="020B0604020202020204" pitchFamily="7" charset="0"/>
                  </a:defRPr>
                </a:pPr>
                <a:r>
                  <a:rPr lang="en-US" sz="1200" b="1">
                    <a:solidFill>
                      <a:srgbClr val="FF0000"/>
                    </a:solidFill>
                    <a:latin typeface="Arial" panose="020B0604020202020204" pitchFamily="7" charset="0"/>
                    <a:cs typeface="Arial" panose="020B0604020202020204" pitchFamily="7" charset="0"/>
                  </a:rPr>
                  <a:t>Efficiency  (%)</a:t>
                </a:r>
                <a:endParaRPr lang="en-US" sz="1200" b="1">
                  <a:solidFill>
                    <a:srgbClr val="FF0000"/>
                  </a:solidFill>
                  <a:latin typeface="Arial" panose="020B0604020202020204" pitchFamily="7" charset="0"/>
                  <a:cs typeface="Arial" panose="020B0604020202020204" pitchFamily="7" charset="0"/>
                </a:endParaRPr>
              </a:p>
            </c:rich>
          </c:tx>
          <c:layout>
            <c:manualLayout>
              <c:xMode val="edge"/>
              <c:yMode val="edge"/>
              <c:x val="0.0128718586740814"/>
              <c:y val="0.376381779156883"/>
            </c:manualLayout>
          </c:layout>
          <c:overlay val="0"/>
          <c:spPr>
            <a:noFill/>
            <a:ln w="25400">
              <a:noFill/>
            </a:ln>
          </c:spPr>
        </c:title>
        <c:numFmt formatCode="General" sourceLinked="0"/>
        <c:majorTickMark val="in"/>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rgbClr val="FF0000"/>
                </a:solidFill>
                <a:latin typeface="Arial" panose="020B0604020202020204" pitchFamily="7" charset="0"/>
                <a:ea typeface="Calibri" panose="020F0502020204030204"/>
                <a:cs typeface="Arial" panose="020B0604020202020204" pitchFamily="7" charset="0"/>
              </a:defRPr>
            </a:pPr>
          </a:p>
        </c:txPr>
        <c:crossAx val="184691328"/>
        <c:crossesAt val="0"/>
        <c:crossBetween val="between"/>
        <c:majorUnit val="5"/>
        <c:minorUnit val="2.5"/>
      </c:valAx>
      <c:catAx>
        <c:axId val="184709888"/>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850" b="0" i="0" u="none" strike="noStrike" kern="1200" baseline="0">
                <a:solidFill>
                  <a:srgbClr val="000000"/>
                </a:solidFill>
                <a:latin typeface="Arial" panose="020B0604020202020204"/>
                <a:ea typeface="Arial" panose="020B0604020202020204"/>
                <a:cs typeface="Arial" panose="020B0604020202020204"/>
              </a:defRPr>
            </a:pPr>
          </a:p>
        </c:txPr>
        <c:crossAx val="184699520"/>
        <c:crosses val="autoZero"/>
        <c:auto val="1"/>
        <c:lblAlgn val="ctr"/>
        <c:lblOffset val="100"/>
        <c:noMultiLvlLbl val="0"/>
      </c:catAx>
      <c:valAx>
        <c:axId val="184699520"/>
        <c:scaling>
          <c:orientation val="minMax"/>
        </c:scaling>
        <c:delete val="0"/>
        <c:axPos val="r"/>
        <c:title>
          <c:tx>
            <c:rich>
              <a:bodyPr rot="-540000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r>
                  <a:rPr lang="en-US" sz="1200" b="1"/>
                  <a:t>Power Loss (mW)</a:t>
                </a:r>
                <a:endParaRPr lang="en-US" sz="1200" b="1"/>
              </a:p>
            </c:rich>
          </c:tx>
          <c:layout>
            <c:manualLayout>
              <c:xMode val="edge"/>
              <c:yMode val="edge"/>
              <c:x val="0.951684743056013"/>
              <c:y val="0.381177140453683"/>
            </c:manualLayout>
          </c:layout>
          <c:overlay val="0"/>
        </c:title>
        <c:numFmt formatCode="General" sourceLinked="0"/>
        <c:majorTickMark val="out"/>
        <c:minorTickMark val="none"/>
        <c:tickLblPos val="nextTo"/>
        <c:txPr>
          <a:bodyPr rot="-60000000" spcFirstLastPara="0" vertOverflow="ellipsis" vert="horz" wrap="square" anchor="ctr" anchorCtr="1"/>
          <a:lstStyle/>
          <a:p>
            <a:pPr>
              <a:defRPr lang="zh-CN" sz="1100" b="1" i="0" u="none" strike="noStrike" kern="1200" baseline="0">
                <a:solidFill>
                  <a:sysClr val="windowText" lastClr="000000"/>
                </a:solidFill>
                <a:latin typeface="Arial" panose="020B0604020202020204"/>
                <a:ea typeface="Arial" panose="020B0604020202020204"/>
                <a:cs typeface="Arial" panose="020B0604020202020204"/>
              </a:defRPr>
            </a:pPr>
          </a:p>
        </c:txPr>
        <c:crossAx val="184709888"/>
        <c:crosses val="max"/>
        <c:crossBetween val="between"/>
      </c:valAx>
      <c:spPr>
        <a:noFill/>
        <a:ln w="25400">
          <a:noFill/>
        </a:ln>
      </c:spPr>
    </c:plotArea>
    <c:legend>
      <c:legendPos val="t"/>
      <c:layout>
        <c:manualLayout>
          <c:xMode val="edge"/>
          <c:yMode val="edge"/>
          <c:x val="0.401025575662313"/>
          <c:y val="0.0118926330381677"/>
          <c:w val="0.505509626192673"/>
          <c:h val="0.0897950493206176"/>
        </c:manualLayout>
      </c:layout>
      <c:overlay val="0"/>
      <c:spPr>
        <a:solidFill>
          <a:srgbClr val="FFFFFF"/>
        </a:solidFill>
        <a:ln w="25400">
          <a:noFill/>
        </a:ln>
      </c:spPr>
      <c:txPr>
        <a:bodyPr rot="0" spcFirstLastPara="0" vertOverflow="ellipsis" vert="horz" wrap="square" anchor="ctr" anchorCtr="1"/>
        <a:lstStyle/>
        <a:p>
          <a:pPr>
            <a:defRPr lang="zh-CN" sz="1100" b="0"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d7db561c-710b-4fda-9ee6-f94de33dd83c}"/>
      </c:ext>
    </c:extLst>
  </c:chart>
  <c:spPr>
    <a:solidFill>
      <a:srgbClr val="FFFFFF"/>
    </a:solidFill>
    <a:ln w="9525" cap="flat" cmpd="sng" algn="ctr">
      <a:solidFill>
        <a:srgbClr val="808080"/>
      </a:solid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72807468833838"/>
          <c:y val="0.121335233430015"/>
          <c:w val="0.860472789738492"/>
          <c:h val="0.755898026893831"/>
        </c:manualLayout>
      </c:layout>
      <c:lineChart>
        <c:grouping val="standard"/>
        <c:varyColors val="0"/>
        <c:ser>
          <c:idx val="1"/>
          <c:order val="0"/>
          <c:tx>
            <c:strRef>
              <c:f>"VIN-min"</c:f>
              <c:strCache>
                <c:ptCount val="1"/>
                <c:pt idx="0">
                  <c:v>VIN-min</c:v>
                </c:pt>
              </c:strCache>
            </c:strRef>
          </c:tx>
          <c:spPr>
            <a:ln w="28575" cap="rnd" cmpd="sng" algn="ctr">
              <a:solidFill>
                <a:srgbClr val="00B050"/>
              </a:solidFill>
              <a:prstDash val="sysDash"/>
              <a:round/>
            </a:ln>
          </c:spPr>
          <c:marker>
            <c:symbol val="none"/>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Single'!$AN$110:$AN$210</c:f>
              <c:numCache>
                <c:formatCode>0.0</c:formatCode>
                <c:ptCount val="101"/>
                <c:pt idx="0">
                  <c:v>12</c:v>
                </c:pt>
                <c:pt idx="1">
                  <c:v>81.7777777777778</c:v>
                </c:pt>
                <c:pt idx="2">
                  <c:v>163.555555555556</c:v>
                </c:pt>
                <c:pt idx="3">
                  <c:v>245.333333333333</c:v>
                </c:pt>
                <c:pt idx="4">
                  <c:v>327.111111111111</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337.361228736252</c:v>
                </c:pt>
                <c:pt idx="19">
                  <c:v>319.605374592239</c:v>
                </c:pt>
                <c:pt idx="20">
                  <c:v>303.625105862627</c:v>
                </c:pt>
                <c:pt idx="21">
                  <c:v>289.166767488216</c:v>
                </c:pt>
                <c:pt idx="22">
                  <c:v>276.022823511479</c:v>
                </c:pt>
                <c:pt idx="23">
                  <c:v>264.021831184893</c:v>
                </c:pt>
                <c:pt idx="24">
                  <c:v>253.020921552189</c:v>
                </c:pt>
                <c:pt idx="25">
                  <c:v>242.900084690101</c:v>
                </c:pt>
                <c:pt idx="26">
                  <c:v>233.557773740482</c:v>
                </c:pt>
                <c:pt idx="27">
                  <c:v>224.907485824168</c:v>
                </c:pt>
                <c:pt idx="28">
                  <c:v>216.875075616162</c:v>
                </c:pt>
                <c:pt idx="29">
                  <c:v>209.396624732846</c:v>
                </c:pt>
                <c:pt idx="30">
                  <c:v>202.416737241751</c:v>
                </c:pt>
                <c:pt idx="31">
                  <c:v>195.887165072662</c:v>
                </c:pt>
                <c:pt idx="32">
                  <c:v>189.765691164142</c:v>
                </c:pt>
                <c:pt idx="33">
                  <c:v>184.015215674319</c:v>
                </c:pt>
                <c:pt idx="34">
                  <c:v>178.603003448604</c:v>
                </c:pt>
                <c:pt idx="35">
                  <c:v>173.50006049293</c:v>
                </c:pt>
                <c:pt idx="36">
                  <c:v>168.680614368126</c:v>
                </c:pt>
                <c:pt idx="37">
                  <c:v>164.121678844663</c:v>
                </c:pt>
                <c:pt idx="38">
                  <c:v>159.802687296119</c:v>
                </c:pt>
                <c:pt idx="39">
                  <c:v>155.705182493655</c:v>
                </c:pt>
                <c:pt idx="40">
                  <c:v>151.812552931313</c:v>
                </c:pt>
                <c:pt idx="41">
                  <c:v>148.109807737867</c:v>
                </c:pt>
                <c:pt idx="42">
                  <c:v>145.066135050434</c:v>
                </c:pt>
                <c:pt idx="43">
                  <c:v>142.292619004003</c:v>
                </c:pt>
                <c:pt idx="44">
                  <c:v>139.529235029606</c:v>
                </c:pt>
                <c:pt idx="45">
                  <c:v>136.77650900792</c:v>
                </c:pt>
                <c:pt idx="46">
                  <c:v>134.034998854272</c:v>
                </c:pt>
                <c:pt idx="47">
                  <c:v>131.305296481979</c:v>
                </c:pt>
                <c:pt idx="48">
                  <c:v>128.588029844979</c:v>
                </c:pt>
                <c:pt idx="49">
                  <c:v>125.883865051641</c:v>
                </c:pt>
                <c:pt idx="50">
                  <c:v>123.193508538308</c:v>
                </c:pt>
                <c:pt idx="51">
                  <c:v>120.517709287127</c:v>
                </c:pt>
                <c:pt idx="52">
                  <c:v>117.857261067909</c:v>
                </c:pt>
                <c:pt idx="53">
                  <c:v>115.213004678112</c:v>
                </c:pt>
                <c:pt idx="54">
                  <c:v>112.58583014839</c:v>
                </c:pt>
                <c:pt idx="55">
                  <c:v>109.976678873485</c:v>
                </c:pt>
                <c:pt idx="56">
                  <c:v>107.386545619428</c:v>
                </c:pt>
                <c:pt idx="57">
                  <c:v>104.816480348172</c:v>
                </c:pt>
                <c:pt idx="58">
                  <c:v>102.267589789729</c:v>
                </c:pt>
                <c:pt idx="59">
                  <c:v>99.7410386799792</c:v>
                </c:pt>
                <c:pt idx="60">
                  <c:v>97.2380505695766</c:v>
                </c:pt>
                <c:pt idx="61">
                  <c:v>94.7599080962416</c:v>
                </c:pt>
                <c:pt idx="62">
                  <c:v>92.3079525997112</c:v>
                </c:pt>
                <c:pt idx="63">
                  <c:v>89.8835829463691</c:v>
                </c:pt>
                <c:pt idx="64">
                  <c:v>87.4882534201017</c:v>
                </c:pt>
                <c:pt idx="65">
                  <c:v>85.1234705283589</c:v>
                </c:pt>
                <c:pt idx="66">
                  <c:v>82.7907885692053</c:v>
                </c:pt>
                <c:pt idx="67">
                  <c:v>80.4918038079645</c:v>
                </c:pt>
                <c:pt idx="68">
                  <c:v>78.2281471227336</c:v>
                </c:pt>
                <c:pt idx="69">
                  <c:v>76.0014749984314</c:v>
                </c:pt>
                <c:pt idx="70">
                  <c:v>73.8134587809182</c:v>
                </c:pt>
                <c:pt idx="71">
                  <c:v>71.6657721474867</c:v>
                </c:pt>
                <c:pt idx="72">
                  <c:v>69.5600768084559</c:v>
                </c:pt>
                <c:pt idx="73">
                  <c:v>67.4980065265124</c:v>
                </c:pt>
                <c:pt idx="74">
                  <c:v>65.4811496243713</c:v>
                </c:pt>
                <c:pt idx="75">
                  <c:v>63.5110302442335</c:v>
                </c:pt>
                <c:pt idx="76">
                  <c:v>61.589088719652</c:v>
                </c:pt>
                <c:pt idx="77">
                  <c:v>59.7166615153661</c:v>
                </c:pt>
                <c:pt idx="78">
                  <c:v>57.8949612756164</c:v>
                </c:pt>
                <c:pt idx="79">
                  <c:v>56.1250575878335</c:v>
                </c:pt>
                <c:pt idx="80">
                  <c:v>54.4078591079233</c:v>
                </c:pt>
                <c:pt idx="81">
                  <c:v>52.7440976983454</c:v>
                </c:pt>
                <c:pt idx="82">
                  <c:v>51.1343151958368</c:v>
                </c:pt>
                <c:pt idx="83">
                  <c:v>49.5788533503368</c:v>
                </c:pt>
                <c:pt idx="84">
                  <c:v>48.0778473628083</c:v>
                </c:pt>
                <c:pt idx="85">
                  <c:v>46.6312233037641</c:v>
                </c:pt>
                <c:pt idx="86">
                  <c:v>45.2386995266019</c:v>
                </c:pt>
                <c:pt idx="87">
                  <c:v>43.8997920131711</c:v>
                </c:pt>
                <c:pt idx="88">
                  <c:v>42.6138234172403</c:v>
                </c:pt>
                <c:pt idx="89">
                  <c:v>41.3799354180532</c:v>
                </c:pt>
                <c:pt idx="90">
                  <c:v>40.1971038720364</c:v>
                </c:pt>
                <c:pt idx="91">
                  <c:v>39.0641561636873</c:v>
                </c:pt>
                <c:pt idx="92">
                  <c:v>37.9797901102965</c:v>
                </c:pt>
                <c:pt idx="93">
                  <c:v>36.9425937689902</c:v>
                </c:pt>
                <c:pt idx="94">
                  <c:v>35.9510655244929</c:v>
                </c:pt>
                <c:pt idx="95">
                  <c:v>35.0036338953085</c:v>
                </c:pt>
                <c:pt idx="96">
                  <c:v>34.0986765764219</c:v>
                </c:pt>
                <c:pt idx="97">
                  <c:v>33.2345383294979</c:v>
                </c:pt>
                <c:pt idx="98">
                  <c:v>32.4095474287799</c:v>
                </c:pt>
                <c:pt idx="99">
                  <c:v>31.622030465611</c:v>
                </c:pt>
                <c:pt idx="100">
                  <c:v>30.8703254014481</c:v>
                </c:pt>
              </c:numCache>
            </c:numRef>
          </c:val>
          <c:smooth val="0"/>
        </c:ser>
        <c:ser>
          <c:idx val="0"/>
          <c:order val="1"/>
          <c:tx>
            <c:strRef>
              <c:f>"VIN-nom"</c:f>
              <c:strCache>
                <c:ptCount val="1"/>
                <c:pt idx="0">
                  <c:v>VIN-nom</c:v>
                </c:pt>
              </c:strCache>
            </c:strRef>
          </c:tx>
          <c:spPr>
            <a:ln w="28575" cap="rnd" cmpd="sng" algn="ctr">
              <a:solidFill>
                <a:srgbClr val="FF0000"/>
              </a:solidFill>
              <a:prstDash val="lgDash"/>
              <a:round/>
            </a:ln>
          </c:spPr>
          <c:marker>
            <c:symbol val="none"/>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Single'!$AN$5:$AN$105</c:f>
              <c:numCache>
                <c:formatCode>0.0</c:formatCode>
                <c:ptCount val="101"/>
                <c:pt idx="0">
                  <c:v>12</c:v>
                </c:pt>
                <c:pt idx="1">
                  <c:v>81.7777777777778</c:v>
                </c:pt>
                <c:pt idx="2">
                  <c:v>163.555555555556</c:v>
                </c:pt>
                <c:pt idx="3">
                  <c:v>245.333333333333</c:v>
                </c:pt>
                <c:pt idx="4">
                  <c:v>327.111111111111</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334.670448613758</c:v>
                </c:pt>
                <c:pt idx="23">
                  <c:v>320.119559543594</c:v>
                </c:pt>
                <c:pt idx="24">
                  <c:v>306.781244562611</c:v>
                </c:pt>
                <c:pt idx="25">
                  <c:v>294.509994780107</c:v>
                </c:pt>
                <c:pt idx="26">
                  <c:v>283.182687288564</c:v>
                </c:pt>
                <c:pt idx="27">
                  <c:v>272.69443961121</c:v>
                </c:pt>
                <c:pt idx="28">
                  <c:v>262.955352482238</c:v>
                </c:pt>
                <c:pt idx="29">
                  <c:v>253.887926534575</c:v>
                </c:pt>
                <c:pt idx="30">
                  <c:v>245.424995650089</c:v>
                </c:pt>
                <c:pt idx="31">
                  <c:v>237.508060306537</c:v>
                </c:pt>
                <c:pt idx="32">
                  <c:v>230.085933421958</c:v>
                </c:pt>
                <c:pt idx="33">
                  <c:v>223.113632409171</c:v>
                </c:pt>
                <c:pt idx="34">
                  <c:v>216.551466750078</c:v>
                </c:pt>
                <c:pt idx="35">
                  <c:v>210.36428198579</c:v>
                </c:pt>
                <c:pt idx="36">
                  <c:v>204.520829708407</c:v>
                </c:pt>
                <c:pt idx="37">
                  <c:v>198.993239716288</c:v>
                </c:pt>
                <c:pt idx="38">
                  <c:v>193.756575513228</c:v>
                </c:pt>
                <c:pt idx="39">
                  <c:v>188.788458192376</c:v>
                </c:pt>
                <c:pt idx="40">
                  <c:v>184.068746737567</c:v>
                </c:pt>
                <c:pt idx="41">
                  <c:v>179.579265109821</c:v>
                </c:pt>
                <c:pt idx="42">
                  <c:v>175.303568321492</c:v>
                </c:pt>
                <c:pt idx="43">
                  <c:v>171.226741151225</c:v>
                </c:pt>
                <c:pt idx="44">
                  <c:v>167.335224306879</c:v>
                </c:pt>
                <c:pt idx="45">
                  <c:v>163.616663766726</c:v>
                </c:pt>
                <c:pt idx="46">
                  <c:v>160.153769874493</c:v>
                </c:pt>
                <c:pt idx="47">
                  <c:v>156.835826408568</c:v>
                </c:pt>
                <c:pt idx="48">
                  <c:v>153.530825936459</c:v>
                </c:pt>
                <c:pt idx="49">
                  <c:v>150.239497877419</c:v>
                </c:pt>
                <c:pt idx="50">
                  <c:v>146.962620016233</c:v>
                </c:pt>
                <c:pt idx="51">
                  <c:v>143.701021740504</c:v>
                </c:pt>
                <c:pt idx="52">
                  <c:v>140.455587422432</c:v>
                </c:pt>
                <c:pt idx="53">
                  <c:v>137.227259929708</c:v>
                </c:pt>
                <c:pt idx="54">
                  <c:v>134.017044243099</c:v>
                </c:pt>
                <c:pt idx="55">
                  <c:v>130.826011149686</c:v>
                </c:pt>
                <c:pt idx="56">
                  <c:v>127.655300970322</c:v>
                </c:pt>
                <c:pt idx="57">
                  <c:v>124.506127267385</c:v>
                </c:pt>
                <c:pt idx="58">
                  <c:v>121.379780464109</c:v>
                </c:pt>
                <c:pt idx="59">
                  <c:v>118.277631289599</c:v>
                </c:pt>
                <c:pt idx="60">
                  <c:v>115.201133943817</c:v>
                </c:pt>
                <c:pt idx="61">
                  <c:v>112.151828854484</c:v>
                </c:pt>
                <c:pt idx="62">
                  <c:v>109.131344873147</c:v>
                </c:pt>
                <c:pt idx="63">
                  <c:v>106.141400730993</c:v>
                </c:pt>
                <c:pt idx="64">
                  <c:v>103.183805547249</c:v>
                </c:pt>
                <c:pt idx="65">
                  <c:v>100.260458155202</c:v>
                </c:pt>
                <c:pt idx="66">
                  <c:v>97.373344984947</c:v>
                </c:pt>
                <c:pt idx="67">
                  <c:v>94.5245362201117</c:v>
                </c:pt>
                <c:pt idx="68">
                  <c:v>91.7161799310827</c:v>
                </c:pt>
                <c:pt idx="69">
                  <c:v>88.950493883371</c:v>
                </c:pt>
                <c:pt idx="70">
                  <c:v>86.2297547309475</c:v>
                </c:pt>
                <c:pt idx="71">
                  <c:v>83.5562843352931</c:v>
                </c:pt>
                <c:pt idx="72">
                  <c:v>80.9324330061623</c:v>
                </c:pt>
                <c:pt idx="73">
                  <c:v>78.3605595436574</c:v>
                </c:pt>
                <c:pt idx="74">
                  <c:v>75.8430080758229</c:v>
                </c:pt>
                <c:pt idx="75">
                  <c:v>73.3820818319491</c:v>
                </c:pt>
                <c:pt idx="76">
                  <c:v>70.9800141662541</c:v>
                </c:pt>
                <c:pt idx="77">
                  <c:v>68.638937342624</c:v>
                </c:pt>
                <c:pt idx="78">
                  <c:v>66.3608497970291</c:v>
                </c:pt>
                <c:pt idx="79">
                  <c:v>64.1475827940186</c:v>
                </c:pt>
                <c:pt idx="80">
                  <c:v>62.0007675675753</c:v>
                </c:pt>
                <c:pt idx="81">
                  <c:v>59.9218041631016</c:v>
                </c:pt>
                <c:pt idx="82">
                  <c:v>57.911833255847</c:v>
                </c:pt>
                <c:pt idx="83">
                  <c:v>55.9717121952994</c:v>
                </c:pt>
                <c:pt idx="84">
                  <c:v>54.1019964060761</c:v>
                </c:pt>
                <c:pt idx="85">
                  <c:v>52.3029270648237</c:v>
                </c:pt>
                <c:pt idx="86">
                  <c:v>50.5744256819207</c:v>
                </c:pt>
                <c:pt idx="87">
                  <c:v>48.9160958693191</c:v>
                </c:pt>
                <c:pt idx="88">
                  <c:v>47.3272322024056</c:v>
                </c:pt>
                <c:pt idx="89">
                  <c:v>45.8068357188712</c:v>
                </c:pt>
                <c:pt idx="90">
                  <c:v>44.3536352744987</c:v>
                </c:pt>
                <c:pt idx="91">
                  <c:v>42.9661137218944</c:v>
                </c:pt>
                <c:pt idx="92">
                  <c:v>41.6425377114466</c:v>
                </c:pt>
                <c:pt idx="93">
                  <c:v>40.3809898410412</c:v>
                </c:pt>
                <c:pt idx="94">
                  <c:v>39.1794018982719</c:v>
                </c:pt>
                <c:pt idx="95">
                  <c:v>38.035588033122</c:v>
                </c:pt>
                <c:pt idx="96">
                  <c:v>36.9472768515286</c:v>
                </c:pt>
                <c:pt idx="97">
                  <c:v>35.9121416094495</c:v>
                </c:pt>
                <c:pt idx="98">
                  <c:v>34.9278278921266</c:v>
                </c:pt>
                <c:pt idx="99">
                  <c:v>33.9919783660548</c:v>
                </c:pt>
                <c:pt idx="100">
                  <c:v>33.1022543777732</c:v>
                </c:pt>
              </c:numCache>
            </c:numRef>
          </c:val>
          <c:smooth val="0"/>
        </c:ser>
        <c:ser>
          <c:idx val="2"/>
          <c:order val="2"/>
          <c:tx>
            <c:strRef>
              <c:f>"VIN-max"</c:f>
              <c:strCache>
                <c:ptCount val="1"/>
                <c:pt idx="0">
                  <c:v>VIN-max</c:v>
                </c:pt>
              </c:strCache>
            </c:strRef>
          </c:tx>
          <c:spPr>
            <a:ln w="28575" cap="rnd" cmpd="sng" algn="ctr">
              <a:solidFill>
                <a:srgbClr val="0000FF"/>
              </a:solidFill>
              <a:prstDash val="solid"/>
              <a:round/>
            </a:ln>
          </c:spPr>
          <c:marker>
            <c:symbol val="none"/>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Single'!$AN$216:$AN$316</c:f>
              <c:numCache>
                <c:formatCode>0.0</c:formatCode>
                <c:ptCount val="101"/>
                <c:pt idx="0">
                  <c:v>12</c:v>
                </c:pt>
                <c:pt idx="1">
                  <c:v>81.7777777777778</c:v>
                </c:pt>
                <c:pt idx="2">
                  <c:v>163.555555555556</c:v>
                </c:pt>
                <c:pt idx="3">
                  <c:v>245.333333333333</c:v>
                </c:pt>
                <c:pt idx="4">
                  <c:v>327.111111111111</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342.15323663663</c:v>
                </c:pt>
                <c:pt idx="26">
                  <c:v>328.99349676599</c:v>
                </c:pt>
                <c:pt idx="27">
                  <c:v>316.808552441324</c:v>
                </c:pt>
                <c:pt idx="28">
                  <c:v>305.493961282705</c:v>
                </c:pt>
                <c:pt idx="29">
                  <c:v>294.959686755715</c:v>
                </c:pt>
                <c:pt idx="30">
                  <c:v>285.127697197191</c:v>
                </c:pt>
                <c:pt idx="31">
                  <c:v>275.930029545669</c:v>
                </c:pt>
                <c:pt idx="32">
                  <c:v>267.307216122367</c:v>
                </c:pt>
                <c:pt idx="33">
                  <c:v>259.206997451992</c:v>
                </c:pt>
                <c:pt idx="34">
                  <c:v>251.583262232816</c:v>
                </c:pt>
                <c:pt idx="35">
                  <c:v>244.395169026164</c:v>
                </c:pt>
                <c:pt idx="36">
                  <c:v>237.606414330993</c:v>
                </c:pt>
                <c:pt idx="37">
                  <c:v>231.184619349074</c:v>
                </c:pt>
                <c:pt idx="38">
                  <c:v>225.10081357673</c:v>
                </c:pt>
                <c:pt idx="39">
                  <c:v>219.328997843993</c:v>
                </c:pt>
                <c:pt idx="40">
                  <c:v>213.845772897893</c:v>
                </c:pt>
                <c:pt idx="41">
                  <c:v>208.630022339408</c:v>
                </c:pt>
                <c:pt idx="42">
                  <c:v>203.662640855137</c:v>
                </c:pt>
                <c:pt idx="43">
                  <c:v>198.926300370133</c:v>
                </c:pt>
                <c:pt idx="44">
                  <c:v>194.405248088994</c:v>
                </c:pt>
                <c:pt idx="45">
                  <c:v>190.085131464794</c:v>
                </c:pt>
                <c:pt idx="46">
                  <c:v>185.952845998168</c:v>
                </c:pt>
                <c:pt idx="47">
                  <c:v>181.996402466292</c:v>
                </c:pt>
                <c:pt idx="48">
                  <c:v>178.204810748245</c:v>
                </c:pt>
                <c:pt idx="49">
                  <c:v>174.567977875831</c:v>
                </c:pt>
                <c:pt idx="50">
                  <c:v>170.718321020283</c:v>
                </c:pt>
                <c:pt idx="51">
                  <c:v>166.869283396102</c:v>
                </c:pt>
                <c:pt idx="52">
                  <c:v>163.037034527804</c:v>
                </c:pt>
                <c:pt idx="53">
                  <c:v>159.222599201069</c:v>
                </c:pt>
                <c:pt idx="54">
                  <c:v>155.427075354107</c:v>
                </c:pt>
                <c:pt idx="55">
                  <c:v>151.651639257558</c:v>
                </c:pt>
                <c:pt idx="56">
                  <c:v>147.897550912613</c:v>
                </c:pt>
                <c:pt idx="57">
                  <c:v>144.166159628966</c:v>
                </c:pt>
                <c:pt idx="58">
                  <c:v>140.458909728006</c:v>
                </c:pt>
                <c:pt idx="59">
                  <c:v>136.777346296769</c:v>
                </c:pt>
                <c:pt idx="60">
                  <c:v>133.123120894031</c:v>
                </c:pt>
                <c:pt idx="61">
                  <c:v>129.497997081076</c:v>
                </c:pt>
                <c:pt idx="62">
                  <c:v>125.903855615748</c:v>
                </c:pt>
                <c:pt idx="63">
                  <c:v>122.342699109194</c:v>
                </c:pt>
                <c:pt idx="64">
                  <c:v>118.816655900388</c:v>
                </c:pt>
                <c:pt idx="65">
                  <c:v>115.327982854626</c:v>
                </c:pt>
                <c:pt idx="66">
                  <c:v>111.879066740109</c:v>
                </c:pt>
                <c:pt idx="67">
                  <c:v>108.472423783442</c:v>
                </c:pt>
                <c:pt idx="68">
                  <c:v>105.11069695394</c:v>
                </c:pt>
                <c:pt idx="69">
                  <c:v>101.796650482435</c:v>
                </c:pt>
                <c:pt idx="70">
                  <c:v>98.5331610893148</c:v>
                </c:pt>
                <c:pt idx="71">
                  <c:v>95.323205386407</c:v>
                </c:pt>
                <c:pt idx="72">
                  <c:v>92.1698429373873</c:v>
                </c:pt>
                <c:pt idx="73">
                  <c:v>89.076194521724</c:v>
                </c:pt>
                <c:pt idx="74">
                  <c:v>86.0454152578132</c:v>
                </c:pt>
                <c:pt idx="75">
                  <c:v>83.0806624104649</c:v>
                </c:pt>
                <c:pt idx="76">
                  <c:v>80.1850579412711</c:v>
                </c:pt>
                <c:pt idx="77">
                  <c:v>77.3616461567807</c:v>
                </c:pt>
                <c:pt idx="78">
                  <c:v>74.6133471597402</c:v>
                </c:pt>
                <c:pt idx="79">
                  <c:v>71.9429071936831</c:v>
                </c:pt>
                <c:pt idx="80">
                  <c:v>69.3528473607337</c:v>
                </c:pt>
                <c:pt idx="81">
                  <c:v>66.8454125467523</c:v>
                </c:pt>
                <c:pt idx="82">
                  <c:v>64.4225226608352</c:v>
                </c:pt>
                <c:pt idx="83">
                  <c:v>62.0857284414899</c:v>
                </c:pt>
                <c:pt idx="84">
                  <c:v>59.8361740610198</c:v>
                </c:pt>
                <c:pt idx="85">
                  <c:v>57.6745685503275</c:v>
                </c:pt>
                <c:pt idx="86">
                  <c:v>55.6011676688178</c:v>
                </c:pt>
                <c:pt idx="87">
                  <c:v>53.6157672848924</c:v>
                </c:pt>
                <c:pt idx="88">
                  <c:v>51.7177086626445</c:v>
                </c:pt>
                <c:pt idx="89">
                  <c:v>49.9058953385186</c:v>
                </c:pt>
                <c:pt idx="90">
                  <c:v>48.1788205934314</c:v>
                </c:pt>
                <c:pt idx="91">
                  <c:v>46.5346039512608</c:v>
                </c:pt>
                <c:pt idx="92">
                  <c:v>44.9710347170769</c:v>
                </c:pt>
                <c:pt idx="93">
                  <c:v>43.4856203375074</c:v>
                </c:pt>
                <c:pt idx="94">
                  <c:v>42.0756373243768</c:v>
                </c:pt>
                <c:pt idx="95">
                  <c:v>40.7381826110808</c:v>
                </c:pt>
                <c:pt idx="96">
                  <c:v>39.4702234719214</c:v>
                </c:pt>
                <c:pt idx="97">
                  <c:v>38.2686444821059</c:v>
                </c:pt>
                <c:pt idx="98">
                  <c:v>37.1302903838605</c:v>
                </c:pt>
                <c:pt idx="99">
                  <c:v>36.0520041113544</c:v>
                </c:pt>
                <c:pt idx="100">
                  <c:v>35.0306595825259</c:v>
                </c:pt>
              </c:numCache>
            </c:numRef>
          </c:val>
          <c:smooth val="0"/>
        </c:ser>
        <c:ser>
          <c:idx val="3"/>
          <c:order val="3"/>
          <c:spPr>
            <a:ln w="28575" cap="rnd" cmpd="sng" algn="ctr">
              <a:noFill/>
              <a:prstDash val="solid"/>
              <a:round/>
            </a:ln>
          </c:spPr>
          <c:marker>
            <c:symbol val="x"/>
            <c:size val="10"/>
            <c:spPr>
              <a:pattFill prst="pct5">
                <a:fgClr>
                  <a:schemeClr val="tx1"/>
                </a:fgClr>
                <a:bgClr>
                  <a:schemeClr val="bg1"/>
                </a:bgClr>
              </a:pattFill>
              <a:ln w="9525" cap="flat" cmpd="sng" algn="ctr">
                <a:solidFill>
                  <a:srgbClr val="33CC33"/>
                </a:solidFill>
                <a:prstDash val="solid"/>
                <a:round/>
              </a:ln>
            </c:spPr>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145.066135050434</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w="28575" cap="rnd" cmpd="sng" algn="ctr">
              <a:noFill/>
              <a:prstDash val="solid"/>
              <a:round/>
            </a:ln>
          </c:spPr>
          <c:marker>
            <c:symbol val="x"/>
            <c:size val="10"/>
            <c:spPr>
              <a:pattFill prst="pct5">
                <a:fgClr>
                  <a:schemeClr val="tx1"/>
                </a:fgClr>
                <a:bgClr>
                  <a:schemeClr val="bg1"/>
                </a:bgClr>
              </a:pattFill>
              <a:ln w="9525" cap="flat" cmpd="sng" algn="ctr">
                <a:solidFill>
                  <a:srgbClr val="FF0000"/>
                </a:solidFill>
                <a:prstDash val="solid"/>
                <a:round/>
              </a:ln>
            </c:spPr>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160.153769874493</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w="28575" cap="rnd" cmpd="sng" algn="ctr">
              <a:noFill/>
              <a:prstDash val="solid"/>
              <a:round/>
            </a:ln>
          </c:spPr>
          <c:marker>
            <c:symbol val="x"/>
            <c:size val="10"/>
            <c:spPr>
              <a:pattFill prst="pct5">
                <a:fgClr>
                  <a:schemeClr val="tx1"/>
                </a:fgClr>
                <a:bgClr>
                  <a:schemeClr val="bg1"/>
                </a:bgClr>
              </a:pattFill>
              <a:ln w="9525" cap="flat" cmpd="sng" algn="ctr">
                <a:solidFill>
                  <a:srgbClr val="0000FF"/>
                </a:solidFill>
                <a:prstDash val="solid"/>
                <a:round/>
              </a:ln>
            </c:spPr>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170.718321020283</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87946496"/>
        <c:axId val="199897088"/>
      </c:lineChart>
      <c:catAx>
        <c:axId val="187946496"/>
        <c:scaling>
          <c:orientation val="minMax"/>
        </c:scaling>
        <c:delete val="0"/>
        <c:axPos val="b"/>
        <c:majorGridlines>
          <c:spPr>
            <a:ln w="15875" cap="flat" cmpd="sng" algn="ctr">
              <a:solidFill>
                <a:srgbClr val="969696"/>
              </a:solidFill>
              <a:prstDash val="sysDash"/>
              <a:round/>
            </a:ln>
          </c:spPr>
        </c:majorGridlines>
        <c:title>
          <c:tx>
            <c:rich>
              <a:bodyPr rot="0" spcFirstLastPara="0" vertOverflow="ellipsis" vert="horz" wrap="square" anchor="ctr" anchorCtr="1"/>
              <a:lstStyle/>
              <a:p>
                <a:pPr>
                  <a:defRPr lang="zh-CN" sz="12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200">
                    <a:solidFill>
                      <a:schemeClr val="tx1"/>
                    </a:solidFill>
                    <a:latin typeface="Arial" panose="020B0604020202020204" pitchFamily="7" charset="0"/>
                    <a:cs typeface="Arial" panose="020B0604020202020204" pitchFamily="7" charset="0"/>
                  </a:rPr>
                  <a:t>Load Current (mA)</a:t>
                </a:r>
                <a:endParaRPr lang="en-US" sz="1200">
                  <a:solidFill>
                    <a:schemeClr val="tx1"/>
                  </a:solidFill>
                  <a:latin typeface="Arial" panose="020B0604020202020204" pitchFamily="7" charset="0"/>
                  <a:cs typeface="Arial" panose="020B0604020202020204" pitchFamily="7" charset="0"/>
                </a:endParaRPr>
              </a:p>
            </c:rich>
          </c:tx>
          <c:layout>
            <c:manualLayout>
              <c:xMode val="edge"/>
              <c:yMode val="edge"/>
              <c:x val="0.454241359364963"/>
              <c:y val="0.941066916105386"/>
            </c:manualLayout>
          </c:layout>
          <c:overlay val="0"/>
          <c:spPr>
            <a:noFill/>
            <a:ln w="25400">
              <a:noFill/>
            </a:ln>
          </c:spPr>
        </c:title>
        <c:numFmt formatCode="0" sourceLinked="1"/>
        <c:majorTickMark val="in"/>
        <c:minorTickMark val="in"/>
        <c:tickLblPos val="nextTo"/>
        <c:spPr>
          <a:ln w="3175" cap="flat" cmpd="sng" algn="ctr">
            <a:solidFill>
              <a:schemeClr val="tx1"/>
            </a:solidFill>
            <a:prstDash val="solid"/>
            <a:round/>
          </a:ln>
        </c:spPr>
        <c:txPr>
          <a:bodyPr rot="0" spcFirstLastPara="0" vertOverflow="ellipsis" vert="horz" wrap="square" anchor="ctr" anchorCtr="1"/>
          <a:lstStyle/>
          <a:p>
            <a:pPr>
              <a:defRPr lang="zh-CN" sz="11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99897088"/>
        <c:crosses val="autoZero"/>
        <c:auto val="1"/>
        <c:lblAlgn val="ctr"/>
        <c:lblOffset val="100"/>
        <c:tickLblSkip val="20"/>
        <c:tickMarkSkip val="10"/>
        <c:noMultiLvlLbl val="0"/>
      </c:catAx>
      <c:valAx>
        <c:axId val="199897088"/>
        <c:scaling>
          <c:orientation val="minMax"/>
          <c:max val="400"/>
          <c:min val="0"/>
        </c:scaling>
        <c:delete val="0"/>
        <c:axPos val="l"/>
        <c:majorGridlines>
          <c:spPr>
            <a:ln w="15875" cap="flat" cmpd="sng" algn="ctr">
              <a:solidFill>
                <a:srgbClr val="808080"/>
              </a:solidFill>
              <a:prstDash val="solid"/>
              <a:round/>
            </a:ln>
          </c:spPr>
        </c:majorGridlines>
        <c:title>
          <c:tx>
            <c:rich>
              <a:bodyPr rot="-5400000" spcFirstLastPara="0" vertOverflow="ellipsis" vert="horz" wrap="square" anchor="ctr" anchorCtr="1"/>
              <a:lstStyle/>
              <a:p>
                <a:pPr>
                  <a:defRPr lang="zh-CN" sz="14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200" b="1">
                    <a:solidFill>
                      <a:schemeClr val="tx1"/>
                    </a:solidFill>
                    <a:latin typeface="Arial" panose="020B0604020202020204" pitchFamily="7" charset="0"/>
                    <a:cs typeface="Arial" panose="020B0604020202020204" pitchFamily="7" charset="0"/>
                  </a:rPr>
                  <a:t>Switching</a:t>
                </a:r>
                <a:r>
                  <a:rPr lang="en-US" sz="1200" b="1" baseline="0">
                    <a:solidFill>
                      <a:schemeClr val="tx1"/>
                    </a:solidFill>
                    <a:latin typeface="Arial" panose="020B0604020202020204" pitchFamily="7" charset="0"/>
                    <a:cs typeface="Arial" panose="020B0604020202020204" pitchFamily="7" charset="0"/>
                  </a:rPr>
                  <a:t> Frquency (kHz)</a:t>
                </a:r>
                <a:endParaRPr lang="en-US" sz="1200" b="1">
                  <a:solidFill>
                    <a:schemeClr val="tx1"/>
                  </a:solidFill>
                  <a:latin typeface="Arial" panose="020B0604020202020204" pitchFamily="7" charset="0"/>
                  <a:cs typeface="Arial" panose="020B0604020202020204" pitchFamily="7" charset="0"/>
                </a:endParaRPr>
              </a:p>
            </c:rich>
          </c:tx>
          <c:layout>
            <c:manualLayout>
              <c:xMode val="edge"/>
              <c:yMode val="edge"/>
              <c:x val="0.00855682683677485"/>
              <c:y val="0.300506610995683"/>
            </c:manualLayout>
          </c:layout>
          <c:overlay val="0"/>
          <c:spPr>
            <a:noFill/>
            <a:ln w="25400">
              <a:noFill/>
            </a:ln>
          </c:spPr>
        </c:title>
        <c:numFmt formatCode="#,##0" sourceLinked="0"/>
        <c:majorTickMark val="out"/>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8794649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9"/>
          <c:y val="0.0220093690871901"/>
          <c:w val="0.453357273611099"/>
          <c:h val="0.0543357668478178"/>
        </c:manualLayout>
      </c:layout>
      <c:overlay val="0"/>
      <c:spPr>
        <a:solidFill>
          <a:srgbClr val="FFFFFF"/>
        </a:solidFill>
        <a:ln w="25400">
          <a:noFill/>
        </a:ln>
      </c:spPr>
      <c:txPr>
        <a:bodyPr rot="0" spcFirstLastPara="0" vertOverflow="ellipsis" vert="horz" wrap="square" anchor="ctr" anchorCtr="1"/>
        <a:lstStyle/>
        <a:p>
          <a:pPr>
            <a:defRPr lang="zh-CN" sz="1400" b="0"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503562e8-a0d4-4747-85ec-0e4e8c35b666}"/>
      </c:ext>
    </c:extLst>
  </c:chart>
  <c:spPr>
    <a:solidFill>
      <a:srgbClr val="FFFFFF"/>
    </a:solidFill>
    <a:ln w="9525" cap="flat" cmpd="sng" algn="ctr">
      <a:solidFill>
        <a:srgbClr val="808080"/>
      </a:solid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72807468833838"/>
          <c:y val="0.121335233430015"/>
          <c:w val="0.860472789738492"/>
          <c:h val="0.755898026893831"/>
        </c:manualLayout>
      </c:layout>
      <c:lineChart>
        <c:grouping val="standard"/>
        <c:varyColors val="0"/>
        <c:ser>
          <c:idx val="1"/>
          <c:order val="0"/>
          <c:tx>
            <c:strRef>
              <c:f>"VIN-min"</c:f>
              <c:strCache>
                <c:ptCount val="1"/>
                <c:pt idx="0">
                  <c:v>VIN-min</c:v>
                </c:pt>
              </c:strCache>
            </c:strRef>
          </c:tx>
          <c:spPr>
            <a:ln w="28575" cap="rnd" cmpd="sng" algn="ctr">
              <a:solidFill>
                <a:srgbClr val="00B050"/>
              </a:solidFill>
              <a:prstDash val="sysDash"/>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99.9506172839506</c:v>
                </c:pt>
                <c:pt idx="2">
                  <c:v>199.901234567901</c:v>
                </c:pt>
                <c:pt idx="3">
                  <c:v>299.851851851852</c:v>
                </c:pt>
                <c:pt idx="4">
                  <c:v>350</c:v>
                </c:pt>
                <c:pt idx="5">
                  <c:v>350</c:v>
                </c:pt>
                <c:pt idx="6">
                  <c:v>350</c:v>
                </c:pt>
                <c:pt idx="7">
                  <c:v>350</c:v>
                </c:pt>
                <c:pt idx="8">
                  <c:v>350</c:v>
                </c:pt>
                <c:pt idx="9">
                  <c:v>350</c:v>
                </c:pt>
                <c:pt idx="10">
                  <c:v>350</c:v>
                </c:pt>
                <c:pt idx="11">
                  <c:v>350</c:v>
                </c:pt>
                <c:pt idx="12">
                  <c:v>350</c:v>
                </c:pt>
                <c:pt idx="13">
                  <c:v>350</c:v>
                </c:pt>
                <c:pt idx="14">
                  <c:v>350</c:v>
                </c:pt>
                <c:pt idx="15">
                  <c:v>331.227388213775</c:v>
                </c:pt>
                <c:pt idx="16">
                  <c:v>310.525676450414</c:v>
                </c:pt>
                <c:pt idx="17">
                  <c:v>292.259460188625</c:v>
                </c:pt>
                <c:pt idx="18">
                  <c:v>276.022823511479</c:v>
                </c:pt>
                <c:pt idx="19">
                  <c:v>261.495306484559</c:v>
                </c:pt>
                <c:pt idx="20">
                  <c:v>248.420541160331</c:v>
                </c:pt>
                <c:pt idx="21">
                  <c:v>236.590991581268</c:v>
                </c:pt>
                <c:pt idx="22">
                  <c:v>225.836855600301</c:v>
                </c:pt>
                <c:pt idx="23">
                  <c:v>216.017861878549</c:v>
                </c:pt>
                <c:pt idx="24">
                  <c:v>207.017117633609</c:v>
                </c:pt>
                <c:pt idx="25">
                  <c:v>198.736432928265</c:v>
                </c:pt>
                <c:pt idx="26">
                  <c:v>191.092723969485</c:v>
                </c:pt>
                <c:pt idx="27">
                  <c:v>184.015215674319</c:v>
                </c:pt>
                <c:pt idx="28">
                  <c:v>177.443243685951</c:v>
                </c:pt>
                <c:pt idx="29">
                  <c:v>171.324511145056</c:v>
                </c:pt>
                <c:pt idx="30">
                  <c:v>165.613694106887</c:v>
                </c:pt>
                <c:pt idx="31">
                  <c:v>160.271316877634</c:v>
                </c:pt>
                <c:pt idx="32">
                  <c:v>155.262838225207</c:v>
                </c:pt>
                <c:pt idx="33">
                  <c:v>150.557903733534</c:v>
                </c:pt>
                <c:pt idx="34">
                  <c:v>146.582588832375</c:v>
                </c:pt>
                <c:pt idx="35">
                  <c:v>144.709075281638</c:v>
                </c:pt>
                <c:pt idx="36">
                  <c:v>142.885164560524</c:v>
                </c:pt>
                <c:pt idx="37">
                  <c:v>141.108912491627</c:v>
                </c:pt>
                <c:pt idx="38">
                  <c:v>139.378475189658</c:v>
                </c:pt>
                <c:pt idx="39">
                  <c:v>137.692102676702</c:v>
                </c:pt>
                <c:pt idx="40">
                  <c:v>136.048132979117</c:v>
                </c:pt>
                <c:pt idx="41">
                  <c:v>134.444986664181</c:v>
                </c:pt>
                <c:pt idx="42">
                  <c:v>132.88116177875</c:v>
                </c:pt>
                <c:pt idx="43">
                  <c:v>131.355229155841</c:v>
                </c:pt>
                <c:pt idx="44">
                  <c:v>129.865828058294</c:v>
                </c:pt>
                <c:pt idx="45">
                  <c:v>128.411662131616</c:v>
                </c:pt>
                <c:pt idx="46">
                  <c:v>126.991495640693</c:v>
                </c:pt>
                <c:pt idx="47">
                  <c:v>125.604149967434</c:v>
                </c:pt>
                <c:pt idx="48">
                  <c:v>124.248500348444</c:v>
                </c:pt>
                <c:pt idx="49">
                  <c:v>122.923472833789</c:v>
                </c:pt>
                <c:pt idx="50">
                  <c:v>121.628041449535</c:v>
                </c:pt>
                <c:pt idx="51">
                  <c:v>120.361225548335</c:v>
                </c:pt>
                <c:pt idx="52">
                  <c:v>119.122087333659</c:v>
                </c:pt>
                <c:pt idx="53">
                  <c:v>117.909729544555</c:v>
                </c:pt>
                <c:pt idx="54">
                  <c:v>116.723293288907</c:v>
                </c:pt>
                <c:pt idx="55">
                  <c:v>115.561956014212</c:v>
                </c:pt>
                <c:pt idx="56">
                  <c:v>114.42492960579</c:v>
                </c:pt>
                <c:pt idx="57">
                  <c:v>113.311458603192</c:v>
                </c:pt>
                <c:pt idx="58">
                  <c:v>112.22081852632</c:v>
                </c:pt>
                <c:pt idx="59">
                  <c:v>111.152314303468</c:v>
                </c:pt>
                <c:pt idx="60">
                  <c:v>110.105278794116</c:v>
                </c:pt>
                <c:pt idx="61">
                  <c:v>109.079071399882</c:v>
                </c:pt>
                <c:pt idx="62">
                  <c:v>108.073076757548</c:v>
                </c:pt>
                <c:pt idx="63">
                  <c:v>107.086703508561</c:v>
                </c:pt>
                <c:pt idx="64">
                  <c:v>106.11938313985</c:v>
                </c:pt>
                <c:pt idx="65">
                  <c:v>105.170568891157</c:v>
                </c:pt>
                <c:pt idx="66">
                  <c:v>104.239734724498</c:v>
                </c:pt>
                <c:pt idx="67">
                  <c:v>103.326374351657</c:v>
                </c:pt>
                <c:pt idx="68">
                  <c:v>102.43000031594</c:v>
                </c:pt>
                <c:pt idx="69">
                  <c:v>101.550143124684</c:v>
                </c:pt>
                <c:pt idx="70">
                  <c:v>100.686350429288</c:v>
                </c:pt>
                <c:pt idx="71">
                  <c:v>99.8381862497491</c:v>
                </c:pt>
                <c:pt idx="72">
                  <c:v>99.0052302409097</c:v>
                </c:pt>
                <c:pt idx="73">
                  <c:v>98.1870769978277</c:v>
                </c:pt>
                <c:pt idx="74">
                  <c:v>97.3833353978517</c:v>
                </c:pt>
                <c:pt idx="75">
                  <c:v>96.5936279771617</c:v>
                </c:pt>
                <c:pt idx="76">
                  <c:v>95.8175903396849</c:v>
                </c:pt>
                <c:pt idx="77">
                  <c:v>95.0548705964441</c:v>
                </c:pt>
                <c:pt idx="78">
                  <c:v>94.3051288335242</c:v>
                </c:pt>
                <c:pt idx="79">
                  <c:v>93.5680366069687</c:v>
                </c:pt>
                <c:pt idx="80">
                  <c:v>92.843276463028</c:v>
                </c:pt>
                <c:pt idx="81">
                  <c:v>92.1305414822873</c:v>
                </c:pt>
                <c:pt idx="82">
                  <c:v>91.4295348463005</c:v>
                </c:pt>
                <c:pt idx="83">
                  <c:v>90.7399694254418</c:v>
                </c:pt>
                <c:pt idx="84">
                  <c:v>90.0615673867743</c:v>
                </c:pt>
                <c:pt idx="85">
                  <c:v>89.3940598208119</c:v>
                </c:pt>
                <c:pt idx="86">
                  <c:v>88.7371863861168</c:v>
                </c:pt>
                <c:pt idx="87">
                  <c:v>88.0906949707513</c:v>
                </c:pt>
                <c:pt idx="88">
                  <c:v>87.4543413696544</c:v>
                </c:pt>
                <c:pt idx="89">
                  <c:v>86.8278889770784</c:v>
                </c:pt>
                <c:pt idx="90">
                  <c:v>86.2111084932713</c:v>
                </c:pt>
                <c:pt idx="91">
                  <c:v>85.6037776446404</c:v>
                </c:pt>
                <c:pt idx="92">
                  <c:v>85.0056809166807</c:v>
                </c:pt>
                <c:pt idx="93">
                  <c:v>84.4166092989929</c:v>
                </c:pt>
                <c:pt idx="94">
                  <c:v>83.8363600417579</c:v>
                </c:pt>
                <c:pt idx="95">
                  <c:v>83.2647364230716</c:v>
                </c:pt>
                <c:pt idx="96">
                  <c:v>82.7015475265798</c:v>
                </c:pt>
                <c:pt idx="97">
                  <c:v>82.1466080288831</c:v>
                </c:pt>
                <c:pt idx="98">
                  <c:v>81.5997379962178</c:v>
                </c:pt>
                <c:pt idx="99">
                  <c:v>81.0607626899399</c:v>
                </c:pt>
                <c:pt idx="100">
                  <c:v>80.5295123803755</c:v>
                </c:pt>
              </c:numCache>
            </c:numRef>
          </c:val>
          <c:smooth val="0"/>
        </c:ser>
        <c:ser>
          <c:idx val="0"/>
          <c:order val="1"/>
          <c:tx>
            <c:strRef>
              <c:f>"VIN-nom"</c:f>
              <c:strCache>
                <c:ptCount val="1"/>
                <c:pt idx="0">
                  <c:v>VIN-nom</c:v>
                </c:pt>
              </c:strCache>
            </c:strRef>
          </c:tx>
          <c:spPr>
            <a:ln w="28575" cap="rnd" cmpd="sng" algn="ctr">
              <a:solidFill>
                <a:srgbClr val="FF0000"/>
              </a:solidFill>
              <a:prstDash val="lgDash"/>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99.9506172839506</c:v>
                </c:pt>
                <c:pt idx="2">
                  <c:v>199.901234567901</c:v>
                </c:pt>
                <c:pt idx="3">
                  <c:v>299.851851851852</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334.670448613758</c:v>
                </c:pt>
                <c:pt idx="19">
                  <c:v>317.056214476191</c:v>
                </c:pt>
                <c:pt idx="20">
                  <c:v>301.203403752382</c:v>
                </c:pt>
                <c:pt idx="21">
                  <c:v>286.860384526078</c:v>
                </c:pt>
                <c:pt idx="22">
                  <c:v>273.821276138529</c:v>
                </c:pt>
                <c:pt idx="23">
                  <c:v>261.916003262941</c:v>
                </c:pt>
                <c:pt idx="24">
                  <c:v>251.002836460318</c:v>
                </c:pt>
                <c:pt idx="25">
                  <c:v>240.962723001906</c:v>
                </c:pt>
                <c:pt idx="26">
                  <c:v>231.694925963372</c:v>
                </c:pt>
                <c:pt idx="27">
                  <c:v>223.113632409171</c:v>
                </c:pt>
                <c:pt idx="28">
                  <c:v>215.145288394558</c:v>
                </c:pt>
                <c:pt idx="29">
                  <c:v>207.726485346471</c:v>
                </c:pt>
                <c:pt idx="30">
                  <c:v>200.802269168254</c:v>
                </c:pt>
                <c:pt idx="31">
                  <c:v>194.32477661444</c:v>
                </c:pt>
                <c:pt idx="32">
                  <c:v>188.252127345239</c:v>
                </c:pt>
                <c:pt idx="33">
                  <c:v>182.547517425686</c:v>
                </c:pt>
                <c:pt idx="34">
                  <c:v>177.178472795518</c:v>
                </c:pt>
                <c:pt idx="35">
                  <c:v>172.116230715647</c:v>
                </c:pt>
                <c:pt idx="36">
                  <c:v>167.335224306879</c:v>
                </c:pt>
                <c:pt idx="37">
                  <c:v>162.812650676963</c:v>
                </c:pt>
                <c:pt idx="38">
                  <c:v>160.200718383452</c:v>
                </c:pt>
                <c:pt idx="39">
                  <c:v>158.169435562181</c:v>
                </c:pt>
                <c:pt idx="40">
                  <c:v>156.191299578173</c:v>
                </c:pt>
                <c:pt idx="41">
                  <c:v>154.264251551226</c:v>
                </c:pt>
                <c:pt idx="42">
                  <c:v>152.386337591944</c:v>
                </c:pt>
                <c:pt idx="43">
                  <c:v>150.555702193582</c:v>
                </c:pt>
                <c:pt idx="44">
                  <c:v>148.770582116797</c:v>
                </c:pt>
                <c:pt idx="45">
                  <c:v>147.02930072493</c:v>
                </c:pt>
                <c:pt idx="46">
                  <c:v>145.330262731562</c:v>
                </c:pt>
                <c:pt idx="47">
                  <c:v>143.671949325766</c:v>
                </c:pt>
                <c:pt idx="48">
                  <c:v>142.052913643732</c:v>
                </c:pt>
                <c:pt idx="49">
                  <c:v>140.4717765584</c:v>
                </c:pt>
                <c:pt idx="50">
                  <c:v>138.927222761344</c:v>
                </c:pt>
                <c:pt idx="51">
                  <c:v>137.417997113504</c:v>
                </c:pt>
                <c:pt idx="52">
                  <c:v>135.942901243498</c:v>
                </c:pt>
                <c:pt idx="53">
                  <c:v>134.500790374129</c:v>
                </c:pt>
                <c:pt idx="54">
                  <c:v>133.090570359429</c:v>
                </c:pt>
                <c:pt idx="55">
                  <c:v>131.711194916123</c:v>
                </c:pt>
                <c:pt idx="56">
                  <c:v>130.361663034788</c:v>
                </c:pt>
                <c:pt idx="57">
                  <c:v>129.041016557247</c:v>
                </c:pt>
                <c:pt idx="58">
                  <c:v>127.748337907876</c:v>
                </c:pt>
                <c:pt idx="59">
                  <c:v>126.482747967539</c:v>
                </c:pt>
                <c:pt idx="60">
                  <c:v>125.243404079787</c:v>
                </c:pt>
                <c:pt idx="61">
                  <c:v>124.02949817984</c:v>
                </c:pt>
                <c:pt idx="62">
                  <c:v>122.840255037594</c:v>
                </c:pt>
                <c:pt idx="63">
                  <c:v>121.674930606656</c:v>
                </c:pt>
                <c:pt idx="64">
                  <c:v>120.53281047199</c:v>
                </c:pt>
                <c:pt idx="65">
                  <c:v>119.413208389387</c:v>
                </c:pt>
                <c:pt idx="66">
                  <c:v>118.315464910481</c:v>
                </c:pt>
                <c:pt idx="67">
                  <c:v>117.238946087517</c:v>
                </c:pt>
                <c:pt idx="68">
                  <c:v>116.183042252529</c:v>
                </c:pt>
                <c:pt idx="69">
                  <c:v>115.147166865991</c:v>
                </c:pt>
                <c:pt idx="70">
                  <c:v>114.130755430364</c:v>
                </c:pt>
                <c:pt idx="71">
                  <c:v>113.133264464319</c:v>
                </c:pt>
                <c:pt idx="72">
                  <c:v>112.154170533719</c:v>
                </c:pt>
                <c:pt idx="73">
                  <c:v>111.192969335719</c:v>
                </c:pt>
                <c:pt idx="74">
                  <c:v>110.249174832634</c:v>
                </c:pt>
                <c:pt idx="75">
                  <c:v>109.322318432431</c:v>
                </c:pt>
                <c:pt idx="76">
                  <c:v>108.411948212959</c:v>
                </c:pt>
                <c:pt idx="77">
                  <c:v>107.517628187206</c:v>
                </c:pt>
                <c:pt idx="78">
                  <c:v>106.63893760708</c:v>
                </c:pt>
                <c:pt idx="79">
                  <c:v>105.775470303373</c:v>
                </c:pt>
                <c:pt idx="80">
                  <c:v>104.92683405974</c:v>
                </c:pt>
                <c:pt idx="81">
                  <c:v>104.092650018656</c:v>
                </c:pt>
                <c:pt idx="82">
                  <c:v>103.272552117471</c:v>
                </c:pt>
                <c:pt idx="83">
                  <c:v>102.466186552792</c:v>
                </c:pt>
                <c:pt idx="84">
                  <c:v>101.67321127155</c:v>
                </c:pt>
                <c:pt idx="85">
                  <c:v>100.893295487207</c:v>
                </c:pt>
                <c:pt idx="86">
                  <c:v>100.126119219677</c:v>
                </c:pt>
                <c:pt idx="87">
                  <c:v>99.3713728576023</c:v>
                </c:pt>
                <c:pt idx="88">
                  <c:v>98.6287567417454</c:v>
                </c:pt>
                <c:pt idx="89">
                  <c:v>97.8979807682966</c:v>
                </c:pt>
                <c:pt idx="90">
                  <c:v>97.1787640110137</c:v>
                </c:pt>
                <c:pt idx="91">
                  <c:v>96.4708343611479</c:v>
                </c:pt>
                <c:pt idx="92">
                  <c:v>95.7739281841922</c:v>
                </c:pt>
                <c:pt idx="93">
                  <c:v>95.0877899925397</c:v>
                </c:pt>
                <c:pt idx="94">
                  <c:v>94.4121721331991</c:v>
                </c:pt>
                <c:pt idx="95">
                  <c:v>93.7468344897655</c:v>
                </c:pt>
                <c:pt idx="96">
                  <c:v>93.0915441978936</c:v>
                </c:pt>
                <c:pt idx="97">
                  <c:v>92.4460753735623</c:v>
                </c:pt>
                <c:pt idx="98">
                  <c:v>91.8102088534694</c:v>
                </c:pt>
                <c:pt idx="99">
                  <c:v>91.1837319469249</c:v>
                </c:pt>
                <c:pt idx="100">
                  <c:v>90.5664381986552</c:v>
                </c:pt>
              </c:numCache>
            </c:numRef>
          </c:val>
          <c:smooth val="0"/>
        </c:ser>
        <c:ser>
          <c:idx val="2"/>
          <c:order val="2"/>
          <c:tx>
            <c:strRef>
              <c:f>"VIN-max"</c:f>
              <c:strCache>
                <c:ptCount val="1"/>
                <c:pt idx="0">
                  <c:v>VIN-max</c:v>
                </c:pt>
              </c:strCache>
            </c:strRef>
          </c:tx>
          <c:spPr>
            <a:ln w="28575" cap="rnd" cmpd="sng" algn="ctr">
              <a:solidFill>
                <a:srgbClr val="0000FF"/>
              </a:solidFill>
              <a:prstDash val="solid"/>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99.9506172839506</c:v>
                </c:pt>
                <c:pt idx="2">
                  <c:v>199.901234567901</c:v>
                </c:pt>
                <c:pt idx="3">
                  <c:v>299.851851851852</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349.929446560189</c:v>
                </c:pt>
                <c:pt idx="21">
                  <c:v>333.266139581132</c:v>
                </c:pt>
                <c:pt idx="22">
                  <c:v>318.117678691081</c:v>
                </c:pt>
                <c:pt idx="23">
                  <c:v>304.28647526973</c:v>
                </c:pt>
                <c:pt idx="24">
                  <c:v>291.607872133491</c:v>
                </c:pt>
                <c:pt idx="25">
                  <c:v>279.943557248151</c:v>
                </c:pt>
                <c:pt idx="26">
                  <c:v>269.176497353992</c:v>
                </c:pt>
                <c:pt idx="27">
                  <c:v>259.206997451991</c:v>
                </c:pt>
                <c:pt idx="28">
                  <c:v>249.949604685849</c:v>
                </c:pt>
                <c:pt idx="29">
                  <c:v>241.33065280013</c:v>
                </c:pt>
                <c:pt idx="30">
                  <c:v>233.286297706792</c:v>
                </c:pt>
                <c:pt idx="31">
                  <c:v>225.760933264638</c:v>
                </c:pt>
                <c:pt idx="32">
                  <c:v>218.705904100118</c:v>
                </c:pt>
                <c:pt idx="33">
                  <c:v>212.07845246072</c:v>
                </c:pt>
                <c:pt idx="34">
                  <c:v>205.840850917758</c:v>
                </c:pt>
                <c:pt idx="35">
                  <c:v>199.959683748679</c:v>
                </c:pt>
                <c:pt idx="36">
                  <c:v>194.405248088994</c:v>
                </c:pt>
                <c:pt idx="37">
                  <c:v>189.151052194696</c:v>
                </c:pt>
                <c:pt idx="38">
                  <c:v>184.173392926415</c:v>
                </c:pt>
                <c:pt idx="39">
                  <c:v>179.450998235994</c:v>
                </c:pt>
                <c:pt idx="40">
                  <c:v>174.964723280094</c:v>
                </c:pt>
                <c:pt idx="41">
                  <c:v>172.448582064446</c:v>
                </c:pt>
                <c:pt idx="42">
                  <c:v>170.264814650499</c:v>
                </c:pt>
                <c:pt idx="43">
                  <c:v>168.137937415887</c:v>
                </c:pt>
                <c:pt idx="44">
                  <c:v>166.065755843242</c:v>
                </c:pt>
                <c:pt idx="45">
                  <c:v>164.04618685256</c:v>
                </c:pt>
                <c:pt idx="46">
                  <c:v>162.077251816402</c:v>
                </c:pt>
                <c:pt idx="47">
                  <c:v>160.157070093945</c:v>
                </c:pt>
                <c:pt idx="48">
                  <c:v>158.283853039487</c:v>
                </c:pt>
                <c:pt idx="49">
                  <c:v>156.455898445257</c:v>
                </c:pt>
                <c:pt idx="50">
                  <c:v>154.671585382257</c:v>
                </c:pt>
                <c:pt idx="51">
                  <c:v>152.929369406263</c:v>
                </c:pt>
                <c:pt idx="52">
                  <c:v>151.227778099177</c:v>
                </c:pt>
                <c:pt idx="53">
                  <c:v>149.565406918688</c:v>
                </c:pt>
                <c:pt idx="54">
                  <c:v>147.940915331647</c:v>
                </c:pt>
                <c:pt idx="55">
                  <c:v>146.353023208779</c:v>
                </c:pt>
                <c:pt idx="56">
                  <c:v>144.80050746037</c:v>
                </c:pt>
                <c:pt idx="57">
                  <c:v>143.282198894325</c:v>
                </c:pt>
                <c:pt idx="58">
                  <c:v>141.796979279655</c:v>
                </c:pt>
                <c:pt idx="59">
                  <c:v>140.343778599876</c:v>
                </c:pt>
                <c:pt idx="60">
                  <c:v>138.921572482156</c:v>
                </c:pt>
                <c:pt idx="61">
                  <c:v>137.529379789218</c:v>
                </c:pt>
                <c:pt idx="62">
                  <c:v>136.166260362116</c:v>
                </c:pt>
                <c:pt idx="63">
                  <c:v>134.831312902955</c:v>
                </c:pt>
                <c:pt idx="64">
                  <c:v>133.52367298755</c:v>
                </c:pt>
                <c:pt idx="65">
                  <c:v>132.242511198802</c:v>
                </c:pt>
                <c:pt idx="66">
                  <c:v>130.987031372337</c:v>
                </c:pt>
                <c:pt idx="67">
                  <c:v>129.756468946592</c:v>
                </c:pt>
                <c:pt idx="68">
                  <c:v>128.550089410177</c:v>
                </c:pt>
                <c:pt idx="69">
                  <c:v>127.367186839887</c:v>
                </c:pt>
                <c:pt idx="70">
                  <c:v>126.207082523238</c:v>
                </c:pt>
                <c:pt idx="71">
                  <c:v>125.069123659888</c:v>
                </c:pt>
                <c:pt idx="72">
                  <c:v>123.952682136731</c:v>
                </c:pt>
                <c:pt idx="73">
                  <c:v>122.85715337181</c:v>
                </c:pt>
                <c:pt idx="74">
                  <c:v>121.781955222604</c:v>
                </c:pt>
                <c:pt idx="75">
                  <c:v>120.726526954532</c:v>
                </c:pt>
                <c:pt idx="76">
                  <c:v>119.690328265836</c:v>
                </c:pt>
                <c:pt idx="77">
                  <c:v>118.672838365287</c:v>
                </c:pt>
                <c:pt idx="78">
                  <c:v>117.673555099393</c:v>
                </c:pt>
                <c:pt idx="79">
                  <c:v>116.691994126051</c:v>
                </c:pt>
                <c:pt idx="80">
                  <c:v>115.727688131774</c:v>
                </c:pt>
                <c:pt idx="81">
                  <c:v>114.780186089844</c:v>
                </c:pt>
                <c:pt idx="82">
                  <c:v>113.849052556905</c:v>
                </c:pt>
                <c:pt idx="83">
                  <c:v>112.933867005709</c:v>
                </c:pt>
                <c:pt idx="84">
                  <c:v>112.034223191843</c:v>
                </c:pt>
                <c:pt idx="85">
                  <c:v>111.149728552463</c:v>
                </c:pt>
                <c:pt idx="86">
                  <c:v>110.280003635134</c:v>
                </c:pt>
                <c:pt idx="87">
                  <c:v>109.424681555052</c:v>
                </c:pt>
                <c:pt idx="88">
                  <c:v>108.583407479015</c:v>
                </c:pt>
                <c:pt idx="89">
                  <c:v>107.755838134602</c:v>
                </c:pt>
                <c:pt idx="90">
                  <c:v>106.941641343156</c:v>
                </c:pt>
                <c:pt idx="91">
                  <c:v>106.140495575216</c:v>
                </c:pt>
                <c:pt idx="92">
                  <c:v>105.352089527165</c:v>
                </c:pt>
                <c:pt idx="93">
                  <c:v>104.57612171791</c:v>
                </c:pt>
                <c:pt idx="94">
                  <c:v>103.812300104502</c:v>
                </c:pt>
                <c:pt idx="95">
                  <c:v>103.06034171567</c:v>
                </c:pt>
                <c:pt idx="96">
                  <c:v>102.319972302292</c:v>
                </c:pt>
                <c:pt idx="97">
                  <c:v>101.590926003909</c:v>
                </c:pt>
                <c:pt idx="98">
                  <c:v>100.872945030418</c:v>
                </c:pt>
                <c:pt idx="99">
                  <c:v>100.165779358157</c:v>
                </c:pt>
                <c:pt idx="100">
                  <c:v>99.4691864396134</c:v>
                </c:pt>
              </c:numCache>
            </c:numRef>
          </c:val>
          <c:smooth val="0"/>
        </c:ser>
        <c:ser>
          <c:idx val="3"/>
          <c:order val="3"/>
          <c:spPr>
            <a:ln w="28575" cap="rnd" cmpd="sng" algn="ctr">
              <a:noFill/>
              <a:prstDash val="solid"/>
              <a:round/>
            </a:ln>
          </c:spPr>
          <c:marker>
            <c:symbol val="x"/>
            <c:size val="10"/>
            <c:spPr>
              <a:pattFill prst="pct5">
                <a:fgClr>
                  <a:schemeClr val="tx1"/>
                </a:fgClr>
                <a:bgClr>
                  <a:schemeClr val="bg1"/>
                </a:bgClr>
              </a:pattFill>
              <a:ln w="9525" cap="flat" cmpd="sng" algn="ctr">
                <a:solidFill>
                  <a:srgbClr val="33CC33"/>
                </a:solidFill>
                <a:prstDash val="solid"/>
                <a:round/>
              </a:ln>
            </c:spPr>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146.582588832375</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w="28575" cap="rnd" cmpd="sng" algn="ctr">
              <a:noFill/>
              <a:prstDash val="solid"/>
              <a:round/>
            </a:ln>
          </c:spPr>
          <c:marker>
            <c:symbol val="x"/>
            <c:size val="10"/>
            <c:spPr>
              <a:pattFill prst="pct5">
                <a:fgClr>
                  <a:schemeClr val="tx1"/>
                </a:fgClr>
                <a:bgClr>
                  <a:schemeClr val="bg1"/>
                </a:bgClr>
              </a:pattFill>
              <a:ln w="9525" cap="flat" cmpd="sng" algn="ctr">
                <a:solidFill>
                  <a:srgbClr val="FF0000"/>
                </a:solidFill>
                <a:prstDash val="solid"/>
                <a:round/>
              </a:ln>
            </c:spPr>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162.812650676963</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w="28575" cap="rnd" cmpd="sng" algn="ctr">
              <a:noFill/>
              <a:prstDash val="solid"/>
              <a:round/>
            </a:ln>
          </c:spPr>
          <c:marker>
            <c:symbol val="x"/>
            <c:size val="10"/>
            <c:spPr>
              <a:pattFill prst="pct5">
                <a:fgClr>
                  <a:schemeClr val="tx1"/>
                </a:fgClr>
                <a:bgClr>
                  <a:schemeClr val="bg1"/>
                </a:bgClr>
              </a:pattFill>
              <a:ln w="9525" cap="flat" cmpd="sng" algn="ctr">
                <a:solidFill>
                  <a:srgbClr val="0000FF"/>
                </a:solidFill>
                <a:prstDash val="solid"/>
                <a:round/>
              </a:ln>
            </c:spPr>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174.964723280094</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99758208"/>
        <c:axId val="199760512"/>
      </c:lineChart>
      <c:catAx>
        <c:axId val="199758208"/>
        <c:scaling>
          <c:orientation val="minMax"/>
        </c:scaling>
        <c:delete val="0"/>
        <c:axPos val="b"/>
        <c:majorGridlines>
          <c:spPr>
            <a:ln w="15875" cap="flat" cmpd="sng" algn="ctr">
              <a:solidFill>
                <a:srgbClr val="969696"/>
              </a:solidFill>
              <a:prstDash val="sysDash"/>
              <a:round/>
            </a:ln>
          </c:spPr>
        </c:majorGridlines>
        <c:title>
          <c:tx>
            <c:rich>
              <a:bodyPr rot="0" spcFirstLastPara="0" vertOverflow="ellipsis" vert="horz" wrap="square" anchor="ctr" anchorCtr="1"/>
              <a:lstStyle/>
              <a:p>
                <a:pPr>
                  <a:defRPr lang="zh-CN" sz="10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200" b="1" i="0" baseline="0">
                    <a:effectLst/>
                  </a:rPr>
                  <a:t>% Total Rated Output Power</a:t>
                </a:r>
                <a:endParaRPr lang="en-US" sz="1000">
                  <a:effectLst/>
                </a:endParaRPr>
              </a:p>
            </c:rich>
          </c:tx>
          <c:layout>
            <c:manualLayout>
              <c:xMode val="edge"/>
              <c:yMode val="edge"/>
              <c:x val="0.409843202482104"/>
              <c:y val="0.938537744500695"/>
            </c:manualLayout>
          </c:layout>
          <c:overlay val="0"/>
          <c:spPr>
            <a:noFill/>
            <a:ln w="25400">
              <a:noFill/>
            </a:ln>
          </c:spPr>
        </c:title>
        <c:numFmt formatCode="General" sourceLinked="1"/>
        <c:majorTickMark val="in"/>
        <c:minorTickMark val="in"/>
        <c:tickLblPos val="nextTo"/>
        <c:spPr>
          <a:ln w="3175" cap="flat" cmpd="sng" algn="ctr">
            <a:solidFill>
              <a:schemeClr val="tx1"/>
            </a:solidFill>
            <a:prstDash val="solid"/>
            <a:round/>
          </a:ln>
        </c:spPr>
        <c:txPr>
          <a:bodyPr rot="0" spcFirstLastPara="0" vertOverflow="ellipsis" vert="horz" wrap="square" anchor="ctr" anchorCtr="1"/>
          <a:lstStyle/>
          <a:p>
            <a:pPr>
              <a:defRPr lang="zh-CN" sz="11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99760512"/>
        <c:crosses val="autoZero"/>
        <c:auto val="1"/>
        <c:lblAlgn val="ctr"/>
        <c:lblOffset val="100"/>
        <c:tickLblSkip val="20"/>
        <c:tickMarkSkip val="10"/>
        <c:noMultiLvlLbl val="0"/>
      </c:catAx>
      <c:valAx>
        <c:axId val="199760512"/>
        <c:scaling>
          <c:orientation val="minMax"/>
          <c:max val="400"/>
          <c:min val="0"/>
        </c:scaling>
        <c:delete val="0"/>
        <c:axPos val="l"/>
        <c:majorGridlines>
          <c:spPr>
            <a:ln w="15875" cap="flat" cmpd="sng" algn="ctr">
              <a:solidFill>
                <a:srgbClr val="808080"/>
              </a:solidFill>
              <a:prstDash val="solid"/>
              <a:round/>
            </a:ln>
          </c:spPr>
        </c:majorGridlines>
        <c:title>
          <c:tx>
            <c:rich>
              <a:bodyPr rot="-5400000" spcFirstLastPara="0" vertOverflow="ellipsis" vert="horz" wrap="square" anchor="ctr" anchorCtr="1"/>
              <a:lstStyle/>
              <a:p>
                <a:pPr>
                  <a:defRPr lang="zh-CN" sz="14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200" b="1">
                    <a:solidFill>
                      <a:schemeClr val="tx1"/>
                    </a:solidFill>
                    <a:latin typeface="Arial" panose="020B0604020202020204" pitchFamily="7" charset="0"/>
                    <a:cs typeface="Arial" panose="020B0604020202020204" pitchFamily="7" charset="0"/>
                  </a:rPr>
                  <a:t>Switching</a:t>
                </a:r>
                <a:r>
                  <a:rPr lang="en-US" sz="1200" b="1" baseline="0">
                    <a:solidFill>
                      <a:schemeClr val="tx1"/>
                    </a:solidFill>
                    <a:latin typeface="Arial" panose="020B0604020202020204" pitchFamily="7" charset="0"/>
                    <a:cs typeface="Arial" panose="020B0604020202020204" pitchFamily="7" charset="0"/>
                  </a:rPr>
                  <a:t> Frquency (kHz)</a:t>
                </a:r>
                <a:endParaRPr lang="en-US" sz="1200" b="1">
                  <a:solidFill>
                    <a:schemeClr val="tx1"/>
                  </a:solidFill>
                  <a:latin typeface="Arial" panose="020B0604020202020204" pitchFamily="7" charset="0"/>
                  <a:cs typeface="Arial" panose="020B0604020202020204" pitchFamily="7" charset="0"/>
                </a:endParaRPr>
              </a:p>
            </c:rich>
          </c:tx>
          <c:layout>
            <c:manualLayout>
              <c:xMode val="edge"/>
              <c:yMode val="edge"/>
              <c:x val="0.00855682683677485"/>
              <c:y val="0.300506610995683"/>
            </c:manualLayout>
          </c:layout>
          <c:overlay val="0"/>
          <c:spPr>
            <a:noFill/>
            <a:ln w="25400">
              <a:noFill/>
            </a:ln>
          </c:spPr>
        </c:title>
        <c:numFmt formatCode="#,##0" sourceLinked="0"/>
        <c:majorTickMark val="out"/>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99758208"/>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
          <c:y val="0.0194801974824984"/>
          <c:w val="0.424108417249092"/>
          <c:h val="0.0543357668478178"/>
        </c:manualLayout>
      </c:layout>
      <c:overlay val="0"/>
      <c:spPr>
        <a:solidFill>
          <a:srgbClr val="FFFFFF"/>
        </a:solidFill>
        <a:ln w="25400">
          <a:noFill/>
        </a:ln>
      </c:spPr>
      <c:txPr>
        <a:bodyPr rot="0" spcFirstLastPara="0" vertOverflow="ellipsis" vert="horz" wrap="square" anchor="ctr" anchorCtr="1"/>
        <a:lstStyle/>
        <a:p>
          <a:pPr>
            <a:defRPr lang="zh-CN" sz="1400" b="0"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35bd79f2-9496-4ea6-8741-db07c3ca3432}"/>
      </c:ext>
    </c:extLst>
  </c:chart>
  <c:spPr>
    <a:solidFill>
      <a:srgbClr val="FFFFFF"/>
    </a:solidFill>
    <a:ln w="9525" cap="flat" cmpd="sng" algn="ctr">
      <a:solidFill>
        <a:srgbClr val="808080"/>
      </a:solid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72807468833838"/>
          <c:y val="0.121335233430015"/>
          <c:w val="0.860472789738492"/>
          <c:h val="0.755898026893831"/>
        </c:manualLayout>
      </c:layout>
      <c:lineChart>
        <c:grouping val="standard"/>
        <c:varyColors val="0"/>
        <c:ser>
          <c:idx val="1"/>
          <c:order val="0"/>
          <c:tx>
            <c:strRef>
              <c:f>"VIN-min"</c:f>
              <c:strCache>
                <c:ptCount val="1"/>
                <c:pt idx="0">
                  <c:v>VIN-min</c:v>
                </c:pt>
              </c:strCache>
            </c:strRef>
          </c:tx>
          <c:spPr>
            <a:ln w="28575" cap="rnd" cmpd="sng" algn="ctr">
              <a:solidFill>
                <a:srgbClr val="00B050"/>
              </a:solidFill>
              <a:prstDash val="sysDash"/>
              <a:round/>
            </a:ln>
          </c:spPr>
          <c:marker>
            <c:symbol val="none"/>
          </c:marker>
          <c:dLbls>
            <c:delete val="1"/>
          </c:dLbls>
          <c:val>
            <c:numRef>
              <c:f>'Calculations - Single'!$AJ$110:$AJ$210</c:f>
              <c:numCache>
                <c:formatCode>0.000</c:formatCode>
                <c:ptCount val="101"/>
                <c:pt idx="0">
                  <c:v>0.3</c:v>
                </c:pt>
                <c:pt idx="1">
                  <c:v>0.3</c:v>
                </c:pt>
                <c:pt idx="2">
                  <c:v>0.3</c:v>
                </c:pt>
                <c:pt idx="3">
                  <c:v>0.3</c:v>
                </c:pt>
                <c:pt idx="4">
                  <c:v>0.3</c:v>
                </c:pt>
                <c:pt idx="5">
                  <c:v>0.324257393351111</c:v>
                </c:pt>
                <c:pt idx="6">
                  <c:v>0.355206177552458</c:v>
                </c:pt>
                <c:pt idx="7">
                  <c:v>0.383666521865018</c:v>
                </c:pt>
                <c:pt idx="8">
                  <c:v>0.41015676445546</c:v>
                </c:pt>
                <c:pt idx="9">
                  <c:v>0.435036944243984</c:v>
                </c:pt>
                <c:pt idx="10">
                  <c:v>0.458569203376889</c:v>
                </c:pt>
                <c:pt idx="11">
                  <c:v>0.480951438000019</c:v>
                </c:pt>
                <c:pt idx="12">
                  <c:v>0.502337393733392</c:v>
                </c:pt>
                <c:pt idx="13">
                  <c:v>0.522849336397617</c:v>
                </c:pt>
                <c:pt idx="14">
                  <c:v>0.542586398650021</c:v>
                </c:pt>
                <c:pt idx="15">
                  <c:v>0.561630280013971</c:v>
                </c:pt>
                <c:pt idx="16">
                  <c:v>0.580049258991978</c:v>
                </c:pt>
                <c:pt idx="17">
                  <c:v>0.597901090721295</c:v>
                </c:pt>
                <c:pt idx="18">
                  <c:v>0.615235146683189</c:v>
                </c:pt>
                <c:pt idx="19">
                  <c:v>0.689627794798253</c:v>
                </c:pt>
                <c:pt idx="20">
                  <c:v>0.725923994524477</c:v>
                </c:pt>
                <c:pt idx="21">
                  <c:v>0.762220194250701</c:v>
                </c:pt>
                <c:pt idx="22">
                  <c:v>0.798516393976925</c:v>
                </c:pt>
                <c:pt idx="23">
                  <c:v>0.834812593703149</c:v>
                </c:pt>
                <c:pt idx="24">
                  <c:v>0.871108793429373</c:v>
                </c:pt>
                <c:pt idx="25">
                  <c:v>0.907404993155597</c:v>
                </c:pt>
                <c:pt idx="26">
                  <c:v>0.94370119288182</c:v>
                </c:pt>
                <c:pt idx="27">
                  <c:v>0.979997392608044</c:v>
                </c:pt>
                <c:pt idx="28">
                  <c:v>1.01629359233427</c:v>
                </c:pt>
                <c:pt idx="29">
                  <c:v>1.05258979206049</c:v>
                </c:pt>
                <c:pt idx="30">
                  <c:v>1.08888599178672</c:v>
                </c:pt>
                <c:pt idx="31">
                  <c:v>1.12518219151294</c:v>
                </c:pt>
                <c:pt idx="32">
                  <c:v>1.16147839123916</c:v>
                </c:pt>
                <c:pt idx="33">
                  <c:v>1.19777459096539</c:v>
                </c:pt>
                <c:pt idx="34">
                  <c:v>1.23407079069161</c:v>
                </c:pt>
                <c:pt idx="35">
                  <c:v>1.27036699041783</c:v>
                </c:pt>
                <c:pt idx="36">
                  <c:v>1.30666319014406</c:v>
                </c:pt>
                <c:pt idx="37">
                  <c:v>1.34295938987028</c:v>
                </c:pt>
                <c:pt idx="38">
                  <c:v>1.37925558959651</c:v>
                </c:pt>
                <c:pt idx="39">
                  <c:v>1.41555178932273</c:v>
                </c:pt>
                <c:pt idx="40">
                  <c:v>1.45184798904895</c:v>
                </c:pt>
                <c:pt idx="41">
                  <c:v>1.48814418877518</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numCache>
            </c:numRef>
          </c:val>
          <c:smooth val="0"/>
        </c:ser>
        <c:ser>
          <c:idx val="0"/>
          <c:order val="1"/>
          <c:tx>
            <c:strRef>
              <c:f>"VIN-nom"</c:f>
              <c:strCache>
                <c:ptCount val="1"/>
                <c:pt idx="0">
                  <c:v>VIN-nom</c:v>
                </c:pt>
              </c:strCache>
            </c:strRef>
          </c:tx>
          <c:spPr>
            <a:ln w="28575" cap="rnd" cmpd="sng" algn="ctr">
              <a:solidFill>
                <a:srgbClr val="0000FF"/>
              </a:solidFill>
              <a:prstDash val="lgDash"/>
              <a:round/>
            </a:ln>
          </c:spPr>
          <c:marker>
            <c:symbol val="none"/>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Single'!$AJ$5:$AJ$105</c:f>
              <c:numCache>
                <c:formatCode>0.000</c:formatCode>
                <c:ptCount val="101"/>
                <c:pt idx="0">
                  <c:v>0.3</c:v>
                </c:pt>
                <c:pt idx="1">
                  <c:v>0.3</c:v>
                </c:pt>
                <c:pt idx="2">
                  <c:v>0.3</c:v>
                </c:pt>
                <c:pt idx="3">
                  <c:v>0.3</c:v>
                </c:pt>
                <c:pt idx="4">
                  <c:v>0.305712802251259</c:v>
                </c:pt>
                <c:pt idx="5">
                  <c:v>0.341797303712883</c:v>
                </c:pt>
                <c:pt idx="6">
                  <c:v>0.374420186675981</c:v>
                </c:pt>
                <c:pt idx="7">
                  <c:v>0.404420023682749</c:v>
                </c:pt>
                <c:pt idx="8">
                  <c:v>0.432343191134815</c:v>
                </c:pt>
                <c:pt idx="9">
                  <c:v>0.458569203376889</c:v>
                </c:pt>
                <c:pt idx="10">
                  <c:v>0.483374382493315</c:v>
                </c:pt>
                <c:pt idx="11">
                  <c:v>0.506967329337772</c:v>
                </c:pt>
                <c:pt idx="12">
                  <c:v>0.529510106023438</c:v>
                </c:pt>
                <c:pt idx="13">
                  <c:v>0.551131592041349</c:v>
                </c:pt>
                <c:pt idx="14">
                  <c:v>0.571936282387392</c:v>
                </c:pt>
                <c:pt idx="15">
                  <c:v>0.592010295920764</c:v>
                </c:pt>
                <c:pt idx="16">
                  <c:v>0.611425604502518</c:v>
                </c:pt>
                <c:pt idx="17">
                  <c:v>0.630243087392753</c:v>
                </c:pt>
                <c:pt idx="18">
                  <c:v>0.648514786702222</c:v>
                </c:pt>
                <c:pt idx="19">
                  <c:v>0.666285605379936</c:v>
                </c:pt>
                <c:pt idx="20">
                  <c:v>0.683594607425766</c:v>
                </c:pt>
                <c:pt idx="21">
                  <c:v>0.70047602861673</c:v>
                </c:pt>
                <c:pt idx="22">
                  <c:v>0.716960072829545</c:v>
                </c:pt>
                <c:pt idx="23">
                  <c:v>0.758145927036482</c:v>
                </c:pt>
                <c:pt idx="24">
                  <c:v>0.791108793429372</c:v>
                </c:pt>
                <c:pt idx="25">
                  <c:v>0.824071659822263</c:v>
                </c:pt>
                <c:pt idx="26">
                  <c:v>0.857034526215153</c:v>
                </c:pt>
                <c:pt idx="27">
                  <c:v>0.889997392608044</c:v>
                </c:pt>
                <c:pt idx="28">
                  <c:v>0.922960259000934</c:v>
                </c:pt>
                <c:pt idx="29">
                  <c:v>0.955923125393825</c:v>
                </c:pt>
                <c:pt idx="30">
                  <c:v>0.988885991786715</c:v>
                </c:pt>
                <c:pt idx="31">
                  <c:v>1.02184885817961</c:v>
                </c:pt>
                <c:pt idx="32">
                  <c:v>1.0548117245725</c:v>
                </c:pt>
                <c:pt idx="33">
                  <c:v>1.08777459096539</c:v>
                </c:pt>
                <c:pt idx="34">
                  <c:v>1.12073745735828</c:v>
                </c:pt>
                <c:pt idx="35">
                  <c:v>1.15370032375117</c:v>
                </c:pt>
                <c:pt idx="36">
                  <c:v>1.18666319014406</c:v>
                </c:pt>
                <c:pt idx="37">
                  <c:v>1.21962605653695</c:v>
                </c:pt>
                <c:pt idx="38">
                  <c:v>1.25258892292984</c:v>
                </c:pt>
                <c:pt idx="39">
                  <c:v>1.28555178932273</c:v>
                </c:pt>
                <c:pt idx="40">
                  <c:v>1.31851465571562</c:v>
                </c:pt>
                <c:pt idx="41">
                  <c:v>1.35147752210851</c:v>
                </c:pt>
                <c:pt idx="42">
                  <c:v>1.3844403885014</c:v>
                </c:pt>
                <c:pt idx="43">
                  <c:v>1.41740325489429</c:v>
                </c:pt>
                <c:pt idx="44">
                  <c:v>1.45036612128718</c:v>
                </c:pt>
                <c:pt idx="45">
                  <c:v>1.48332898768007</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numCache>
            </c:numRef>
          </c:val>
          <c:smooth val="0"/>
        </c:ser>
        <c:ser>
          <c:idx val="2"/>
          <c:order val="2"/>
          <c:tx>
            <c:strRef>
              <c:f>"VIN-max"</c:f>
              <c:strCache>
                <c:ptCount val="1"/>
                <c:pt idx="0">
                  <c:v>VIN-max</c:v>
                </c:pt>
              </c:strCache>
            </c:strRef>
          </c:tx>
          <c:spPr>
            <a:ln w="28575" cap="rnd" cmpd="sng" algn="ctr">
              <a:solidFill>
                <a:srgbClr val="FF0000"/>
              </a:solidFill>
              <a:prstDash val="solid"/>
              <a:round/>
            </a:ln>
          </c:spPr>
          <c:marker>
            <c:symbol val="none"/>
          </c:marker>
          <c:dLbls>
            <c:delete val="1"/>
          </c:dLbls>
          <c:val>
            <c:numRef>
              <c:f>'Calculations - Single'!$AJ$216:$AJ$316</c:f>
              <c:numCache>
                <c:formatCode>0.000</c:formatCode>
                <c:ptCount val="101"/>
                <c:pt idx="0">
                  <c:v>0.3</c:v>
                </c:pt>
                <c:pt idx="1">
                  <c:v>0.3</c:v>
                </c:pt>
                <c:pt idx="2">
                  <c:v>0.3</c:v>
                </c:pt>
                <c:pt idx="3">
                  <c:v>0.3</c:v>
                </c:pt>
                <c:pt idx="4">
                  <c:v>0.3</c:v>
                </c:pt>
                <c:pt idx="5">
                  <c:v>0.324257393351111</c:v>
                </c:pt>
                <c:pt idx="6">
                  <c:v>0.355206177552458</c:v>
                </c:pt>
                <c:pt idx="7">
                  <c:v>0.383666521865018</c:v>
                </c:pt>
                <c:pt idx="8">
                  <c:v>0.41015676445546</c:v>
                </c:pt>
                <c:pt idx="9">
                  <c:v>0.435036944243984</c:v>
                </c:pt>
                <c:pt idx="10">
                  <c:v>0.458569203376889</c:v>
                </c:pt>
                <c:pt idx="11">
                  <c:v>0.480951438000019</c:v>
                </c:pt>
                <c:pt idx="12">
                  <c:v>0.502337393733392</c:v>
                </c:pt>
                <c:pt idx="13">
                  <c:v>0.522849336397617</c:v>
                </c:pt>
                <c:pt idx="14">
                  <c:v>0.542586398650021</c:v>
                </c:pt>
                <c:pt idx="15">
                  <c:v>0.561630280013971</c:v>
                </c:pt>
                <c:pt idx="16">
                  <c:v>0.580049258991978</c:v>
                </c:pt>
                <c:pt idx="17">
                  <c:v>0.597901090721295</c:v>
                </c:pt>
                <c:pt idx="18">
                  <c:v>0.615235146683189</c:v>
                </c:pt>
                <c:pt idx="19">
                  <c:v>0.632094025555421</c:v>
                </c:pt>
                <c:pt idx="20">
                  <c:v>0.648514786702222</c:v>
                </c:pt>
                <c:pt idx="21">
                  <c:v>0.664529909033446</c:v>
                </c:pt>
                <c:pt idx="22">
                  <c:v>0.680168046462469</c:v>
                </c:pt>
                <c:pt idx="23">
                  <c:v>0.695454630336978</c:v>
                </c:pt>
                <c:pt idx="24">
                  <c:v>0.710412355104917</c:v>
                </c:pt>
                <c:pt idx="25">
                  <c:v>0.725061573739973</c:v>
                </c:pt>
                <c:pt idx="26">
                  <c:v>0.739420622611283</c:v>
                </c:pt>
                <c:pt idx="27">
                  <c:v>0.825711678322329</c:v>
                </c:pt>
                <c:pt idx="28">
                  <c:v>0.856293592334267</c:v>
                </c:pt>
                <c:pt idx="29">
                  <c:v>0.886875506346205</c:v>
                </c:pt>
                <c:pt idx="30">
                  <c:v>0.917457420358143</c:v>
                </c:pt>
                <c:pt idx="31">
                  <c:v>0.948039334370082</c:v>
                </c:pt>
                <c:pt idx="32">
                  <c:v>0.97862124838202</c:v>
                </c:pt>
                <c:pt idx="33">
                  <c:v>1.00920316239396</c:v>
                </c:pt>
                <c:pt idx="34">
                  <c:v>1.0397850764059</c:v>
                </c:pt>
                <c:pt idx="35">
                  <c:v>1.07036699041783</c:v>
                </c:pt>
                <c:pt idx="36">
                  <c:v>1.10094890442977</c:v>
                </c:pt>
                <c:pt idx="37">
                  <c:v>1.13153081844171</c:v>
                </c:pt>
                <c:pt idx="38">
                  <c:v>1.16211273245365</c:v>
                </c:pt>
                <c:pt idx="39">
                  <c:v>1.19269464646559</c:v>
                </c:pt>
                <c:pt idx="40">
                  <c:v>1.22327656047752</c:v>
                </c:pt>
                <c:pt idx="41">
                  <c:v>1.25385847448946</c:v>
                </c:pt>
                <c:pt idx="42">
                  <c:v>1.2844403885014</c:v>
                </c:pt>
                <c:pt idx="43">
                  <c:v>1.31502230251334</c:v>
                </c:pt>
                <c:pt idx="44">
                  <c:v>1.34560421652528</c:v>
                </c:pt>
                <c:pt idx="45">
                  <c:v>1.37618613053722</c:v>
                </c:pt>
                <c:pt idx="46">
                  <c:v>1.40676804454915</c:v>
                </c:pt>
                <c:pt idx="47">
                  <c:v>1.43734995856109</c:v>
                </c:pt>
                <c:pt idx="48">
                  <c:v>1.46793187257303</c:v>
                </c:pt>
                <c:pt idx="49">
                  <c:v>1.49851378658497</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numCache>
            </c:numRef>
          </c:val>
          <c:smooth val="0"/>
        </c:ser>
        <c:dLbls>
          <c:showLegendKey val="0"/>
          <c:showVal val="0"/>
          <c:showCatName val="0"/>
          <c:showSerName val="0"/>
          <c:showPercent val="0"/>
          <c:showBubbleSize val="0"/>
        </c:dLbls>
        <c:marker val="0"/>
        <c:smooth val="0"/>
        <c:axId val="157683712"/>
        <c:axId val="157685632"/>
      </c:lineChart>
      <c:catAx>
        <c:axId val="157683712"/>
        <c:scaling>
          <c:orientation val="minMax"/>
        </c:scaling>
        <c:delete val="0"/>
        <c:axPos val="b"/>
        <c:majorGridlines>
          <c:spPr>
            <a:ln w="15875" cap="flat" cmpd="sng" algn="ctr">
              <a:solidFill>
                <a:srgbClr val="969696"/>
              </a:solidFill>
              <a:prstDash val="sysDash"/>
              <a:round/>
            </a:ln>
          </c:spPr>
        </c:majorGridlines>
        <c:title>
          <c:tx>
            <c:rich>
              <a:bodyPr rot="0" spcFirstLastPara="0" vertOverflow="ellipsis" vert="horz" wrap="square" anchor="ctr" anchorCtr="1"/>
              <a:lstStyle/>
              <a:p>
                <a:pPr>
                  <a:defRPr lang="zh-CN" sz="12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200">
                    <a:solidFill>
                      <a:schemeClr val="tx1"/>
                    </a:solidFill>
                    <a:latin typeface="Arial" panose="020B0604020202020204" pitchFamily="7" charset="0"/>
                    <a:cs typeface="Arial" panose="020B0604020202020204" pitchFamily="7" charset="0"/>
                  </a:rPr>
                  <a:t>Load Current (mA)</a:t>
                </a:r>
                <a:endParaRPr lang="en-US" sz="1200">
                  <a:solidFill>
                    <a:schemeClr val="tx1"/>
                  </a:solidFill>
                  <a:latin typeface="Arial" panose="020B0604020202020204" pitchFamily="7" charset="0"/>
                  <a:cs typeface="Arial" panose="020B0604020202020204" pitchFamily="7" charset="0"/>
                </a:endParaRPr>
              </a:p>
            </c:rich>
          </c:tx>
          <c:layout>
            <c:manualLayout>
              <c:xMode val="edge"/>
              <c:yMode val="edge"/>
              <c:x val="0.454241359364963"/>
              <c:y val="0.941066916105386"/>
            </c:manualLayout>
          </c:layout>
          <c:overlay val="0"/>
          <c:spPr>
            <a:noFill/>
            <a:ln w="25400">
              <a:noFill/>
            </a:ln>
          </c:spPr>
        </c:title>
        <c:numFmt formatCode="0" sourceLinked="1"/>
        <c:majorTickMark val="in"/>
        <c:minorTickMark val="in"/>
        <c:tickLblPos val="nextTo"/>
        <c:spPr>
          <a:ln w="3175" cap="flat" cmpd="sng" algn="ctr">
            <a:solidFill>
              <a:schemeClr val="tx1"/>
            </a:solidFill>
            <a:prstDash val="solid"/>
            <a:round/>
          </a:ln>
        </c:spPr>
        <c:txPr>
          <a:bodyPr rot="0" spcFirstLastPara="0" vertOverflow="ellipsis" vert="horz" wrap="square" anchor="ctr" anchorCtr="1"/>
          <a:lstStyle/>
          <a:p>
            <a:pPr>
              <a:defRPr lang="zh-CN" sz="11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57685632"/>
        <c:crosses val="autoZero"/>
        <c:auto val="1"/>
        <c:lblAlgn val="ctr"/>
        <c:lblOffset val="100"/>
        <c:tickLblSkip val="20"/>
        <c:tickMarkSkip val="10"/>
        <c:noMultiLvlLbl val="0"/>
      </c:catAx>
      <c:valAx>
        <c:axId val="157685632"/>
        <c:scaling>
          <c:orientation val="minMax"/>
          <c:max val="2.5"/>
          <c:min val="0"/>
        </c:scaling>
        <c:delete val="0"/>
        <c:axPos val="l"/>
        <c:majorGridlines>
          <c:spPr>
            <a:ln w="15875" cap="flat" cmpd="sng" algn="ctr">
              <a:solidFill>
                <a:srgbClr val="808080"/>
              </a:solidFill>
              <a:prstDash val="solid"/>
              <a:round/>
            </a:ln>
          </c:spPr>
        </c:majorGridlines>
        <c:title>
          <c:tx>
            <c:rich>
              <a:bodyPr rot="-5400000" spcFirstLastPara="0" vertOverflow="ellipsis" vert="horz" wrap="square" anchor="ctr" anchorCtr="1"/>
              <a:lstStyle/>
              <a:p>
                <a:pPr>
                  <a:defRPr lang="zh-CN" sz="14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200" b="1">
                    <a:solidFill>
                      <a:schemeClr val="tx1"/>
                    </a:solidFill>
                    <a:latin typeface="Arial" panose="020B0604020202020204" pitchFamily="7" charset="0"/>
                    <a:cs typeface="Arial" panose="020B0604020202020204" pitchFamily="7" charset="0"/>
                  </a:rPr>
                  <a:t>Peak</a:t>
                </a:r>
                <a:r>
                  <a:rPr lang="en-US" sz="1200" b="1" baseline="0">
                    <a:solidFill>
                      <a:schemeClr val="tx1"/>
                    </a:solidFill>
                    <a:latin typeface="Arial" panose="020B0604020202020204" pitchFamily="7" charset="0"/>
                    <a:cs typeface="Arial" panose="020B0604020202020204" pitchFamily="7" charset="0"/>
                  </a:rPr>
                  <a:t> Primary Current (A)</a:t>
                </a:r>
                <a:endParaRPr lang="en-US" sz="1200" b="1">
                  <a:solidFill>
                    <a:schemeClr val="tx1"/>
                  </a:solidFill>
                  <a:latin typeface="Arial" panose="020B0604020202020204" pitchFamily="7" charset="0"/>
                  <a:cs typeface="Arial" panose="020B0604020202020204" pitchFamily="7" charset="0"/>
                </a:endParaRPr>
              </a:p>
            </c:rich>
          </c:tx>
          <c:layout>
            <c:manualLayout>
              <c:xMode val="edge"/>
              <c:yMode val="edge"/>
              <c:x val="0.0188927546847342"/>
              <c:y val="0.303035782600375"/>
            </c:manualLayout>
          </c:layout>
          <c:overlay val="0"/>
          <c:spPr>
            <a:noFill/>
            <a:ln w="25400">
              <a:noFill/>
            </a:ln>
          </c:spPr>
        </c:title>
        <c:numFmt formatCode="#,##0.0" sourceLinked="0"/>
        <c:majorTickMark val="out"/>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57683712"/>
        <c:crossesAt val="0"/>
        <c:crossBetween val="between"/>
      </c:valAx>
      <c:spPr>
        <a:solidFill>
          <a:srgbClr val="FFFFFF"/>
        </a:solidFill>
        <a:ln w="25400">
          <a:noFill/>
        </a:ln>
      </c:spPr>
    </c:plotArea>
    <c:legend>
      <c:legendPos val="t"/>
      <c:layout>
        <c:manualLayout>
          <c:xMode val="edge"/>
          <c:yMode val="edge"/>
          <c:x val="0.502793429891031"/>
          <c:y val="0.0169510258778068"/>
          <c:w val="0.444179477565304"/>
          <c:h val="0.0897950493206176"/>
        </c:manualLayout>
      </c:layout>
      <c:overlay val="0"/>
      <c:spPr>
        <a:solidFill>
          <a:srgbClr val="FFFFFF"/>
        </a:solidFill>
        <a:ln w="25400">
          <a:noFill/>
        </a:ln>
      </c:spPr>
      <c:txPr>
        <a:bodyPr rot="0" spcFirstLastPara="0" vertOverflow="ellipsis" vert="horz" wrap="square" anchor="ctr" anchorCtr="1"/>
        <a:lstStyle/>
        <a:p>
          <a:pPr>
            <a:defRPr lang="zh-CN" sz="1400" b="0"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f5359df4-838b-4611-807a-730a50ff1e89}"/>
      </c:ext>
    </c:extLst>
  </c:chart>
  <c:spPr>
    <a:solidFill>
      <a:srgbClr val="FFFFFF"/>
    </a:solidFill>
    <a:ln w="9525" cap="flat" cmpd="sng" algn="ctr">
      <a:solidFill>
        <a:srgbClr val="808080"/>
      </a:solid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72807468833838"/>
          <c:y val="0.121335233430015"/>
          <c:w val="0.860472789738492"/>
          <c:h val="0.755898026893831"/>
        </c:manualLayout>
      </c:layout>
      <c:lineChart>
        <c:grouping val="standard"/>
        <c:varyColors val="0"/>
        <c:ser>
          <c:idx val="1"/>
          <c:order val="0"/>
          <c:tx>
            <c:strRef>
              <c:f>"VIN-min"</c:f>
              <c:strCache>
                <c:ptCount val="1"/>
                <c:pt idx="0">
                  <c:v>VIN-min</c:v>
                </c:pt>
              </c:strCache>
            </c:strRef>
          </c:tx>
          <c:spPr>
            <a:ln w="28575" cap="rnd" cmpd="sng" algn="ctr">
              <a:solidFill>
                <a:srgbClr val="00B050"/>
              </a:solidFill>
              <a:prstDash val="sysDash"/>
              <a:round/>
            </a:ln>
          </c:spPr>
          <c:marker>
            <c:symbol val="none"/>
          </c:marker>
          <c:dLbls>
            <c:delete val="1"/>
          </c:dLbls>
          <c:val>
            <c:numRef>
              <c:f>'Calculations - Single'!$AK$110:$AK$210</c:f>
              <c:numCache>
                <c:formatCode>0.000</c:formatCode>
                <c:ptCount val="101"/>
                <c:pt idx="0">
                  <c:v>1.00685714285714</c:v>
                </c:pt>
                <c:pt idx="1">
                  <c:v>1.04673015873016</c:v>
                </c:pt>
                <c:pt idx="2">
                  <c:v>1.09346031746032</c:v>
                </c:pt>
                <c:pt idx="3">
                  <c:v>1.14019047619048</c:v>
                </c:pt>
                <c:pt idx="4">
                  <c:v>1.18692063492063</c:v>
                </c:pt>
                <c:pt idx="5">
                  <c:v>1.21617159556741</c:v>
                </c:pt>
                <c:pt idx="6">
                  <c:v>1.23680411836831</c:v>
                </c:pt>
                <c:pt idx="7">
                  <c:v>1.25577768124334</c:v>
                </c:pt>
                <c:pt idx="8">
                  <c:v>1.27343784297031</c:v>
                </c:pt>
                <c:pt idx="9">
                  <c:v>1.29002462949599</c:v>
                </c:pt>
                <c:pt idx="10">
                  <c:v>1.30571280225126</c:v>
                </c:pt>
                <c:pt idx="11">
                  <c:v>1.32063429200001</c:v>
                </c:pt>
                <c:pt idx="12">
                  <c:v>1.33489159582226</c:v>
                </c:pt>
                <c:pt idx="13">
                  <c:v>1.34856622426508</c:v>
                </c:pt>
                <c:pt idx="14">
                  <c:v>1.36172426576668</c:v>
                </c:pt>
                <c:pt idx="15">
                  <c:v>1.37442018667598</c:v>
                </c:pt>
                <c:pt idx="16">
                  <c:v>1.38669950599465</c:v>
                </c:pt>
                <c:pt idx="17">
                  <c:v>1.39860072714753</c:v>
                </c:pt>
                <c:pt idx="18">
                  <c:v>1.41015676445546</c:v>
                </c:pt>
                <c:pt idx="19">
                  <c:v>1.45975186319884</c:v>
                </c:pt>
                <c:pt idx="20">
                  <c:v>1.48394932968298</c:v>
                </c:pt>
                <c:pt idx="21">
                  <c:v>1.50814679616713</c:v>
                </c:pt>
                <c:pt idx="22">
                  <c:v>1.53234426265128</c:v>
                </c:pt>
                <c:pt idx="23">
                  <c:v>1.55654172913543</c:v>
                </c:pt>
                <c:pt idx="24">
                  <c:v>1.58073919561958</c:v>
                </c:pt>
                <c:pt idx="25">
                  <c:v>1.60493666210373</c:v>
                </c:pt>
                <c:pt idx="26">
                  <c:v>1.62913412858788</c:v>
                </c:pt>
                <c:pt idx="27">
                  <c:v>1.65333159507203</c:v>
                </c:pt>
                <c:pt idx="28">
                  <c:v>1.67752906155618</c:v>
                </c:pt>
                <c:pt idx="29">
                  <c:v>1.70172652804033</c:v>
                </c:pt>
                <c:pt idx="30">
                  <c:v>1.72592399452448</c:v>
                </c:pt>
                <c:pt idx="31">
                  <c:v>1.75012146100863</c:v>
                </c:pt>
                <c:pt idx="32">
                  <c:v>1.77431892749278</c:v>
                </c:pt>
                <c:pt idx="33">
                  <c:v>1.79851639397692</c:v>
                </c:pt>
                <c:pt idx="34">
                  <c:v>1.82271386046107</c:v>
                </c:pt>
                <c:pt idx="35">
                  <c:v>1.84691132694522</c:v>
                </c:pt>
                <c:pt idx="36">
                  <c:v>1.87110879342937</c:v>
                </c:pt>
                <c:pt idx="37">
                  <c:v>1.89530625991352</c:v>
                </c:pt>
                <c:pt idx="38">
                  <c:v>1.91950372639767</c:v>
                </c:pt>
                <c:pt idx="39">
                  <c:v>1.94370119288182</c:v>
                </c:pt>
                <c:pt idx="40">
                  <c:v>1.96789865936597</c:v>
                </c:pt>
                <c:pt idx="41">
                  <c:v>1.99209612585012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numCache>
            </c:numRef>
          </c:val>
          <c:smooth val="0"/>
        </c:ser>
        <c:ser>
          <c:idx val="0"/>
          <c:order val="1"/>
          <c:tx>
            <c:strRef>
              <c:f>"VIN-nom"</c:f>
              <c:strCache>
                <c:ptCount val="1"/>
                <c:pt idx="0">
                  <c:v>VIN-nom</c:v>
                </c:pt>
              </c:strCache>
            </c:strRef>
          </c:tx>
          <c:spPr>
            <a:ln w="28575" cap="rnd" cmpd="sng" algn="ctr">
              <a:solidFill>
                <a:srgbClr val="0000FF"/>
              </a:solidFill>
              <a:prstDash val="lgDash"/>
              <a:round/>
            </a:ln>
          </c:spPr>
          <c:marker>
            <c:symbol val="none"/>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Single'!$AK$5:$AK$105</c:f>
              <c:numCache>
                <c:formatCode>0.000</c:formatCode>
                <c:ptCount val="101"/>
                <c:pt idx="0">
                  <c:v>1.00685714285714</c:v>
                </c:pt>
                <c:pt idx="1">
                  <c:v>1.04673015873016</c:v>
                </c:pt>
                <c:pt idx="2">
                  <c:v>1.09346031746032</c:v>
                </c:pt>
                <c:pt idx="3">
                  <c:v>1.14019047619048</c:v>
                </c:pt>
                <c:pt idx="4">
                  <c:v>1.18692063492063</c:v>
                </c:pt>
                <c:pt idx="5">
                  <c:v>1.22786486914192</c:v>
                </c:pt>
                <c:pt idx="6">
                  <c:v>1.24961345778399</c:v>
                </c:pt>
                <c:pt idx="7">
                  <c:v>1.26961334912183</c:v>
                </c:pt>
                <c:pt idx="8">
                  <c:v>1.28822879408988</c:v>
                </c:pt>
                <c:pt idx="9">
                  <c:v>1.30571280225126</c:v>
                </c:pt>
                <c:pt idx="10">
                  <c:v>1.32224958832888</c:v>
                </c:pt>
                <c:pt idx="11">
                  <c:v>1.33797821955851</c:v>
                </c:pt>
                <c:pt idx="12">
                  <c:v>1.35300673734896</c:v>
                </c:pt>
                <c:pt idx="13">
                  <c:v>1.3674210613609</c:v>
                </c:pt>
                <c:pt idx="14">
                  <c:v>1.38129085492493</c:v>
                </c:pt>
                <c:pt idx="15">
                  <c:v>1.39467353061384</c:v>
                </c:pt>
                <c:pt idx="16">
                  <c:v>1.40761706966835</c:v>
                </c:pt>
                <c:pt idx="17">
                  <c:v>1.42016205826184</c:v>
                </c:pt>
                <c:pt idx="18">
                  <c:v>1.43234319113481</c:v>
                </c:pt>
                <c:pt idx="19">
                  <c:v>1.44419040358662</c:v>
                </c:pt>
                <c:pt idx="20">
                  <c:v>1.45572973828384</c:v>
                </c:pt>
                <c:pt idx="21">
                  <c:v>1.46698401907782</c:v>
                </c:pt>
                <c:pt idx="22">
                  <c:v>1.47797338188636</c:v>
                </c:pt>
                <c:pt idx="23">
                  <c:v>1.50543061802432</c:v>
                </c:pt>
                <c:pt idx="24">
                  <c:v>1.52740586228625</c:v>
                </c:pt>
                <c:pt idx="25">
                  <c:v>1.54938110654818</c:v>
                </c:pt>
                <c:pt idx="26">
                  <c:v>1.5713563508101</c:v>
                </c:pt>
                <c:pt idx="27">
                  <c:v>1.59333159507203</c:v>
                </c:pt>
                <c:pt idx="28">
                  <c:v>1.61530683933396</c:v>
                </c:pt>
                <c:pt idx="29">
                  <c:v>1.63728208359588</c:v>
                </c:pt>
                <c:pt idx="30">
                  <c:v>1.65925732785781</c:v>
                </c:pt>
                <c:pt idx="31">
                  <c:v>1.68123257211974</c:v>
                </c:pt>
                <c:pt idx="32">
                  <c:v>1.70320781638167</c:v>
                </c:pt>
                <c:pt idx="33">
                  <c:v>1.72518306064359</c:v>
                </c:pt>
                <c:pt idx="34">
                  <c:v>1.74715830490552</c:v>
                </c:pt>
                <c:pt idx="35">
                  <c:v>1.76913354916745</c:v>
                </c:pt>
                <c:pt idx="36">
                  <c:v>1.79110879342937</c:v>
                </c:pt>
                <c:pt idx="37">
                  <c:v>1.8130840376913</c:v>
                </c:pt>
                <c:pt idx="38">
                  <c:v>1.83505928195323</c:v>
                </c:pt>
                <c:pt idx="39">
                  <c:v>1.85703452621515</c:v>
                </c:pt>
                <c:pt idx="40">
                  <c:v>1.87900977047708</c:v>
                </c:pt>
                <c:pt idx="41">
                  <c:v>1.90098501473901</c:v>
                </c:pt>
                <c:pt idx="42">
                  <c:v>1.92296025900093</c:v>
                </c:pt>
                <c:pt idx="43">
                  <c:v>1.94493550326286</c:v>
                </c:pt>
                <c:pt idx="44">
                  <c:v>1.96691074752479</c:v>
                </c:pt>
                <c:pt idx="45">
                  <c:v>1.98888599178671</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numCache>
            </c:numRef>
          </c:val>
          <c:smooth val="0"/>
        </c:ser>
        <c:ser>
          <c:idx val="2"/>
          <c:order val="2"/>
          <c:tx>
            <c:strRef>
              <c:f>"VIN-max"</c:f>
              <c:strCache>
                <c:ptCount val="1"/>
                <c:pt idx="0">
                  <c:v>VIN-max</c:v>
                </c:pt>
              </c:strCache>
            </c:strRef>
          </c:tx>
          <c:spPr>
            <a:ln w="28575" cap="rnd" cmpd="sng" algn="ctr">
              <a:solidFill>
                <a:srgbClr val="FF0000"/>
              </a:solidFill>
              <a:prstDash val="solid"/>
              <a:round/>
            </a:ln>
          </c:spPr>
          <c:marker>
            <c:symbol val="none"/>
          </c:marker>
          <c:dLbls>
            <c:delete val="1"/>
          </c:dLbls>
          <c:val>
            <c:numRef>
              <c:f>'Calculations - Single'!$AK$216:$AK$316</c:f>
              <c:numCache>
                <c:formatCode>0.000</c:formatCode>
                <c:ptCount val="101"/>
                <c:pt idx="0">
                  <c:v>1.00685714285714</c:v>
                </c:pt>
                <c:pt idx="1">
                  <c:v>1.04673015873016</c:v>
                </c:pt>
                <c:pt idx="2">
                  <c:v>1.09346031746032</c:v>
                </c:pt>
                <c:pt idx="3">
                  <c:v>1.14019047619048</c:v>
                </c:pt>
                <c:pt idx="4">
                  <c:v>1.18692063492063</c:v>
                </c:pt>
                <c:pt idx="5">
                  <c:v>1.21617159556741</c:v>
                </c:pt>
                <c:pt idx="6">
                  <c:v>1.23680411836831</c:v>
                </c:pt>
                <c:pt idx="7">
                  <c:v>1.25577768124334</c:v>
                </c:pt>
                <c:pt idx="8">
                  <c:v>1.27343784297031</c:v>
                </c:pt>
                <c:pt idx="9">
                  <c:v>1.29002462949599</c:v>
                </c:pt>
                <c:pt idx="10">
                  <c:v>1.30571280225126</c:v>
                </c:pt>
                <c:pt idx="11">
                  <c:v>1.32063429200001</c:v>
                </c:pt>
                <c:pt idx="12">
                  <c:v>1.33489159582226</c:v>
                </c:pt>
                <c:pt idx="13">
                  <c:v>1.34856622426508</c:v>
                </c:pt>
                <c:pt idx="14">
                  <c:v>1.36172426576668</c:v>
                </c:pt>
                <c:pt idx="15">
                  <c:v>1.37442018667598</c:v>
                </c:pt>
                <c:pt idx="16">
                  <c:v>1.38669950599465</c:v>
                </c:pt>
                <c:pt idx="17">
                  <c:v>1.39860072714753</c:v>
                </c:pt>
                <c:pt idx="18">
                  <c:v>1.41015676445546</c:v>
                </c:pt>
                <c:pt idx="19">
                  <c:v>1.42139601703695</c:v>
                </c:pt>
                <c:pt idx="20">
                  <c:v>1.43234319113481</c:v>
                </c:pt>
                <c:pt idx="21">
                  <c:v>1.44301993935563</c:v>
                </c:pt>
                <c:pt idx="22">
                  <c:v>1.45344536430831</c:v>
                </c:pt>
                <c:pt idx="23">
                  <c:v>1.46363642022465</c:v>
                </c:pt>
                <c:pt idx="24">
                  <c:v>1.47360823673661</c:v>
                </c:pt>
                <c:pt idx="25">
                  <c:v>1.48337438249331</c:v>
                </c:pt>
                <c:pt idx="26">
                  <c:v>1.49294708174086</c:v>
                </c:pt>
                <c:pt idx="27">
                  <c:v>1.55047445221489</c:v>
                </c:pt>
                <c:pt idx="28">
                  <c:v>1.57086239488951</c:v>
                </c:pt>
                <c:pt idx="29">
                  <c:v>1.59125033756414</c:v>
                </c:pt>
                <c:pt idx="30">
                  <c:v>1.61163828023876</c:v>
                </c:pt>
                <c:pt idx="31">
                  <c:v>1.63202622291339</c:v>
                </c:pt>
                <c:pt idx="32">
                  <c:v>1.65241416558801</c:v>
                </c:pt>
                <c:pt idx="33">
                  <c:v>1.67280210826264</c:v>
                </c:pt>
                <c:pt idx="34">
                  <c:v>1.69319005093726</c:v>
                </c:pt>
                <c:pt idx="35">
                  <c:v>1.71357799361189</c:v>
                </c:pt>
                <c:pt idx="36">
                  <c:v>1.73396593628651</c:v>
                </c:pt>
                <c:pt idx="37">
                  <c:v>1.75435387896114</c:v>
                </c:pt>
                <c:pt idx="38">
                  <c:v>1.77474182163577</c:v>
                </c:pt>
                <c:pt idx="39">
                  <c:v>1.79512976431039</c:v>
                </c:pt>
                <c:pt idx="40">
                  <c:v>1.81551770698502</c:v>
                </c:pt>
                <c:pt idx="41">
                  <c:v>1.83590564965964</c:v>
                </c:pt>
                <c:pt idx="42">
                  <c:v>1.85629359233427</c:v>
                </c:pt>
                <c:pt idx="43">
                  <c:v>1.87668153500889</c:v>
                </c:pt>
                <c:pt idx="44">
                  <c:v>1.89706947768352</c:v>
                </c:pt>
                <c:pt idx="45">
                  <c:v>1.91745742035814</c:v>
                </c:pt>
                <c:pt idx="46">
                  <c:v>1.93784536303277</c:v>
                </c:pt>
                <c:pt idx="47">
                  <c:v>1.95823330570739</c:v>
                </c:pt>
                <c:pt idx="48">
                  <c:v>1.97862124838202</c:v>
                </c:pt>
                <c:pt idx="49">
                  <c:v>1.99900919105664</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numCache>
            </c:numRef>
          </c:val>
          <c:smooth val="0"/>
        </c:ser>
        <c:dLbls>
          <c:showLegendKey val="0"/>
          <c:showVal val="0"/>
          <c:showCatName val="0"/>
          <c:showSerName val="0"/>
          <c:showPercent val="0"/>
          <c:showBubbleSize val="0"/>
        </c:dLbls>
        <c:marker val="0"/>
        <c:smooth val="0"/>
        <c:axId val="157715840"/>
        <c:axId val="157726208"/>
      </c:lineChart>
      <c:catAx>
        <c:axId val="157715840"/>
        <c:scaling>
          <c:orientation val="minMax"/>
        </c:scaling>
        <c:delete val="0"/>
        <c:axPos val="b"/>
        <c:majorGridlines>
          <c:spPr>
            <a:ln w="15875" cap="flat" cmpd="sng" algn="ctr">
              <a:solidFill>
                <a:srgbClr val="969696"/>
              </a:solidFill>
              <a:prstDash val="sysDash"/>
              <a:round/>
            </a:ln>
          </c:spPr>
        </c:majorGridlines>
        <c:title>
          <c:tx>
            <c:rich>
              <a:bodyPr rot="0" spcFirstLastPara="0" vertOverflow="ellipsis" vert="horz" wrap="square" anchor="ctr" anchorCtr="1"/>
              <a:lstStyle/>
              <a:p>
                <a:pPr>
                  <a:defRPr lang="zh-CN" sz="12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200">
                    <a:solidFill>
                      <a:schemeClr val="tx1"/>
                    </a:solidFill>
                    <a:latin typeface="Arial" panose="020B0604020202020204" pitchFamily="7" charset="0"/>
                    <a:cs typeface="Arial" panose="020B0604020202020204" pitchFamily="7" charset="0"/>
                  </a:rPr>
                  <a:t>Load Current (mA)</a:t>
                </a:r>
                <a:endParaRPr lang="en-US" sz="1200">
                  <a:solidFill>
                    <a:schemeClr val="tx1"/>
                  </a:solidFill>
                  <a:latin typeface="Arial" panose="020B0604020202020204" pitchFamily="7" charset="0"/>
                  <a:cs typeface="Arial" panose="020B0604020202020204" pitchFamily="7" charset="0"/>
                </a:endParaRPr>
              </a:p>
            </c:rich>
          </c:tx>
          <c:layout>
            <c:manualLayout>
              <c:xMode val="edge"/>
              <c:yMode val="edge"/>
              <c:x val="0.454241359364963"/>
              <c:y val="0.941066916105386"/>
            </c:manualLayout>
          </c:layout>
          <c:overlay val="0"/>
          <c:spPr>
            <a:noFill/>
            <a:ln w="25400">
              <a:noFill/>
            </a:ln>
          </c:spPr>
        </c:title>
        <c:numFmt formatCode="0" sourceLinked="1"/>
        <c:majorTickMark val="in"/>
        <c:minorTickMark val="in"/>
        <c:tickLblPos val="nextTo"/>
        <c:spPr>
          <a:ln w="3175" cap="flat" cmpd="sng" algn="ctr">
            <a:solidFill>
              <a:schemeClr val="tx1"/>
            </a:solidFill>
            <a:prstDash val="solid"/>
            <a:round/>
          </a:ln>
        </c:spPr>
        <c:txPr>
          <a:bodyPr rot="0" spcFirstLastPara="0" vertOverflow="ellipsis" vert="horz" wrap="square" anchor="ctr" anchorCtr="1"/>
          <a:lstStyle/>
          <a:p>
            <a:pPr>
              <a:defRPr lang="zh-CN" sz="11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57726208"/>
        <c:crosses val="autoZero"/>
        <c:auto val="1"/>
        <c:lblAlgn val="ctr"/>
        <c:lblOffset val="100"/>
        <c:tickLblSkip val="20"/>
        <c:tickMarkSkip val="10"/>
        <c:noMultiLvlLbl val="0"/>
      </c:catAx>
      <c:valAx>
        <c:axId val="157726208"/>
        <c:scaling>
          <c:orientation val="minMax"/>
          <c:max val="2.2"/>
          <c:min val="1"/>
        </c:scaling>
        <c:delete val="0"/>
        <c:axPos val="l"/>
        <c:majorGridlines>
          <c:spPr>
            <a:ln w="15875" cap="flat" cmpd="sng" algn="ctr">
              <a:solidFill>
                <a:srgbClr val="808080"/>
              </a:solidFill>
              <a:prstDash val="solid"/>
              <a:round/>
            </a:ln>
          </c:spPr>
        </c:majorGridlines>
        <c:title>
          <c:tx>
            <c:rich>
              <a:bodyPr rot="-5400000" spcFirstLastPara="0" vertOverflow="ellipsis" vert="horz" wrap="square" anchor="ctr" anchorCtr="1"/>
              <a:lstStyle/>
              <a:p>
                <a:pPr>
                  <a:defRPr lang="zh-CN" sz="14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200" b="1">
                    <a:solidFill>
                      <a:schemeClr val="tx1"/>
                    </a:solidFill>
                    <a:latin typeface="Arial" panose="020B0604020202020204" pitchFamily="7" charset="0"/>
                    <a:cs typeface="Arial" panose="020B0604020202020204" pitchFamily="7" charset="0"/>
                  </a:rPr>
                  <a:t>COMP</a:t>
                </a:r>
                <a:r>
                  <a:rPr lang="en-US" sz="1200" b="1" baseline="0">
                    <a:solidFill>
                      <a:schemeClr val="tx1"/>
                    </a:solidFill>
                    <a:latin typeface="Arial" panose="020B0604020202020204" pitchFamily="7" charset="0"/>
                    <a:cs typeface="Arial" panose="020B0604020202020204" pitchFamily="7" charset="0"/>
                  </a:rPr>
                  <a:t> Voltage (V)</a:t>
                </a:r>
                <a:endParaRPr lang="en-US" sz="1200" b="1">
                  <a:solidFill>
                    <a:schemeClr val="tx1"/>
                  </a:solidFill>
                  <a:latin typeface="Arial" panose="020B0604020202020204" pitchFamily="7" charset="0"/>
                  <a:cs typeface="Arial" panose="020B0604020202020204" pitchFamily="7" charset="0"/>
                </a:endParaRPr>
              </a:p>
            </c:rich>
          </c:tx>
          <c:layout>
            <c:manualLayout>
              <c:xMode val="edge"/>
              <c:yMode val="edge"/>
              <c:x val="0.0159396354525452"/>
              <c:y val="0.346031699880133"/>
            </c:manualLayout>
          </c:layout>
          <c:overlay val="0"/>
          <c:spPr>
            <a:noFill/>
            <a:ln w="25400">
              <a:noFill/>
            </a:ln>
          </c:spPr>
        </c:title>
        <c:numFmt formatCode="#,##0.0" sourceLinked="0"/>
        <c:majorTickMark val="out"/>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57715840"/>
        <c:crossesAt val="0"/>
        <c:crossBetween val="between"/>
        <c:majorUnit val="0.2"/>
        <c:minorUnit val="0.1"/>
      </c:valAx>
      <c:spPr>
        <a:solidFill>
          <a:srgbClr val="FFFFFF"/>
        </a:solidFill>
        <a:ln w="25400">
          <a:noFill/>
        </a:ln>
      </c:spPr>
    </c:plotArea>
    <c:legend>
      <c:legendPos val="t"/>
      <c:layout>
        <c:manualLayout>
          <c:xMode val="edge"/>
          <c:yMode val="edge"/>
          <c:x val="0.502793429891031"/>
          <c:y val="0.0169510258778068"/>
          <c:w val="0.444179477565304"/>
          <c:h val="0.0897950493206176"/>
        </c:manualLayout>
      </c:layout>
      <c:overlay val="0"/>
      <c:spPr>
        <a:solidFill>
          <a:srgbClr val="FFFFFF"/>
        </a:solidFill>
        <a:ln w="25400">
          <a:noFill/>
        </a:ln>
      </c:spPr>
      <c:txPr>
        <a:bodyPr rot="0" spcFirstLastPara="0" vertOverflow="ellipsis" vert="horz" wrap="square" anchor="ctr" anchorCtr="1"/>
        <a:lstStyle/>
        <a:p>
          <a:pPr>
            <a:defRPr lang="zh-CN" sz="1400" b="0"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583c9367-fd2e-4f53-995d-36417cab71fd}"/>
      </c:ext>
    </c:extLst>
  </c:chart>
  <c:spPr>
    <a:solidFill>
      <a:srgbClr val="FFFFFF"/>
    </a:solidFill>
    <a:ln w="9525" cap="flat" cmpd="sng" algn="ctr">
      <a:solidFill>
        <a:srgbClr val="808080"/>
      </a:solid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defRPr lang="zh-CN" sz="1800" b="1"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r>
              <a:rPr lang="en-US" sz="1800" b="1" i="0" baseline="0">
                <a:effectLst/>
                <a:sym typeface="Symbol" panose="05050102010706020507"/>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0.0825867049166182"/>
          <c:y val="0.0183632897461127"/>
        </c:manualLayout>
      </c:layout>
      <c:overlay val="0"/>
      <c:spPr>
        <a:noFill/>
        <a:ln w="25400">
          <a:noFill/>
        </a:ln>
      </c:spPr>
    </c:title>
    <c:autoTitleDeleted val="0"/>
    <c:plotArea>
      <c:layout>
        <c:manualLayout>
          <c:layoutTarget val="inner"/>
          <c:xMode val="edge"/>
          <c:yMode val="edge"/>
          <c:x val="0.0767618840858043"/>
          <c:y val="0.121335233430015"/>
          <c:w val="0.825799902285061"/>
          <c:h val="0.755898026893831"/>
        </c:manualLayout>
      </c:layout>
      <c:lineChart>
        <c:grouping val="standard"/>
        <c:varyColors val="0"/>
        <c:ser>
          <c:idx val="0"/>
          <c:order val="0"/>
          <c:tx>
            <c:strRef>
              <c:f>"Efficiency"</c:f>
              <c:strCache>
                <c:ptCount val="1"/>
                <c:pt idx="0">
                  <c:v>Efficiency</c:v>
                </c:pt>
              </c:strCache>
            </c:strRef>
          </c:tx>
          <c:spPr>
            <a:ln w="38100" cap="rnd" cmpd="sng" algn="ctr">
              <a:solidFill>
                <a:srgbClr val="FF0000"/>
              </a:solidFill>
              <a:prstDash val="solid"/>
              <a:round/>
            </a:ln>
          </c:spPr>
          <c:marker>
            <c:symbol val="none"/>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Single'!$CD$5:$CD$105</c:f>
              <c:numCache>
                <c:formatCode>0.00</c:formatCode>
                <c:ptCount val="101"/>
                <c:pt idx="0">
                  <c:v>0.000121432733260719</c:v>
                </c:pt>
                <c:pt idx="1">
                  <c:v>78.860094492196</c:v>
                </c:pt>
                <c:pt idx="2">
                  <c:v>83.9295843760887</c:v>
                </c:pt>
                <c:pt idx="3">
                  <c:v>85.7662433087635</c:v>
                </c:pt>
                <c:pt idx="4">
                  <c:v>86.5583561050567</c:v>
                </c:pt>
                <c:pt idx="5">
                  <c:v>87.1499258637192</c:v>
                </c:pt>
                <c:pt idx="6">
                  <c:v>87.8446624129201</c:v>
                </c:pt>
                <c:pt idx="7">
                  <c:v>88.3537835708311</c:v>
                </c:pt>
                <c:pt idx="8">
                  <c:v>88.742744435552</c:v>
                </c:pt>
                <c:pt idx="9">
                  <c:v>89.0492510237867</c:v>
                </c:pt>
                <c:pt idx="10">
                  <c:v>89.2966098879993</c:v>
                </c:pt>
                <c:pt idx="11">
                  <c:v>89.5000299738671</c:v>
                </c:pt>
                <c:pt idx="12">
                  <c:v>89.669873037493</c:v>
                </c:pt>
                <c:pt idx="13">
                  <c:v>89.8134505471974</c:v>
                </c:pt>
                <c:pt idx="14">
                  <c:v>89.9360741406393</c:v>
                </c:pt>
                <c:pt idx="15">
                  <c:v>90.0416986614087</c:v>
                </c:pt>
                <c:pt idx="16">
                  <c:v>90.1333313075978</c:v>
                </c:pt>
                <c:pt idx="17">
                  <c:v>90.2133006776562</c:v>
                </c:pt>
                <c:pt idx="18">
                  <c:v>90.2834387842029</c:v>
                </c:pt>
                <c:pt idx="19">
                  <c:v>90.3452072750243</c:v>
                </c:pt>
                <c:pt idx="20">
                  <c:v>90.3997868899338</c:v>
                </c:pt>
                <c:pt idx="21">
                  <c:v>90.4481420973243</c:v>
                </c:pt>
                <c:pt idx="22">
                  <c:v>90.6264437056113</c:v>
                </c:pt>
                <c:pt idx="23">
                  <c:v>90.4739610177899</c:v>
                </c:pt>
                <c:pt idx="24">
                  <c:v>90.4166634576669</c:v>
                </c:pt>
                <c:pt idx="25">
                  <c:v>90.3495516567295</c:v>
                </c:pt>
                <c:pt idx="26">
                  <c:v>90.2739112212908</c:v>
                </c:pt>
                <c:pt idx="27">
                  <c:v>90.190811721983</c:v>
                </c:pt>
                <c:pt idx="28">
                  <c:v>90.1011488671624</c:v>
                </c:pt>
                <c:pt idx="29">
                  <c:v>90.0056772679266</c:v>
                </c:pt>
                <c:pt idx="30">
                  <c:v>89.9050361329695</c:v>
                </c:pt>
                <c:pt idx="31">
                  <c:v>89.7997695949252</c:v>
                </c:pt>
                <c:pt idx="32">
                  <c:v>89.6903429206468</c:v>
                </c:pt>
                <c:pt idx="33">
                  <c:v>89.5771555370162</c:v>
                </c:pt>
                <c:pt idx="34">
                  <c:v>89.4605515720844</c:v>
                </c:pt>
                <c:pt idx="35">
                  <c:v>89.3408284421026</c:v>
                </c:pt>
                <c:pt idx="36">
                  <c:v>89.2182438901886</c:v>
                </c:pt>
                <c:pt idx="37">
                  <c:v>89.0930217894669</c:v>
                </c:pt>
                <c:pt idx="38">
                  <c:v>88.9653569537444</c:v>
                </c:pt>
                <c:pt idx="39">
                  <c:v>88.8354191459432</c:v>
                </c:pt>
                <c:pt idx="40">
                  <c:v>88.7033564341832</c:v>
                </c:pt>
                <c:pt idx="41">
                  <c:v>88.569298014392</c:v>
                </c:pt>
                <c:pt idx="42">
                  <c:v>88.4333565943091</c:v>
                </c:pt>
                <c:pt idx="43">
                  <c:v>88.2956304150217</c:v>
                </c:pt>
                <c:pt idx="44">
                  <c:v>88.1562049714861</c:v>
                </c:pt>
                <c:pt idx="45">
                  <c:v>88.0151544818907</c:v>
                </c:pt>
                <c:pt idx="46">
                  <c:v>87.8361877493926</c:v>
                </c:pt>
                <c:pt idx="47">
                  <c:v>87.6137988238639</c:v>
                </c:pt>
                <c:pt idx="48">
                  <c:v>87.3833110957011</c:v>
                </c:pt>
                <c:pt idx="49">
                  <c:v>87.1443601930113</c:v>
                </c:pt>
                <c:pt idx="50">
                  <c:v>86.8965648984548</c:v>
                </c:pt>
                <c:pt idx="51">
                  <c:v>86.6395268164819</c:v>
                </c:pt>
                <c:pt idx="52">
                  <c:v>86.3728301483887</c:v>
                </c:pt>
                <c:pt idx="53">
                  <c:v>86.0960416039946</c:v>
                </c:pt>
                <c:pt idx="54">
                  <c:v>85.8087104836684</c:v>
                </c:pt>
                <c:pt idx="55">
                  <c:v>85.5103689698871</c:v>
                </c:pt>
                <c:pt idx="56">
                  <c:v>85.2005326734599</c:v>
                </c:pt>
                <c:pt idx="57">
                  <c:v>84.8787014859121</c:v>
                </c:pt>
                <c:pt idx="58">
                  <c:v>84.5443607961558</c:v>
                </c:pt>
                <c:pt idx="59">
                  <c:v>84.1969831362558</c:v>
                </c:pt>
                <c:pt idx="60">
                  <c:v>83.8360303275086</c:v>
                </c:pt>
                <c:pt idx="61">
                  <c:v>83.4609562037367</c:v>
                </c:pt>
                <c:pt idx="62">
                  <c:v>83.0712099930685</c:v>
                </c:pt>
                <c:pt idx="63">
                  <c:v>82.6662404417389</c:v>
                </c:pt>
                <c:pt idx="64">
                  <c:v>82.2455007626558</c:v>
                </c:pt>
                <c:pt idx="65">
                  <c:v>81.8084544864685</c:v>
                </c:pt>
                <c:pt idx="66">
                  <c:v>81.3545822823062</c:v>
                </c:pt>
                <c:pt idx="67">
                  <c:v>80.8833897977822</c:v>
                </c:pt>
                <c:pt idx="68">
                  <c:v>80.3944165417707</c:v>
                </c:pt>
                <c:pt idx="69">
                  <c:v>79.8872457974971</c:v>
                </c:pt>
                <c:pt idx="70">
                  <c:v>79.3615155065833</c:v>
                </c:pt>
                <c:pt idx="71">
                  <c:v>78.8169300064373</c:v>
                </c:pt>
                <c:pt idx="72">
                  <c:v>78.2532724342799</c:v>
                </c:pt>
                <c:pt idx="73">
                  <c:v>77.6704175330182</c:v>
                </c:pt>
                <c:pt idx="74">
                  <c:v>77.0683445105948</c:v>
                </c:pt>
                <c:pt idx="75">
                  <c:v>76.4471495207849</c:v>
                </c:pt>
                <c:pt idx="76">
                  <c:v>75.8070572570109</c:v>
                </c:pt>
                <c:pt idx="77">
                  <c:v>75.1484310906124</c:v>
                </c:pt>
                <c:pt idx="78">
                  <c:v>74.4717811511358</c:v>
                </c:pt>
                <c:pt idx="79">
                  <c:v>73.777769748451</c:v>
                </c:pt>
                <c:pt idx="80">
                  <c:v>73.0672135831078</c:v>
                </c:pt>
                <c:pt idx="81">
                  <c:v>72.3410822872064</c:v>
                </c:pt>
                <c:pt idx="82">
                  <c:v>71.6004929831533</c:v>
                </c:pt>
                <c:pt idx="83">
                  <c:v>70.8467007358705</c:v>
                </c:pt>
                <c:pt idx="84">
                  <c:v>70.0810849928285</c:v>
                </c:pt>
                <c:pt idx="85">
                  <c:v>69.3051323376161</c:v>
                </c:pt>
                <c:pt idx="86">
                  <c:v>68.5204161050128</c:v>
                </c:pt>
                <c:pt idx="87">
                  <c:v>67.7285735964099</c:v>
                </c:pt>
                <c:pt idx="88">
                  <c:v>66.931281774254</c:v>
                </c:pt>
                <c:pt idx="89">
                  <c:v>66.1302323890384</c:v>
                </c:pt>
                <c:pt idx="90">
                  <c:v>65.3271074960397</c:v>
                </c:pt>
                <c:pt idx="91">
                  <c:v>64.5235562539197</c:v>
                </c:pt>
                <c:pt idx="92">
                  <c:v>63.7211737736411</c:v>
                </c:pt>
                <c:pt idx="93">
                  <c:v>62.9214826198923</c:v>
                </c:pt>
                <c:pt idx="94">
                  <c:v>62.1259173773572</c:v>
                </c:pt>
                <c:pt idx="95">
                  <c:v>61.3358124998599</c:v>
                </c:pt>
                <c:pt idx="96">
                  <c:v>60.552393478388</c:v>
                </c:pt>
                <c:pt idx="97">
                  <c:v>59.776771207005</c:v>
                </c:pt>
                <c:pt idx="98">
                  <c:v>59.0099393015436</c:v>
                </c:pt>
                <c:pt idx="99">
                  <c:v>58.2527740379213</c:v>
                </c:pt>
                <c:pt idx="100">
                  <c:v>57.5060365240546</c:v>
                </c:pt>
              </c:numCache>
            </c:numRef>
          </c:val>
          <c:smooth val="0"/>
        </c:ser>
        <c:dLbls>
          <c:showLegendKey val="0"/>
          <c:showVal val="0"/>
          <c:showCatName val="0"/>
          <c:showSerName val="0"/>
          <c:showPercent val="0"/>
          <c:showBubbleSize val="0"/>
        </c:dLbls>
        <c:marker val="0"/>
        <c:smooth val="0"/>
        <c:axId val="167707776"/>
        <c:axId val="167709696"/>
      </c:lineChart>
      <c:lineChart>
        <c:grouping val="standard"/>
        <c:varyColors val="0"/>
        <c:ser>
          <c:idx val="2"/>
          <c:order val="1"/>
          <c:tx>
            <c:strRef>
              <c:f>'Calculations - Single'!$BQ$3</c:f>
              <c:strCache>
                <c:ptCount val="1"/>
                <c:pt idx="0">
                  <c:v>Flyback Diode Loss</c:v>
                </c:pt>
              </c:strCache>
            </c:strRef>
          </c:tx>
          <c:spPr>
            <a:ln w="38100" cap="rnd" cmpd="sng" algn="ctr">
              <a:solidFill>
                <a:srgbClr val="808000"/>
              </a:solidFill>
              <a:prstDash val="sysDash"/>
              <a:round/>
            </a:ln>
          </c:spPr>
          <c:marker>
            <c:symbol val="none"/>
          </c:marker>
          <c:dLbls>
            <c:delete val="1"/>
          </c:dLbls>
          <c:cat>
            <c:numRef>
              <c:f>{0,0.025,0.05,0.075,0.1,0.125,0.15,0.175,0.2,0.225,0.25,0.275,0.3,0.325,0.35,0.375,0.4,0.425,0.45,0.475,0.5,0.525,0.55,0.575,0.6,0.625,0.65,0.675,0.7,0.725,0.75,0.775,0.8,0.825,0.85,0.875,0.9,0.925,0.95,0.975,1,1.025,1.05,1.075,1.1,1.125,1.15,1.175,1.2,1.225,1.25,1.275,1.3,1.325,1.35,1.375,1.4,1.425,1.45,1.475,1.5,1.525,1.55,1.575,1.6,1.625,1.65,1.675,1.7,1.725,1.75,1.775,1.8,1.825,1.85,1.875,1.9,1.925,1.95,1.975,2,2.025,2.05,2.075,2.1,2.125,2.15,2.175,2.2,2.225,2.25,2.275,2.3,2.325,2.35,2.375,2.4,2.425,2.45,2.475,2.5,2.525,2.55,2.575,2.6,2.625,2.65,2.675,2.7,2.725,2.75,2.775,2.8,2.825,2.85,2.875,2.9,2.925,2.95,2.975,3,3.025,3.05,3.075,3.1,3.125,3.15,3.175,3.2,3.225,3.25,3.275,3.3,3.325,3.35,3.375,3.4,3.425,3.45,3.475,3.5,3.525,3.55,3.575,3.6,3.625,3.65,3.675,3.7,3.725,3.75,3.775,3.8,3.825,3.85,3.875,3.9,3.925,3.95,3.975,4,4.025,4.05,4.075,4.1,4.125,4.15,4.175,4.2,4.225,4.25,4.275,4.3,4.325,4.35,4.375,4.4,4.425,4.45,4.475,4.5,4.525,4.55,4.575,4.6,4.625,4.65,4.675,4.7,4.725,4.75,4.775,4.8,4.825,4.85,4.875,4.9,4.925,4.95,4.975,5}</c:f>
              <c:numCache>
                <c:formatCode>General</c:formatCode>
                <c:ptCount val="201"/>
                <c:pt idx="0">
                  <c:v>0</c:v>
                </c:pt>
                <c:pt idx="1">
                  <c:v>0.025</c:v>
                </c:pt>
                <c:pt idx="2">
                  <c:v>0.05</c:v>
                </c:pt>
                <c:pt idx="3">
                  <c:v>0.075</c:v>
                </c:pt>
                <c:pt idx="4">
                  <c:v>0.1</c:v>
                </c:pt>
                <c:pt idx="5">
                  <c:v>0.125</c:v>
                </c:pt>
                <c:pt idx="6">
                  <c:v>0.15</c:v>
                </c:pt>
                <c:pt idx="7">
                  <c:v>0.175</c:v>
                </c:pt>
                <c:pt idx="8">
                  <c:v>0.2</c:v>
                </c:pt>
                <c:pt idx="9">
                  <c:v>0.225</c:v>
                </c:pt>
                <c:pt idx="10">
                  <c:v>0.25</c:v>
                </c:pt>
                <c:pt idx="11">
                  <c:v>0.275</c:v>
                </c:pt>
                <c:pt idx="12">
                  <c:v>0.3</c:v>
                </c:pt>
                <c:pt idx="13">
                  <c:v>0.325</c:v>
                </c:pt>
                <c:pt idx="14">
                  <c:v>0.35</c:v>
                </c:pt>
                <c:pt idx="15">
                  <c:v>0.375</c:v>
                </c:pt>
                <c:pt idx="16">
                  <c:v>0.4</c:v>
                </c:pt>
                <c:pt idx="17">
                  <c:v>0.425</c:v>
                </c:pt>
                <c:pt idx="18">
                  <c:v>0.45</c:v>
                </c:pt>
                <c:pt idx="19">
                  <c:v>0.475</c:v>
                </c:pt>
                <c:pt idx="20">
                  <c:v>0.5</c:v>
                </c:pt>
                <c:pt idx="21">
                  <c:v>0.525</c:v>
                </c:pt>
                <c:pt idx="22">
                  <c:v>0.55</c:v>
                </c:pt>
                <c:pt idx="23">
                  <c:v>0.575</c:v>
                </c:pt>
                <c:pt idx="24">
                  <c:v>0.6</c:v>
                </c:pt>
                <c:pt idx="25">
                  <c:v>0.625</c:v>
                </c:pt>
                <c:pt idx="26">
                  <c:v>0.65</c:v>
                </c:pt>
                <c:pt idx="27">
                  <c:v>0.675</c:v>
                </c:pt>
                <c:pt idx="28">
                  <c:v>0.7</c:v>
                </c:pt>
                <c:pt idx="29">
                  <c:v>0.725</c:v>
                </c:pt>
                <c:pt idx="30">
                  <c:v>0.75</c:v>
                </c:pt>
                <c:pt idx="31">
                  <c:v>0.775</c:v>
                </c:pt>
                <c:pt idx="32">
                  <c:v>0.8</c:v>
                </c:pt>
                <c:pt idx="33">
                  <c:v>0.825</c:v>
                </c:pt>
                <c:pt idx="34">
                  <c:v>0.85</c:v>
                </c:pt>
                <c:pt idx="35">
                  <c:v>0.875</c:v>
                </c:pt>
                <c:pt idx="36">
                  <c:v>0.9</c:v>
                </c:pt>
                <c:pt idx="37">
                  <c:v>0.925</c:v>
                </c:pt>
                <c:pt idx="38">
                  <c:v>0.95</c:v>
                </c:pt>
                <c:pt idx="39">
                  <c:v>0.975</c:v>
                </c:pt>
                <c:pt idx="40">
                  <c:v>1</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pt idx="151">
                  <c:v>3.775</c:v>
                </c:pt>
                <c:pt idx="152">
                  <c:v>3.8</c:v>
                </c:pt>
                <c:pt idx="153">
                  <c:v>3.825</c:v>
                </c:pt>
                <c:pt idx="154">
                  <c:v>3.85</c:v>
                </c:pt>
                <c:pt idx="155">
                  <c:v>3.875</c:v>
                </c:pt>
                <c:pt idx="156">
                  <c:v>3.9</c:v>
                </c:pt>
                <c:pt idx="157">
                  <c:v>3.925</c:v>
                </c:pt>
                <c:pt idx="158">
                  <c:v>3.95</c:v>
                </c:pt>
                <c:pt idx="159">
                  <c:v>3.975</c:v>
                </c:pt>
                <c:pt idx="160">
                  <c:v>4</c:v>
                </c:pt>
                <c:pt idx="161">
                  <c:v>4.025</c:v>
                </c:pt>
                <c:pt idx="162">
                  <c:v>4.05</c:v>
                </c:pt>
                <c:pt idx="163">
                  <c:v>4.075</c:v>
                </c:pt>
                <c:pt idx="164">
                  <c:v>4.1</c:v>
                </c:pt>
                <c:pt idx="165">
                  <c:v>4.125</c:v>
                </c:pt>
                <c:pt idx="166">
                  <c:v>4.15</c:v>
                </c:pt>
                <c:pt idx="167">
                  <c:v>4.175</c:v>
                </c:pt>
                <c:pt idx="168">
                  <c:v>4.2</c:v>
                </c:pt>
                <c:pt idx="169">
                  <c:v>4.225</c:v>
                </c:pt>
                <c:pt idx="170">
                  <c:v>4.25</c:v>
                </c:pt>
                <c:pt idx="171">
                  <c:v>4.275</c:v>
                </c:pt>
                <c:pt idx="172">
                  <c:v>4.3</c:v>
                </c:pt>
                <c:pt idx="173">
                  <c:v>4.325</c:v>
                </c:pt>
                <c:pt idx="174">
                  <c:v>4.35</c:v>
                </c:pt>
                <c:pt idx="175">
                  <c:v>4.375</c:v>
                </c:pt>
                <c:pt idx="176">
                  <c:v>4.4</c:v>
                </c:pt>
                <c:pt idx="177">
                  <c:v>4.425</c:v>
                </c:pt>
                <c:pt idx="178">
                  <c:v>4.45</c:v>
                </c:pt>
                <c:pt idx="179">
                  <c:v>4.475</c:v>
                </c:pt>
                <c:pt idx="180">
                  <c:v>4.5</c:v>
                </c:pt>
                <c:pt idx="181">
                  <c:v>4.525</c:v>
                </c:pt>
                <c:pt idx="182">
                  <c:v>4.55</c:v>
                </c:pt>
                <c:pt idx="183">
                  <c:v>4.575</c:v>
                </c:pt>
                <c:pt idx="184">
                  <c:v>4.6</c:v>
                </c:pt>
                <c:pt idx="185">
                  <c:v>4.625</c:v>
                </c:pt>
                <c:pt idx="186">
                  <c:v>4.65</c:v>
                </c:pt>
                <c:pt idx="187">
                  <c:v>4.675</c:v>
                </c:pt>
                <c:pt idx="188">
                  <c:v>4.7</c:v>
                </c:pt>
                <c:pt idx="189">
                  <c:v>4.725</c:v>
                </c:pt>
                <c:pt idx="190">
                  <c:v>4.75</c:v>
                </c:pt>
                <c:pt idx="191">
                  <c:v>4.775</c:v>
                </c:pt>
                <c:pt idx="192">
                  <c:v>4.8</c:v>
                </c:pt>
                <c:pt idx="193">
                  <c:v>4.825</c:v>
                </c:pt>
                <c:pt idx="194">
                  <c:v>4.85</c:v>
                </c:pt>
                <c:pt idx="195">
                  <c:v>4.875</c:v>
                </c:pt>
                <c:pt idx="196">
                  <c:v>4.9</c:v>
                </c:pt>
                <c:pt idx="197">
                  <c:v>4.925</c:v>
                </c:pt>
                <c:pt idx="198">
                  <c:v>4.95</c:v>
                </c:pt>
                <c:pt idx="199">
                  <c:v>4.975</c:v>
                </c:pt>
                <c:pt idx="200">
                  <c:v>5</c:v>
                </c:pt>
              </c:numCache>
            </c:numRef>
          </c:cat>
          <c:val>
            <c:numRef>
              <c:f>'Calculations - Single'!$BT$5:$BT$105</c:f>
              <c:numCache>
                <c:formatCode>0.0</c:formatCode>
                <c:ptCount val="101"/>
                <c:pt idx="0">
                  <c:v>8.40561163791125</c:v>
                </c:pt>
                <c:pt idx="1">
                  <c:v>11.3376378322433</c:v>
                </c:pt>
                <c:pt idx="2">
                  <c:v>14.2061462159867</c:v>
                </c:pt>
                <c:pt idx="3">
                  <c:v>17.07465459973</c:v>
                </c:pt>
                <c:pt idx="4">
                  <c:v>20.1679730110224</c:v>
                </c:pt>
                <c:pt idx="5">
                  <c:v>24.7604491268176</c:v>
                </c:pt>
                <c:pt idx="6">
                  <c:v>29.3987310197195</c:v>
                </c:pt>
                <c:pt idx="7">
                  <c:v>33.9618473173261</c:v>
                </c:pt>
                <c:pt idx="8">
                  <c:v>38.4554062501886</c:v>
                </c:pt>
                <c:pt idx="9">
                  <c:v>42.883919858891</c:v>
                </c:pt>
                <c:pt idx="10">
                  <c:v>47.2511208080357</c:v>
                </c:pt>
                <c:pt idx="11">
                  <c:v>51.5601640379173</c:v>
                </c:pt>
                <c:pt idx="12">
                  <c:v>55.8137621015078</c:v>
                </c:pt>
                <c:pt idx="13">
                  <c:v>60.0142798566958</c:v>
                </c:pt>
                <c:pt idx="14">
                  <c:v>64.163802986399</c:v>
                </c:pt>
                <c:pt idx="15">
                  <c:v>68.2641889759817</c:v>
                </c:pt>
                <c:pt idx="16">
                  <c:v>72.317105934122</c:v>
                </c:pt>
                <c:pt idx="17">
                  <c:v>76.3240627495684</c:v>
                </c:pt>
                <c:pt idx="18">
                  <c:v>80.286432922653</c:v>
                </c:pt>
                <c:pt idx="19">
                  <c:v>84.2054736819355</c:v>
                </c:pt>
                <c:pt idx="20">
                  <c:v>88.0823415218003</c:v>
                </c:pt>
                <c:pt idx="21">
                  <c:v>91.9181049792264</c:v>
                </c:pt>
                <c:pt idx="22">
                  <c:v>96.8213206547296</c:v>
                </c:pt>
                <c:pt idx="23">
                  <c:v>102.671738263889</c:v>
                </c:pt>
                <c:pt idx="24">
                  <c:v>108.348888922495</c:v>
                </c:pt>
                <c:pt idx="25">
                  <c:v>114.127136417638</c:v>
                </c:pt>
                <c:pt idx="26">
                  <c:v>120.006480749317</c:v>
                </c:pt>
                <c:pt idx="27">
                  <c:v>125.986921917533</c:v>
                </c:pt>
                <c:pt idx="28">
                  <c:v>132.068459922285</c:v>
                </c:pt>
                <c:pt idx="29">
                  <c:v>138.251094763574</c:v>
                </c:pt>
                <c:pt idx="30">
                  <c:v>144.534826441399</c:v>
                </c:pt>
                <c:pt idx="31">
                  <c:v>150.919654955761</c:v>
                </c:pt>
                <c:pt idx="32">
                  <c:v>157.405580306659</c:v>
                </c:pt>
                <c:pt idx="33">
                  <c:v>163.992602494093</c:v>
                </c:pt>
                <c:pt idx="34">
                  <c:v>170.680721518064</c:v>
                </c:pt>
                <c:pt idx="35">
                  <c:v>177.469937378571</c:v>
                </c:pt>
                <c:pt idx="36">
                  <c:v>184.360250075615</c:v>
                </c:pt>
                <c:pt idx="37">
                  <c:v>191.351659609195</c:v>
                </c:pt>
                <c:pt idx="38">
                  <c:v>198.444165979311</c:v>
                </c:pt>
                <c:pt idx="39">
                  <c:v>205.637769185964</c:v>
                </c:pt>
                <c:pt idx="40">
                  <c:v>212.932469229153</c:v>
                </c:pt>
                <c:pt idx="41">
                  <c:v>220.328266108879</c:v>
                </c:pt>
                <c:pt idx="42">
                  <c:v>227.825159825142</c:v>
                </c:pt>
                <c:pt idx="43">
                  <c:v>235.42315037794</c:v>
                </c:pt>
                <c:pt idx="44">
                  <c:v>243.122237767275</c:v>
                </c:pt>
                <c:pt idx="45">
                  <c:v>250.922421993147</c:v>
                </c:pt>
                <c:pt idx="46">
                  <c:v>257.625626155285</c:v>
                </c:pt>
                <c:pt idx="47">
                  <c:v>263.1223208987</c:v>
                </c:pt>
                <c:pt idx="48">
                  <c:v>268.610451900704</c:v>
                </c:pt>
                <c:pt idx="49">
                  <c:v>274.089536540508</c:v>
                </c:pt>
                <c:pt idx="50">
                  <c:v>279.559060196235</c:v>
                </c:pt>
                <c:pt idx="51">
                  <c:v>285.018474102965</c:v>
                </c:pt>
                <c:pt idx="52">
                  <c:v>290.467193115181</c:v>
                </c:pt>
                <c:pt idx="53">
                  <c:v>295.904593383777</c:v>
                </c:pt>
                <c:pt idx="54">
                  <c:v>301.330009962488</c:v>
                </c:pt>
                <c:pt idx="55">
                  <c:v>306.742734364251</c:v>
                </c:pt>
                <c:pt idx="56">
                  <c:v>312.142012094931</c:v>
                </c:pt>
                <c:pt idx="57">
                  <c:v>317.527040200086</c:v>
                </c:pt>
                <c:pt idx="58">
                  <c:v>322.89696487023</c:v>
                </c:pt>
                <c:pt idx="59">
                  <c:v>328.25087916144</c:v>
                </c:pt>
                <c:pt idx="60">
                  <c:v>333.587820901237</c:v>
                </c:pt>
                <c:pt idx="61">
                  <c:v>338.906770864481</c:v>
                </c:pt>
                <c:pt idx="62">
                  <c:v>344.206651320346</c:v>
                </c:pt>
                <c:pt idx="63">
                  <c:v>349.486325069071</c:v>
                </c:pt>
                <c:pt idx="64">
                  <c:v>354.744595105586</c:v>
                </c:pt>
                <c:pt idx="65">
                  <c:v>359.980205065444</c:v>
                </c:pt>
                <c:pt idx="66">
                  <c:v>365.191840625706</c:v>
                </c:pt>
                <c:pt idx="67">
                  <c:v>370.378132047847</c:v>
                </c:pt>
                <c:pt idx="68">
                  <c:v>375.537658059511</c:v>
                </c:pt>
                <c:pt idx="69">
                  <c:v>380.66895127451</c:v>
                </c:pt>
                <c:pt idx="70">
                  <c:v>385.770505343062</c:v>
                </c:pt>
                <c:pt idx="71">
                  <c:v>390.840784003807</c:v>
                </c:pt>
                <c:pt idx="72">
                  <c:v>395.878232172559</c:v>
                </c:pt>
                <c:pt idx="73">
                  <c:v>400.88128914749</c:v>
                </c:pt>
                <c:pt idx="74">
                  <c:v>405.848403934549</c:v>
                </c:pt>
                <c:pt idx="75">
                  <c:v>410.778052600375</c:v>
                </c:pt>
                <c:pt idx="76">
                  <c:v>415.668757444502</c:v>
                </c:pt>
                <c:pt idx="77">
                  <c:v>420.519107652956</c:v>
                </c:pt>
                <c:pt idx="78">
                  <c:v>425.327780959101</c:v>
                </c:pt>
                <c:pt idx="79">
                  <c:v>430.093565705397</c:v>
                </c:pt>
                <c:pt idx="80">
                  <c:v>434.815382584675</c:v>
                </c:pt>
                <c:pt idx="81">
                  <c:v>439.492305255861</c:v>
                </c:pt>
                <c:pt idx="82">
                  <c:v>444.123578990335</c:v>
                </c:pt>
                <c:pt idx="83">
                  <c:v>448.708636522174</c:v>
                </c:pt>
                <c:pt idx="84">
                  <c:v>453.24711035427</c:v>
                </c:pt>
                <c:pt idx="85">
                  <c:v>457.738840911918</c:v>
                </c:pt>
                <c:pt idx="86">
                  <c:v>462.183880127834</c:v>
                </c:pt>
                <c:pt idx="87">
                  <c:v>466.582490272461</c:v>
                </c:pt>
                <c:pt idx="88">
                  <c:v>470.935138090516</c:v>
                </c:pt>
                <c:pt idx="89">
                  <c:v>475.242484546149</c:v>
                </c:pt>
                <c:pt idx="90">
                  <c:v>479.505370692868</c:v>
                </c:pt>
                <c:pt idx="91">
                  <c:v>483.724800352368</c:v>
                </c:pt>
                <c:pt idx="92">
                  <c:v>487.901920396697</c:v>
                </c:pt>
                <c:pt idx="93">
                  <c:v>492.03799947638</c:v>
                </c:pt>
                <c:pt idx="94">
                  <c:v>496.134406025682</c:v>
                </c:pt>
                <c:pt idx="95">
                  <c:v>500.192586313881</c:v>
                </c:pt>
                <c:pt idx="96">
                  <c:v>504.214043210534</c:v>
                </c:pt>
                <c:pt idx="97">
                  <c:v>508.200316207555</c:v>
                </c:pt>
                <c:pt idx="98">
                  <c:v>512.152963105207</c:v>
                </c:pt>
                <c:pt idx="99">
                  <c:v>516.073543634943</c:v>
                </c:pt>
                <c:pt idx="100">
                  <c:v>519.963605168552</c:v>
                </c:pt>
              </c:numCache>
            </c:numRef>
          </c:val>
          <c:smooth val="0"/>
        </c:ser>
        <c:ser>
          <c:idx val="3"/>
          <c:order val="2"/>
          <c:tx>
            <c:strRef>
              <c:f>'Calculations - Single'!$BI$3</c:f>
              <c:strCache>
                <c:ptCount val="1"/>
                <c:pt idx="0">
                  <c:v>IC Loss</c:v>
                </c:pt>
              </c:strCache>
            </c:strRef>
          </c:tx>
          <c:spPr>
            <a:ln w="38100" cap="rnd" cmpd="sng" algn="ctr">
              <a:solidFill>
                <a:srgbClr val="800080"/>
              </a:solidFill>
              <a:prstDash val="dash"/>
              <a:round/>
            </a:ln>
          </c:spPr>
          <c:marker>
            <c:symbol val="none"/>
          </c:marker>
          <c:dLbls>
            <c:delete val="1"/>
          </c:dLbls>
          <c:cat>
            <c:numRef>
              <c:f>{0,0.025,0.05,0.075,0.1,0.125,0.15,0.175,0.2,0.225,0.25,0.275,0.3,0.325,0.35,0.375,0.4,0.425,0.45,0.475,0.5,0.525,0.55,0.575,0.6,0.625,0.65,0.675,0.7,0.725,0.75,0.775,0.8,0.825,0.85,0.875,0.9,0.925,0.95,0.975,1,1.025,1.05,1.075,1.1,1.125,1.15,1.175,1.2,1.225,1.25,1.275,1.3,1.325,1.35,1.375,1.4,1.425,1.45,1.475,1.5,1.525,1.55,1.575,1.6,1.625,1.65,1.675,1.7,1.725,1.75,1.775,1.8,1.825,1.85,1.875,1.9,1.925,1.95,1.975,2,2.025,2.05,2.075,2.1,2.125,2.15,2.175,2.2,2.225,2.25,2.275,2.3,2.325,2.35,2.375,2.4,2.425,2.45,2.475,2.5,2.525,2.55,2.575,2.6,2.625,2.65,2.675,2.7,2.725,2.75,2.775,2.8,2.825,2.85,2.875,2.9,2.925,2.95,2.975,3,3.025,3.05,3.075,3.1,3.125,3.15,3.175,3.2,3.225,3.25,3.275,3.3,3.325,3.35,3.375,3.4,3.425,3.45,3.475,3.5,3.525,3.55,3.575,3.6,3.625,3.65,3.675,3.7,3.725,3.75,3.775,3.8,3.825,3.85,3.875,3.9,3.925,3.95,3.975,4,4.025,4.05,4.075,4.1,4.125,4.15,4.175,4.2,4.225,4.25,4.275,4.3,4.325,4.35,4.375,4.4,4.425,4.45,4.475,4.5,4.525,4.55,4.575,4.6,4.625,4.65,4.675,4.7,4.725,4.75,4.775,4.8,4.825,4.85,4.875,4.9,4.925,4.95,4.975,5}</c:f>
              <c:numCache>
                <c:formatCode>General</c:formatCode>
                <c:ptCount val="201"/>
                <c:pt idx="0">
                  <c:v>0</c:v>
                </c:pt>
                <c:pt idx="1">
                  <c:v>0.025</c:v>
                </c:pt>
                <c:pt idx="2">
                  <c:v>0.05</c:v>
                </c:pt>
                <c:pt idx="3">
                  <c:v>0.075</c:v>
                </c:pt>
                <c:pt idx="4">
                  <c:v>0.1</c:v>
                </c:pt>
                <c:pt idx="5">
                  <c:v>0.125</c:v>
                </c:pt>
                <c:pt idx="6">
                  <c:v>0.15</c:v>
                </c:pt>
                <c:pt idx="7">
                  <c:v>0.175</c:v>
                </c:pt>
                <c:pt idx="8">
                  <c:v>0.2</c:v>
                </c:pt>
                <c:pt idx="9">
                  <c:v>0.225</c:v>
                </c:pt>
                <c:pt idx="10">
                  <c:v>0.25</c:v>
                </c:pt>
                <c:pt idx="11">
                  <c:v>0.275</c:v>
                </c:pt>
                <c:pt idx="12">
                  <c:v>0.3</c:v>
                </c:pt>
                <c:pt idx="13">
                  <c:v>0.325</c:v>
                </c:pt>
                <c:pt idx="14">
                  <c:v>0.35</c:v>
                </c:pt>
                <c:pt idx="15">
                  <c:v>0.375</c:v>
                </c:pt>
                <c:pt idx="16">
                  <c:v>0.4</c:v>
                </c:pt>
                <c:pt idx="17">
                  <c:v>0.425</c:v>
                </c:pt>
                <c:pt idx="18">
                  <c:v>0.45</c:v>
                </c:pt>
                <c:pt idx="19">
                  <c:v>0.475</c:v>
                </c:pt>
                <c:pt idx="20">
                  <c:v>0.5</c:v>
                </c:pt>
                <c:pt idx="21">
                  <c:v>0.525</c:v>
                </c:pt>
                <c:pt idx="22">
                  <c:v>0.55</c:v>
                </c:pt>
                <c:pt idx="23">
                  <c:v>0.575</c:v>
                </c:pt>
                <c:pt idx="24">
                  <c:v>0.6</c:v>
                </c:pt>
                <c:pt idx="25">
                  <c:v>0.625</c:v>
                </c:pt>
                <c:pt idx="26">
                  <c:v>0.65</c:v>
                </c:pt>
                <c:pt idx="27">
                  <c:v>0.675</c:v>
                </c:pt>
                <c:pt idx="28">
                  <c:v>0.7</c:v>
                </c:pt>
                <c:pt idx="29">
                  <c:v>0.725</c:v>
                </c:pt>
                <c:pt idx="30">
                  <c:v>0.75</c:v>
                </c:pt>
                <c:pt idx="31">
                  <c:v>0.775</c:v>
                </c:pt>
                <c:pt idx="32">
                  <c:v>0.8</c:v>
                </c:pt>
                <c:pt idx="33">
                  <c:v>0.825</c:v>
                </c:pt>
                <c:pt idx="34">
                  <c:v>0.85</c:v>
                </c:pt>
                <c:pt idx="35">
                  <c:v>0.875</c:v>
                </c:pt>
                <c:pt idx="36">
                  <c:v>0.9</c:v>
                </c:pt>
                <c:pt idx="37">
                  <c:v>0.925</c:v>
                </c:pt>
                <c:pt idx="38">
                  <c:v>0.95</c:v>
                </c:pt>
                <c:pt idx="39">
                  <c:v>0.975</c:v>
                </c:pt>
                <c:pt idx="40">
                  <c:v>1</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pt idx="151">
                  <c:v>3.775</c:v>
                </c:pt>
                <c:pt idx="152">
                  <c:v>3.8</c:v>
                </c:pt>
                <c:pt idx="153">
                  <c:v>3.825</c:v>
                </c:pt>
                <c:pt idx="154">
                  <c:v>3.85</c:v>
                </c:pt>
                <c:pt idx="155">
                  <c:v>3.875</c:v>
                </c:pt>
                <c:pt idx="156">
                  <c:v>3.9</c:v>
                </c:pt>
                <c:pt idx="157">
                  <c:v>3.925</c:v>
                </c:pt>
                <c:pt idx="158">
                  <c:v>3.95</c:v>
                </c:pt>
                <c:pt idx="159">
                  <c:v>3.975</c:v>
                </c:pt>
                <c:pt idx="160">
                  <c:v>4</c:v>
                </c:pt>
                <c:pt idx="161">
                  <c:v>4.025</c:v>
                </c:pt>
                <c:pt idx="162">
                  <c:v>4.05</c:v>
                </c:pt>
                <c:pt idx="163">
                  <c:v>4.075</c:v>
                </c:pt>
                <c:pt idx="164">
                  <c:v>4.1</c:v>
                </c:pt>
                <c:pt idx="165">
                  <c:v>4.125</c:v>
                </c:pt>
                <c:pt idx="166">
                  <c:v>4.15</c:v>
                </c:pt>
                <c:pt idx="167">
                  <c:v>4.175</c:v>
                </c:pt>
                <c:pt idx="168">
                  <c:v>4.2</c:v>
                </c:pt>
                <c:pt idx="169">
                  <c:v>4.225</c:v>
                </c:pt>
                <c:pt idx="170">
                  <c:v>4.25</c:v>
                </c:pt>
                <c:pt idx="171">
                  <c:v>4.275</c:v>
                </c:pt>
                <c:pt idx="172">
                  <c:v>4.3</c:v>
                </c:pt>
                <c:pt idx="173">
                  <c:v>4.325</c:v>
                </c:pt>
                <c:pt idx="174">
                  <c:v>4.35</c:v>
                </c:pt>
                <c:pt idx="175">
                  <c:v>4.375</c:v>
                </c:pt>
                <c:pt idx="176">
                  <c:v>4.4</c:v>
                </c:pt>
                <c:pt idx="177">
                  <c:v>4.425</c:v>
                </c:pt>
                <c:pt idx="178">
                  <c:v>4.45</c:v>
                </c:pt>
                <c:pt idx="179">
                  <c:v>4.475</c:v>
                </c:pt>
                <c:pt idx="180">
                  <c:v>4.5</c:v>
                </c:pt>
                <c:pt idx="181">
                  <c:v>4.525</c:v>
                </c:pt>
                <c:pt idx="182">
                  <c:v>4.55</c:v>
                </c:pt>
                <c:pt idx="183">
                  <c:v>4.575</c:v>
                </c:pt>
                <c:pt idx="184">
                  <c:v>4.6</c:v>
                </c:pt>
                <c:pt idx="185">
                  <c:v>4.625</c:v>
                </c:pt>
                <c:pt idx="186">
                  <c:v>4.65</c:v>
                </c:pt>
                <c:pt idx="187">
                  <c:v>4.675</c:v>
                </c:pt>
                <c:pt idx="188">
                  <c:v>4.7</c:v>
                </c:pt>
                <c:pt idx="189">
                  <c:v>4.725</c:v>
                </c:pt>
                <c:pt idx="190">
                  <c:v>4.75</c:v>
                </c:pt>
                <c:pt idx="191">
                  <c:v>4.775</c:v>
                </c:pt>
                <c:pt idx="192">
                  <c:v>4.8</c:v>
                </c:pt>
                <c:pt idx="193">
                  <c:v>4.825</c:v>
                </c:pt>
                <c:pt idx="194">
                  <c:v>4.85</c:v>
                </c:pt>
                <c:pt idx="195">
                  <c:v>4.875</c:v>
                </c:pt>
                <c:pt idx="196">
                  <c:v>4.9</c:v>
                </c:pt>
                <c:pt idx="197">
                  <c:v>4.925</c:v>
                </c:pt>
                <c:pt idx="198">
                  <c:v>4.95</c:v>
                </c:pt>
                <c:pt idx="199">
                  <c:v>4.975</c:v>
                </c:pt>
                <c:pt idx="200">
                  <c:v>5</c:v>
                </c:pt>
              </c:numCache>
            </c:numRef>
          </c:cat>
          <c:val>
            <c:numRef>
              <c:f>'Calculations - Single'!$BP$5:$BP$105</c:f>
              <c:numCache>
                <c:formatCode>0.0</c:formatCode>
                <c:ptCount val="101"/>
                <c:pt idx="0">
                  <c:v>4.53323812518658</c:v>
                </c:pt>
                <c:pt idx="1">
                  <c:v>10.6594721359413</c:v>
                </c:pt>
                <c:pt idx="2">
                  <c:v>17.8432814967841</c:v>
                </c:pt>
                <c:pt idx="3">
                  <c:v>25.0314320139883</c:v>
                </c:pt>
                <c:pt idx="4">
                  <c:v>32.6319259060506</c:v>
                </c:pt>
                <c:pt idx="5">
                  <c:v>37.6111435832478</c:v>
                </c:pt>
                <c:pt idx="6">
                  <c:v>40.5520577543554</c:v>
                </c:pt>
                <c:pt idx="7">
                  <c:v>43.5204824673638</c:v>
                </c:pt>
                <c:pt idx="8">
                  <c:v>46.5300925563738</c:v>
                </c:pt>
                <c:pt idx="9">
                  <c:v>49.5894314590526</c:v>
                </c:pt>
                <c:pt idx="10">
                  <c:v>52.7040511519457</c:v>
                </c:pt>
                <c:pt idx="11">
                  <c:v>55.8776595488899</c:v>
                </c:pt>
                <c:pt idx="12">
                  <c:v>59.112779162803</c:v>
                </c:pt>
                <c:pt idx="13">
                  <c:v>62.4111457708405</c:v>
                </c:pt>
                <c:pt idx="14">
                  <c:v>65.7739601182149</c:v>
                </c:pt>
                <c:pt idx="15">
                  <c:v>69.2020523885733</c:v>
                </c:pt>
                <c:pt idx="16">
                  <c:v>72.6959927658968</c:v>
                </c:pt>
                <c:pt idx="17">
                  <c:v>76.2561675395755</c:v>
                </c:pt>
                <c:pt idx="18">
                  <c:v>79.8828325466778</c:v>
                </c:pt>
                <c:pt idx="19">
                  <c:v>83.5761513386254</c:v>
                </c:pt>
                <c:pt idx="20">
                  <c:v>87.3362228310204</c:v>
                </c:pt>
                <c:pt idx="21">
                  <c:v>91.1631015781353</c:v>
                </c:pt>
                <c:pt idx="22">
                  <c:v>90.9770697733709</c:v>
                </c:pt>
                <c:pt idx="23">
                  <c:v>96.6154736032326</c:v>
                </c:pt>
                <c:pt idx="24">
                  <c:v>100.602351588935</c:v>
                </c:pt>
                <c:pt idx="25">
                  <c:v>104.843799659339</c:v>
                </c:pt>
                <c:pt idx="26">
                  <c:v>109.336843810666</c:v>
                </c:pt>
                <c:pt idx="27">
                  <c:v>114.079386129943</c:v>
                </c:pt>
                <c:pt idx="28">
                  <c:v>119.070070825046</c:v>
                </c:pt>
                <c:pt idx="29">
                  <c:v>124.308178700854</c:v>
                </c:pt>
                <c:pt idx="30">
                  <c:v>129.793543487746</c:v>
                </c:pt>
                <c:pt idx="31">
                  <c:v>135.526485132501</c:v>
                </c:pt>
                <c:pt idx="32">
                  <c:v>141.507756386395</c:v>
                </c:pt>
                <c:pt idx="33">
                  <c:v>147.738499916235</c:v>
                </c:pt>
                <c:pt idx="34">
                  <c:v>154.220213819287</c:v>
                </c:pt>
                <c:pt idx="35">
                  <c:v>160.954723909987</c:v>
                </c:pt>
                <c:pt idx="36">
                  <c:v>167.944161511701</c:v>
                </c:pt>
                <c:pt idx="37">
                  <c:v>175.190945763512</c:v>
                </c:pt>
                <c:pt idx="38">
                  <c:v>182.697769663333</c:v>
                </c:pt>
                <c:pt idx="39">
                  <c:v>190.467589231486</c:v>
                </c:pt>
                <c:pt idx="40">
                  <c:v>198.503615305236</c:v>
                </c:pt>
                <c:pt idx="41">
                  <c:v>206.80930757366</c:v>
                </c:pt>
                <c:pt idx="42">
                  <c:v>215.388370540166</c:v>
                </c:pt>
                <c:pt idx="43">
                  <c:v>224.244751161835</c:v>
                </c:pt>
                <c:pt idx="44">
                  <c:v>233.382637964274</c:v>
                </c:pt>
                <c:pt idx="45">
                  <c:v>242.806461470525</c:v>
                </c:pt>
                <c:pt idx="46">
                  <c:v>245.002884686723</c:v>
                </c:pt>
                <c:pt idx="47">
                  <c:v>239.608841428294</c:v>
                </c:pt>
                <c:pt idx="48">
                  <c:v>234.253511641057</c:v>
                </c:pt>
                <c:pt idx="49">
                  <c:v>228.937778061773</c:v>
                </c:pt>
                <c:pt idx="50">
                  <c:v>223.662589299057</c:v>
                </c:pt>
                <c:pt idx="51">
                  <c:v>218.428964068794</c:v>
                </c:pt>
                <c:pt idx="52">
                  <c:v>213.237995599209</c:v>
                </c:pt>
                <c:pt idx="53">
                  <c:v>208.090856180651</c:v>
                </c:pt>
                <c:pt idx="54">
                  <c:v>202.988801825063</c:v>
                </c:pt>
                <c:pt idx="55">
                  <c:v>197.933176987891</c:v>
                </c:pt>
                <c:pt idx="56">
                  <c:v>192.925419290468</c:v>
                </c:pt>
                <c:pt idx="57">
                  <c:v>187.967064163387</c:v>
                </c:pt>
                <c:pt idx="58">
                  <c:v>183.05974931075</c:v>
                </c:pt>
                <c:pt idx="59">
                  <c:v>178.205218871332</c:v>
                </c:pt>
                <c:pt idx="60">
                  <c:v>173.405327125389</c:v>
                </c:pt>
                <c:pt idx="61">
                  <c:v>168.662041565281</c:v>
                </c:pt>
                <c:pt idx="62">
                  <c:v>163.977445114492</c:v>
                </c:pt>
                <c:pt idx="63">
                  <c:v>159.353737243834</c:v>
                </c:pt>
                <c:pt idx="64">
                  <c:v>154.793233696598</c:v>
                </c:pt>
                <c:pt idx="65">
                  <c:v>150.298364498154</c:v>
                </c:pt>
                <c:pt idx="66">
                  <c:v>145.8716698923</c:v>
                </c:pt>
                <c:pt idx="67">
                  <c:v>141.515793819978</c:v>
                </c:pt>
                <c:pt idx="68">
                  <c:v>137.233474540043</c:v>
                </c:pt>
                <c:pt idx="69">
                  <c:v>133.027531991633</c:v>
                </c:pt>
                <c:pt idx="70">
                  <c:v>128.900851519389</c:v>
                </c:pt>
                <c:pt idx="71">
                  <c:v>124.856363632417</c:v>
                </c:pt>
                <c:pt idx="72">
                  <c:v>120.897019551775</c:v>
                </c:pt>
                <c:pt idx="73">
                  <c:v>117.025762424435</c:v>
                </c:pt>
                <c:pt idx="74">
                  <c:v>113.245494247387</c:v>
                </c:pt>
                <c:pt idx="75">
                  <c:v>109.559038753448</c:v>
                </c:pt>
                <c:pt idx="76">
                  <c:v>105.969100755777</c:v>
                </c:pt>
                <c:pt idx="77">
                  <c:v>102.478222720347</c:v>
                </c:pt>
                <c:pt idx="78">
                  <c:v>99.0887396178598</c:v>
                </c:pt>
                <c:pt idx="79">
                  <c:v>95.8027333757816</c:v>
                </c:pt>
                <c:pt idx="80">
                  <c:v>92.6219884795469</c:v>
                </c:pt>
                <c:pt idx="81">
                  <c:v>89.5479504298906</c:v>
                </c:pt>
                <c:pt idx="82">
                  <c:v>86.5816888228257</c:v>
                </c:pt>
                <c:pt idx="83">
                  <c:v>83.7238667586305</c:v>
                </c:pt>
                <c:pt idx="84">
                  <c:v>80.9747180958199</c:v>
                </c:pt>
                <c:pt idx="85">
                  <c:v>78.3340337493064</c:v>
                </c:pt>
                <c:pt idx="86">
                  <c:v>75.8011578082308</c:v>
                </c:pt>
                <c:pt idx="87">
                  <c:v>73.3749937521658</c:v>
                </c:pt>
                <c:pt idx="88">
                  <c:v>71.0540205187733</c:v>
                </c:pt>
                <c:pt idx="89">
                  <c:v>68.8363176702121</c:v>
                </c:pt>
                <c:pt idx="90">
                  <c:v>66.7195984656253</c:v>
                </c:pt>
                <c:pt idx="91">
                  <c:v>64.7012493098909</c:v>
                </c:pt>
                <c:pt idx="92">
                  <c:v>62.7783738376645</c:v>
                </c:pt>
                <c:pt idx="93">
                  <c:v>60.9478398140069</c:v>
                </c:pt>
                <c:pt idx="94">
                  <c:v>59.2063270807891</c:v>
                </c:pt>
                <c:pt idx="95">
                  <c:v>57.5503749316444</c:v>
                </c:pt>
                <c:pt idx="96">
                  <c:v>55.9764275298037</c:v>
                </c:pt>
                <c:pt idx="97">
                  <c:v>54.4808762618992</c:v>
                </c:pt>
                <c:pt idx="98">
                  <c:v>53.060098217268</c:v>
                </c:pt>
                <c:pt idx="99">
                  <c:v>51.7104902712371</c:v>
                </c:pt>
                <c:pt idx="100">
                  <c:v>50.4284985133659</c:v>
                </c:pt>
              </c:numCache>
            </c:numRef>
          </c:val>
          <c:smooth val="0"/>
        </c:ser>
        <c:ser>
          <c:idx val="1"/>
          <c:order val="3"/>
          <c:tx>
            <c:strRef>
              <c:f>'Calculations - Single'!$BU$3</c:f>
              <c:strCache>
                <c:ptCount val="1"/>
                <c:pt idx="0">
                  <c:v>Transformer Loss</c:v>
                </c:pt>
              </c:strCache>
            </c:strRef>
          </c:tx>
          <c:spPr>
            <a:ln w="38100" cap="rnd" cmpd="sng" algn="ctr">
              <a:solidFill>
                <a:srgbClr val="002060"/>
              </a:solidFill>
              <a:prstDash val="sysDot"/>
              <a:round/>
            </a:ln>
          </c:spPr>
          <c:marker>
            <c:symbol val="none"/>
          </c:marker>
          <c:dLbls>
            <c:delete val="1"/>
          </c:dLbls>
          <c:cat>
            <c:numRef>
              <c:f>{0,0.025,0.05,0.075,0.1,0.125,0.15,0.175,0.2,0.225,0.25,0.275,0.3,0.325,0.35,0.375,0.4,0.425,0.45,0.475,0.5,0.525,0.55,0.575,0.6,0.625,0.65,0.675,0.7,0.725,0.75,0.775,0.8,0.825,0.85,0.875,0.9,0.925,0.95,0.975,1,1.025,1.05,1.075,1.1,1.125,1.15,1.175,1.2,1.225,1.25,1.275,1.3,1.325,1.35,1.375,1.4,1.425,1.45,1.475,1.5,1.525,1.55,1.575,1.6,1.625,1.65,1.675,1.7,1.725,1.75,1.775,1.8,1.825,1.85,1.875,1.9,1.925,1.95,1.975,2,2.025,2.05,2.075,2.1,2.125,2.15,2.175,2.2,2.225,2.25,2.275,2.3,2.325,2.35,2.375,2.4,2.425,2.45,2.475,2.5,2.525,2.55,2.575,2.6,2.625,2.65,2.675,2.7,2.725,2.75,2.775,2.8,2.825,2.85,2.875,2.9,2.925,2.95,2.975,3,3.025,3.05,3.075,3.1,3.125,3.15,3.175,3.2,3.225,3.25,3.275,3.3,3.325,3.35,3.375,3.4,3.425,3.45,3.475,3.5,3.525,3.55,3.575,3.6,3.625,3.65,3.675,3.7,3.725,3.75,3.775,3.8,3.825,3.85,3.875,3.9,3.925,3.95,3.975,4,4.025,4.05,4.075,4.1,4.125,4.15,4.175,4.2,4.225,4.25,4.275,4.3,4.325,4.35,4.375,4.4,4.425,4.45,4.475,4.5,4.525,4.55,4.575,4.6,4.625,4.65,4.675,4.7,4.725,4.75,4.775,4.8,4.825,4.85,4.875,4.9,4.925,4.95,4.975,5}</c:f>
              <c:numCache>
                <c:formatCode>General</c:formatCode>
                <c:ptCount val="201"/>
                <c:pt idx="0">
                  <c:v>0</c:v>
                </c:pt>
                <c:pt idx="1">
                  <c:v>0.025</c:v>
                </c:pt>
                <c:pt idx="2">
                  <c:v>0.05</c:v>
                </c:pt>
                <c:pt idx="3">
                  <c:v>0.075</c:v>
                </c:pt>
                <c:pt idx="4">
                  <c:v>0.1</c:v>
                </c:pt>
                <c:pt idx="5">
                  <c:v>0.125</c:v>
                </c:pt>
                <c:pt idx="6">
                  <c:v>0.15</c:v>
                </c:pt>
                <c:pt idx="7">
                  <c:v>0.175</c:v>
                </c:pt>
                <c:pt idx="8">
                  <c:v>0.2</c:v>
                </c:pt>
                <c:pt idx="9">
                  <c:v>0.225</c:v>
                </c:pt>
                <c:pt idx="10">
                  <c:v>0.25</c:v>
                </c:pt>
                <c:pt idx="11">
                  <c:v>0.275</c:v>
                </c:pt>
                <c:pt idx="12">
                  <c:v>0.3</c:v>
                </c:pt>
                <c:pt idx="13">
                  <c:v>0.325</c:v>
                </c:pt>
                <c:pt idx="14">
                  <c:v>0.35</c:v>
                </c:pt>
                <c:pt idx="15">
                  <c:v>0.375</c:v>
                </c:pt>
                <c:pt idx="16">
                  <c:v>0.4</c:v>
                </c:pt>
                <c:pt idx="17">
                  <c:v>0.425</c:v>
                </c:pt>
                <c:pt idx="18">
                  <c:v>0.45</c:v>
                </c:pt>
                <c:pt idx="19">
                  <c:v>0.475</c:v>
                </c:pt>
                <c:pt idx="20">
                  <c:v>0.5</c:v>
                </c:pt>
                <c:pt idx="21">
                  <c:v>0.525</c:v>
                </c:pt>
                <c:pt idx="22">
                  <c:v>0.55</c:v>
                </c:pt>
                <c:pt idx="23">
                  <c:v>0.575</c:v>
                </c:pt>
                <c:pt idx="24">
                  <c:v>0.6</c:v>
                </c:pt>
                <c:pt idx="25">
                  <c:v>0.625</c:v>
                </c:pt>
                <c:pt idx="26">
                  <c:v>0.65</c:v>
                </c:pt>
                <c:pt idx="27">
                  <c:v>0.675</c:v>
                </c:pt>
                <c:pt idx="28">
                  <c:v>0.7</c:v>
                </c:pt>
                <c:pt idx="29">
                  <c:v>0.725</c:v>
                </c:pt>
                <c:pt idx="30">
                  <c:v>0.75</c:v>
                </c:pt>
                <c:pt idx="31">
                  <c:v>0.775</c:v>
                </c:pt>
                <c:pt idx="32">
                  <c:v>0.8</c:v>
                </c:pt>
                <c:pt idx="33">
                  <c:v>0.825</c:v>
                </c:pt>
                <c:pt idx="34">
                  <c:v>0.85</c:v>
                </c:pt>
                <c:pt idx="35">
                  <c:v>0.875</c:v>
                </c:pt>
                <c:pt idx="36">
                  <c:v>0.9</c:v>
                </c:pt>
                <c:pt idx="37">
                  <c:v>0.925</c:v>
                </c:pt>
                <c:pt idx="38">
                  <c:v>0.95</c:v>
                </c:pt>
                <c:pt idx="39">
                  <c:v>0.975</c:v>
                </c:pt>
                <c:pt idx="40">
                  <c:v>1</c:v>
                </c:pt>
                <c:pt idx="41">
                  <c:v>1.025</c:v>
                </c:pt>
                <c:pt idx="42">
                  <c:v>1.05</c:v>
                </c:pt>
                <c:pt idx="43">
                  <c:v>1.075</c:v>
                </c:pt>
                <c:pt idx="44">
                  <c:v>1.1</c:v>
                </c:pt>
                <c:pt idx="45">
                  <c:v>1.125</c:v>
                </c:pt>
                <c:pt idx="46">
                  <c:v>1.15</c:v>
                </c:pt>
                <c:pt idx="47">
                  <c:v>1.175</c:v>
                </c:pt>
                <c:pt idx="48">
                  <c:v>1.2</c:v>
                </c:pt>
                <c:pt idx="49">
                  <c:v>1.225</c:v>
                </c:pt>
                <c:pt idx="50">
                  <c:v>1.25</c:v>
                </c:pt>
                <c:pt idx="51">
                  <c:v>1.275</c:v>
                </c:pt>
                <c:pt idx="52">
                  <c:v>1.3</c:v>
                </c:pt>
                <c:pt idx="53">
                  <c:v>1.325</c:v>
                </c:pt>
                <c:pt idx="54">
                  <c:v>1.35</c:v>
                </c:pt>
                <c:pt idx="55">
                  <c:v>1.375</c:v>
                </c:pt>
                <c:pt idx="56">
                  <c:v>1.4</c:v>
                </c:pt>
                <c:pt idx="57">
                  <c:v>1.425</c:v>
                </c:pt>
                <c:pt idx="58">
                  <c:v>1.45</c:v>
                </c:pt>
                <c:pt idx="59">
                  <c:v>1.475</c:v>
                </c:pt>
                <c:pt idx="60">
                  <c:v>1.5</c:v>
                </c:pt>
                <c:pt idx="61">
                  <c:v>1.525</c:v>
                </c:pt>
                <c:pt idx="62">
                  <c:v>1.55</c:v>
                </c:pt>
                <c:pt idx="63">
                  <c:v>1.575</c:v>
                </c:pt>
                <c:pt idx="64">
                  <c:v>1.6</c:v>
                </c:pt>
                <c:pt idx="65">
                  <c:v>1.625</c:v>
                </c:pt>
                <c:pt idx="66">
                  <c:v>1.65</c:v>
                </c:pt>
                <c:pt idx="67">
                  <c:v>1.675</c:v>
                </c:pt>
                <c:pt idx="68">
                  <c:v>1.7</c:v>
                </c:pt>
                <c:pt idx="69">
                  <c:v>1.725</c:v>
                </c:pt>
                <c:pt idx="70">
                  <c:v>1.75</c:v>
                </c:pt>
                <c:pt idx="71">
                  <c:v>1.775</c:v>
                </c:pt>
                <c:pt idx="72">
                  <c:v>1.8</c:v>
                </c:pt>
                <c:pt idx="73">
                  <c:v>1.825</c:v>
                </c:pt>
                <c:pt idx="74">
                  <c:v>1.85</c:v>
                </c:pt>
                <c:pt idx="75">
                  <c:v>1.875</c:v>
                </c:pt>
                <c:pt idx="76">
                  <c:v>1.9</c:v>
                </c:pt>
                <c:pt idx="77">
                  <c:v>1.925</c:v>
                </c:pt>
                <c:pt idx="78">
                  <c:v>1.95</c:v>
                </c:pt>
                <c:pt idx="79">
                  <c:v>1.975</c:v>
                </c:pt>
                <c:pt idx="80">
                  <c:v>2</c:v>
                </c:pt>
                <c:pt idx="81">
                  <c:v>2.025</c:v>
                </c:pt>
                <c:pt idx="82">
                  <c:v>2.05</c:v>
                </c:pt>
                <c:pt idx="83">
                  <c:v>2.075</c:v>
                </c:pt>
                <c:pt idx="84">
                  <c:v>2.1</c:v>
                </c:pt>
                <c:pt idx="85">
                  <c:v>2.125</c:v>
                </c:pt>
                <c:pt idx="86">
                  <c:v>2.15</c:v>
                </c:pt>
                <c:pt idx="87">
                  <c:v>2.175</c:v>
                </c:pt>
                <c:pt idx="88">
                  <c:v>2.2</c:v>
                </c:pt>
                <c:pt idx="89">
                  <c:v>2.225</c:v>
                </c:pt>
                <c:pt idx="90">
                  <c:v>2.25</c:v>
                </c:pt>
                <c:pt idx="91">
                  <c:v>2.275</c:v>
                </c:pt>
                <c:pt idx="92">
                  <c:v>2.3</c:v>
                </c:pt>
                <c:pt idx="93">
                  <c:v>2.325</c:v>
                </c:pt>
                <c:pt idx="94">
                  <c:v>2.35</c:v>
                </c:pt>
                <c:pt idx="95">
                  <c:v>2.375</c:v>
                </c:pt>
                <c:pt idx="96">
                  <c:v>2.4</c:v>
                </c:pt>
                <c:pt idx="97">
                  <c:v>2.425</c:v>
                </c:pt>
                <c:pt idx="98">
                  <c:v>2.45</c:v>
                </c:pt>
                <c:pt idx="99">
                  <c:v>2.475</c:v>
                </c:pt>
                <c:pt idx="100">
                  <c:v>2.5</c:v>
                </c:pt>
                <c:pt idx="101">
                  <c:v>2.525</c:v>
                </c:pt>
                <c:pt idx="102">
                  <c:v>2.55</c:v>
                </c:pt>
                <c:pt idx="103">
                  <c:v>2.575</c:v>
                </c:pt>
                <c:pt idx="104">
                  <c:v>2.6</c:v>
                </c:pt>
                <c:pt idx="105">
                  <c:v>2.625</c:v>
                </c:pt>
                <c:pt idx="106">
                  <c:v>2.65</c:v>
                </c:pt>
                <c:pt idx="107">
                  <c:v>2.675</c:v>
                </c:pt>
                <c:pt idx="108">
                  <c:v>2.7</c:v>
                </c:pt>
                <c:pt idx="109">
                  <c:v>2.725</c:v>
                </c:pt>
                <c:pt idx="110">
                  <c:v>2.75</c:v>
                </c:pt>
                <c:pt idx="111">
                  <c:v>2.775</c:v>
                </c:pt>
                <c:pt idx="112">
                  <c:v>2.8</c:v>
                </c:pt>
                <c:pt idx="113">
                  <c:v>2.825</c:v>
                </c:pt>
                <c:pt idx="114">
                  <c:v>2.85</c:v>
                </c:pt>
                <c:pt idx="115">
                  <c:v>2.875</c:v>
                </c:pt>
                <c:pt idx="116">
                  <c:v>2.9</c:v>
                </c:pt>
                <c:pt idx="117">
                  <c:v>2.925</c:v>
                </c:pt>
                <c:pt idx="118">
                  <c:v>2.95</c:v>
                </c:pt>
                <c:pt idx="119">
                  <c:v>2.975</c:v>
                </c:pt>
                <c:pt idx="120">
                  <c:v>3</c:v>
                </c:pt>
                <c:pt idx="121">
                  <c:v>3.025</c:v>
                </c:pt>
                <c:pt idx="122">
                  <c:v>3.05</c:v>
                </c:pt>
                <c:pt idx="123">
                  <c:v>3.075</c:v>
                </c:pt>
                <c:pt idx="124">
                  <c:v>3.1</c:v>
                </c:pt>
                <c:pt idx="125">
                  <c:v>3.125</c:v>
                </c:pt>
                <c:pt idx="126">
                  <c:v>3.15</c:v>
                </c:pt>
                <c:pt idx="127">
                  <c:v>3.175</c:v>
                </c:pt>
                <c:pt idx="128">
                  <c:v>3.2</c:v>
                </c:pt>
                <c:pt idx="129">
                  <c:v>3.225</c:v>
                </c:pt>
                <c:pt idx="130">
                  <c:v>3.25</c:v>
                </c:pt>
                <c:pt idx="131">
                  <c:v>3.275</c:v>
                </c:pt>
                <c:pt idx="132">
                  <c:v>3.3</c:v>
                </c:pt>
                <c:pt idx="133">
                  <c:v>3.325</c:v>
                </c:pt>
                <c:pt idx="134">
                  <c:v>3.35</c:v>
                </c:pt>
                <c:pt idx="135">
                  <c:v>3.375</c:v>
                </c:pt>
                <c:pt idx="136">
                  <c:v>3.4</c:v>
                </c:pt>
                <c:pt idx="137">
                  <c:v>3.425</c:v>
                </c:pt>
                <c:pt idx="138">
                  <c:v>3.45</c:v>
                </c:pt>
                <c:pt idx="139">
                  <c:v>3.475</c:v>
                </c:pt>
                <c:pt idx="140">
                  <c:v>3.5</c:v>
                </c:pt>
                <c:pt idx="141">
                  <c:v>3.525</c:v>
                </c:pt>
                <c:pt idx="142">
                  <c:v>3.55</c:v>
                </c:pt>
                <c:pt idx="143">
                  <c:v>3.575</c:v>
                </c:pt>
                <c:pt idx="144">
                  <c:v>3.6</c:v>
                </c:pt>
                <c:pt idx="145">
                  <c:v>3.625</c:v>
                </c:pt>
                <c:pt idx="146">
                  <c:v>3.65</c:v>
                </c:pt>
                <c:pt idx="147">
                  <c:v>3.675</c:v>
                </c:pt>
                <c:pt idx="148">
                  <c:v>3.7</c:v>
                </c:pt>
                <c:pt idx="149">
                  <c:v>3.725</c:v>
                </c:pt>
                <c:pt idx="150">
                  <c:v>3.75</c:v>
                </c:pt>
                <c:pt idx="151">
                  <c:v>3.775</c:v>
                </c:pt>
                <c:pt idx="152">
                  <c:v>3.8</c:v>
                </c:pt>
                <c:pt idx="153">
                  <c:v>3.825</c:v>
                </c:pt>
                <c:pt idx="154">
                  <c:v>3.85</c:v>
                </c:pt>
                <c:pt idx="155">
                  <c:v>3.875</c:v>
                </c:pt>
                <c:pt idx="156">
                  <c:v>3.9</c:v>
                </c:pt>
                <c:pt idx="157">
                  <c:v>3.925</c:v>
                </c:pt>
                <c:pt idx="158">
                  <c:v>3.95</c:v>
                </c:pt>
                <c:pt idx="159">
                  <c:v>3.975</c:v>
                </c:pt>
                <c:pt idx="160">
                  <c:v>4</c:v>
                </c:pt>
                <c:pt idx="161">
                  <c:v>4.025</c:v>
                </c:pt>
                <c:pt idx="162">
                  <c:v>4.05</c:v>
                </c:pt>
                <c:pt idx="163">
                  <c:v>4.075</c:v>
                </c:pt>
                <c:pt idx="164">
                  <c:v>4.1</c:v>
                </c:pt>
                <c:pt idx="165">
                  <c:v>4.125</c:v>
                </c:pt>
                <c:pt idx="166">
                  <c:v>4.15</c:v>
                </c:pt>
                <c:pt idx="167">
                  <c:v>4.175</c:v>
                </c:pt>
                <c:pt idx="168">
                  <c:v>4.2</c:v>
                </c:pt>
                <c:pt idx="169">
                  <c:v>4.225</c:v>
                </c:pt>
                <c:pt idx="170">
                  <c:v>4.25</c:v>
                </c:pt>
                <c:pt idx="171">
                  <c:v>4.275</c:v>
                </c:pt>
                <c:pt idx="172">
                  <c:v>4.3</c:v>
                </c:pt>
                <c:pt idx="173">
                  <c:v>4.325</c:v>
                </c:pt>
                <c:pt idx="174">
                  <c:v>4.35</c:v>
                </c:pt>
                <c:pt idx="175">
                  <c:v>4.375</c:v>
                </c:pt>
                <c:pt idx="176">
                  <c:v>4.4</c:v>
                </c:pt>
                <c:pt idx="177">
                  <c:v>4.425</c:v>
                </c:pt>
                <c:pt idx="178">
                  <c:v>4.45</c:v>
                </c:pt>
                <c:pt idx="179">
                  <c:v>4.475</c:v>
                </c:pt>
                <c:pt idx="180">
                  <c:v>4.5</c:v>
                </c:pt>
                <c:pt idx="181">
                  <c:v>4.525</c:v>
                </c:pt>
                <c:pt idx="182">
                  <c:v>4.55</c:v>
                </c:pt>
                <c:pt idx="183">
                  <c:v>4.575</c:v>
                </c:pt>
                <c:pt idx="184">
                  <c:v>4.6</c:v>
                </c:pt>
                <c:pt idx="185">
                  <c:v>4.625</c:v>
                </c:pt>
                <c:pt idx="186">
                  <c:v>4.65</c:v>
                </c:pt>
                <c:pt idx="187">
                  <c:v>4.675</c:v>
                </c:pt>
                <c:pt idx="188">
                  <c:v>4.7</c:v>
                </c:pt>
                <c:pt idx="189">
                  <c:v>4.725</c:v>
                </c:pt>
                <c:pt idx="190">
                  <c:v>4.75</c:v>
                </c:pt>
                <c:pt idx="191">
                  <c:v>4.775</c:v>
                </c:pt>
                <c:pt idx="192">
                  <c:v>4.8</c:v>
                </c:pt>
                <c:pt idx="193">
                  <c:v>4.825</c:v>
                </c:pt>
                <c:pt idx="194">
                  <c:v>4.85</c:v>
                </c:pt>
                <c:pt idx="195">
                  <c:v>4.875</c:v>
                </c:pt>
                <c:pt idx="196">
                  <c:v>4.9</c:v>
                </c:pt>
                <c:pt idx="197">
                  <c:v>4.925</c:v>
                </c:pt>
                <c:pt idx="198">
                  <c:v>4.95</c:v>
                </c:pt>
                <c:pt idx="199">
                  <c:v>4.975</c:v>
                </c:pt>
                <c:pt idx="200">
                  <c:v>5</c:v>
                </c:pt>
              </c:numCache>
            </c:numRef>
          </c:cat>
          <c:val>
            <c:numRef>
              <c:f>'Calculations - Single'!$BZ$5:$BZ$105</c:f>
              <c:numCache>
                <c:formatCode>0.0</c:formatCode>
                <c:ptCount val="101"/>
                <c:pt idx="0">
                  <c:v>1.88415360573983</c:v>
                </c:pt>
                <c:pt idx="1">
                  <c:v>2.12905305449141</c:v>
                </c:pt>
                <c:pt idx="2">
                  <c:v>2.41606897480912</c:v>
                </c:pt>
                <c:pt idx="3">
                  <c:v>2.70308490144785</c:v>
                </c:pt>
                <c:pt idx="4">
                  <c:v>3.10448767162835</c:v>
                </c:pt>
                <c:pt idx="5">
                  <c:v>3.97996529778405</c:v>
                </c:pt>
                <c:pt idx="6">
                  <c:v>4.77068111067615</c:v>
                </c:pt>
                <c:pt idx="7">
                  <c:v>5.56013940956288</c:v>
                </c:pt>
                <c:pt idx="8">
                  <c:v>6.34843567964042</c:v>
                </c:pt>
                <c:pt idx="9">
                  <c:v>7.13564672251603</c:v>
                </c:pt>
                <c:pt idx="10">
                  <c:v>7.92183605726499</c:v>
                </c:pt>
                <c:pt idx="11">
                  <c:v>8.70705735800104</c:v>
                </c:pt>
                <c:pt idx="12">
                  <c:v>9.49135676084533</c:v>
                </c:pt>
                <c:pt idx="13">
                  <c:v>10.27477447797</c:v>
                </c:pt>
                <c:pt idx="14">
                  <c:v>11.0573459654685</c:v>
                </c:pt>
                <c:pt idx="15">
                  <c:v>11.8391027921757</c:v>
                </c:pt>
                <c:pt idx="16">
                  <c:v>12.6200733012647</c:v>
                </c:pt>
                <c:pt idx="17">
                  <c:v>13.4002831241585</c:v>
                </c:pt>
                <c:pt idx="18">
                  <c:v>14.1797555866279</c:v>
                </c:pt>
                <c:pt idx="19">
                  <c:v>14.9585120345289</c:v>
                </c:pt>
                <c:pt idx="20">
                  <c:v>15.7365720985398</c:v>
                </c:pt>
                <c:pt idx="21">
                  <c:v>16.5139539118458</c:v>
                </c:pt>
                <c:pt idx="22">
                  <c:v>16.9943908397853</c:v>
                </c:pt>
                <c:pt idx="23">
                  <c:v>18.6639032531461</c:v>
                </c:pt>
                <c:pt idx="24">
                  <c:v>19.9889364409209</c:v>
                </c:pt>
                <c:pt idx="25">
                  <c:v>21.3568616176483</c:v>
                </c:pt>
                <c:pt idx="26">
                  <c:v>22.7676943853431</c:v>
                </c:pt>
                <c:pt idx="27">
                  <c:v>24.2214509878664</c:v>
                </c:pt>
                <c:pt idx="28">
                  <c:v>25.7181483115299</c:v>
                </c:pt>
                <c:pt idx="29">
                  <c:v>27.2578038857261</c:v>
                </c:pt>
                <c:pt idx="30">
                  <c:v>28.8404358835819</c:v>
                </c:pt>
                <c:pt idx="31">
                  <c:v>30.4660631226366</c:v>
                </c:pt>
                <c:pt idx="32">
                  <c:v>32.1347050655428</c:v>
                </c:pt>
                <c:pt idx="33">
                  <c:v>33.8463818207947</c:v>
                </c:pt>
                <c:pt idx="34">
                  <c:v>35.6011141434778</c:v>
                </c:pt>
                <c:pt idx="35">
                  <c:v>37.3989234360441</c:v>
                </c:pt>
                <c:pt idx="36">
                  <c:v>39.2398317491122</c:v>
                </c:pt>
                <c:pt idx="37">
                  <c:v>41.1238617822909</c:v>
                </c:pt>
                <c:pt idx="38">
                  <c:v>43.0510368850284</c:v>
                </c:pt>
                <c:pt idx="39">
                  <c:v>45.0213810574855</c:v>
                </c:pt>
                <c:pt idx="40">
                  <c:v>47.0349189514336</c:v>
                </c:pt>
                <c:pt idx="41">
                  <c:v>49.0916758711777</c:v>
                </c:pt>
                <c:pt idx="42">
                  <c:v>51.191677774504</c:v>
                </c:pt>
                <c:pt idx="43">
                  <c:v>53.3349512736522</c:v>
                </c:pt>
                <c:pt idx="44">
                  <c:v>55.5215236363135</c:v>
                </c:pt>
                <c:pt idx="45">
                  <c:v>57.7514227866526</c:v>
                </c:pt>
                <c:pt idx="46">
                  <c:v>58.7663548076856</c:v>
                </c:pt>
                <c:pt idx="47">
                  <c:v>58.5053737965212</c:v>
                </c:pt>
                <c:pt idx="48">
                  <c:v>58.2454110112295</c:v>
                </c:pt>
                <c:pt idx="49">
                  <c:v>57.9865238240795</c:v>
                </c:pt>
                <c:pt idx="50">
                  <c:v>57.7287734115073</c:v>
                </c:pt>
                <c:pt idx="51">
                  <c:v>57.4722250087413</c:v>
                </c:pt>
                <c:pt idx="52">
                  <c:v>57.2169481757933</c:v>
                </c:pt>
                <c:pt idx="53">
                  <c:v>56.9630170736038</c:v>
                </c:pt>
                <c:pt idx="54">
                  <c:v>56.7105107485787</c:v>
                </c:pt>
                <c:pt idx="55">
                  <c:v>56.4595134230768</c:v>
                </c:pt>
                <c:pt idx="56">
                  <c:v>56.2101147885875</c:v>
                </c:pt>
                <c:pt idx="57">
                  <c:v>55.9624102973578</c:v>
                </c:pt>
                <c:pt idx="58">
                  <c:v>55.7165014470648</c:v>
                </c:pt>
                <c:pt idx="59">
                  <c:v>55.4724960517759</c:v>
                </c:pt>
                <c:pt idx="60">
                  <c:v>55.2305084908823</c:v>
                </c:pt>
                <c:pt idx="61">
                  <c:v>54.9906599259344</c:v>
                </c:pt>
                <c:pt idx="62">
                  <c:v>54.7530784733636</c:v>
                </c:pt>
                <c:pt idx="63">
                  <c:v>54.5178993189787</c:v>
                </c:pt>
                <c:pt idx="64">
                  <c:v>54.2852647579416</c:v>
                </c:pt>
                <c:pt idx="65">
                  <c:v>54.0553241417437</c:v>
                </c:pt>
                <c:pt idx="66">
                  <c:v>53.8282337116592</c:v>
                </c:pt>
                <c:pt idx="67">
                  <c:v>53.6041562964378</c:v>
                </c:pt>
                <c:pt idx="68">
                  <c:v>53.3832608508391</c:v>
                </c:pt>
                <c:pt idx="69">
                  <c:v>53.1657218113032</c:v>
                </c:pt>
                <c:pt idx="70">
                  <c:v>52.9517182459372</c:v>
                </c:pt>
                <c:pt idx="71">
                  <c:v>52.7414327784243</c:v>
                </c:pt>
                <c:pt idx="72">
                  <c:v>52.5350502698109</c:v>
                </c:pt>
                <c:pt idx="73">
                  <c:v>52.3327562487018</c:v>
                </c:pt>
                <c:pt idx="74">
                  <c:v>52.1347350894089</c:v>
                </c:pt>
                <c:pt idx="75">
                  <c:v>51.9411679490806</c:v>
                </c:pt>
                <c:pt idx="76">
                  <c:v>51.7522304885621</c:v>
                </c:pt>
                <c:pt idx="77">
                  <c:v>51.5680904171564</c:v>
                </c:pt>
                <c:pt idx="78">
                  <c:v>51.3889049176509</c:v>
                </c:pt>
                <c:pt idx="79">
                  <c:v>51.2148180236904</c:v>
                </c:pt>
                <c:pt idx="80">
                  <c:v>51.045958035253</c:v>
                </c:pt>
                <c:pt idx="81">
                  <c:v>50.8824350679345</c:v>
                </c:pt>
                <c:pt idx="82">
                  <c:v>50.7243388363504</c:v>
                </c:pt>
                <c:pt idx="83">
                  <c:v>50.5717367699369</c:v>
                </c:pt>
                <c:pt idx="84">
                  <c:v>50.424672550072</c:v>
                </c:pt>
                <c:pt idx="85">
                  <c:v>50.283165140841</c:v>
                </c:pt>
                <c:pt idx="86">
                  <c:v>50.1472083629017</c:v>
                </c:pt>
                <c:pt idx="87">
                  <c:v>50.0167710325772</c:v>
                </c:pt>
                <c:pt idx="88">
                  <c:v>49.89179765893</c:v>
                </c:pt>
                <c:pt idx="89">
                  <c:v>49.7722096628682</c:v>
                </c:pt>
                <c:pt idx="90">
                  <c:v>49.6579070569259</c:v>
                </c:pt>
                <c:pt idx="91">
                  <c:v>49.5487705043886</c:v>
                </c:pt>
                <c:pt idx="92">
                  <c:v>49.4446636633212</c:v>
                </c:pt>
                <c:pt idx="93">
                  <c:v>49.3454357153314</c:v>
                </c:pt>
                <c:pt idx="94">
                  <c:v>49.2509239802595</c:v>
                </c:pt>
                <c:pt idx="95">
                  <c:v>49.1609565253931</c:v>
                </c:pt>
                <c:pt idx="96">
                  <c:v>49.0753546897982</c:v>
                </c:pt>
                <c:pt idx="97">
                  <c:v>48.9939354592418</c:v>
                </c:pt>
                <c:pt idx="98">
                  <c:v>48.9165136433066</c:v>
                </c:pt>
                <c:pt idx="99">
                  <c:v>48.8429038222566</c:v>
                </c:pt>
                <c:pt idx="100">
                  <c:v>48.7729220458852</c:v>
                </c:pt>
              </c:numCache>
            </c:numRef>
          </c:val>
          <c:smooth val="0"/>
        </c:ser>
        <c:dLbls>
          <c:showLegendKey val="0"/>
          <c:showVal val="0"/>
          <c:showCatName val="0"/>
          <c:showSerName val="0"/>
          <c:showPercent val="0"/>
          <c:showBubbleSize val="0"/>
        </c:dLbls>
        <c:marker val="0"/>
        <c:smooth val="0"/>
        <c:axId val="167717888"/>
        <c:axId val="167715968"/>
      </c:lineChart>
      <c:catAx>
        <c:axId val="167707776"/>
        <c:scaling>
          <c:orientation val="minMax"/>
        </c:scaling>
        <c:delete val="0"/>
        <c:axPos val="b"/>
        <c:majorGridlines>
          <c:spPr>
            <a:ln w="15875" cap="flat" cmpd="sng" algn="ctr">
              <a:solidFill>
                <a:srgbClr val="969696"/>
              </a:solidFill>
              <a:prstDash val="sysDash"/>
              <a:round/>
            </a:ln>
          </c:spPr>
        </c:majorGridlines>
        <c:minorGridlines/>
        <c:title>
          <c:tx>
            <c:rich>
              <a:bodyPr rot="0" spcFirstLastPara="0" vertOverflow="ellipsis" vert="horz" wrap="square" anchor="ctr" anchorCtr="1"/>
              <a:lstStyle/>
              <a:p>
                <a:pPr>
                  <a:defRPr lang="zh-CN" sz="1200" b="1" i="0" u="none" strike="noStrike" kern="1200" baseline="0">
                    <a:solidFill>
                      <a:srgbClr val="0000FF"/>
                    </a:solidFill>
                    <a:latin typeface="Arial" panose="020B0604020202020204" pitchFamily="7" charset="0"/>
                    <a:ea typeface="Calibri" panose="020F0502020204030204"/>
                    <a:cs typeface="Arial" panose="020B0604020202020204" pitchFamily="7" charset="0"/>
                  </a:defRPr>
                </a:pPr>
                <a:r>
                  <a:rPr lang="en-US" sz="1200">
                    <a:solidFill>
                      <a:srgbClr val="0000FF"/>
                    </a:solidFill>
                    <a:latin typeface="Arial" panose="020B0604020202020204" pitchFamily="7" charset="0"/>
                    <a:cs typeface="Arial" panose="020B0604020202020204" pitchFamily="7" charset="0"/>
                  </a:rPr>
                  <a:t>Load Current (mA)</a:t>
                </a:r>
                <a:endParaRPr lang="en-US" sz="1200">
                  <a:solidFill>
                    <a:srgbClr val="0000FF"/>
                  </a:solidFill>
                  <a:latin typeface="Arial" panose="020B0604020202020204" pitchFamily="7" charset="0"/>
                  <a:cs typeface="Arial" panose="020B0604020202020204" pitchFamily="7" charset="0"/>
                </a:endParaRPr>
              </a:p>
            </c:rich>
          </c:tx>
          <c:layout>
            <c:manualLayout>
              <c:xMode val="edge"/>
              <c:yMode val="edge"/>
              <c:x val="0.424710113963945"/>
              <c:y val="0.938537716369556"/>
            </c:manualLayout>
          </c:layout>
          <c:overlay val="0"/>
          <c:spPr>
            <a:noFill/>
            <a:ln w="25400">
              <a:noFill/>
            </a:ln>
          </c:spPr>
        </c:title>
        <c:numFmt formatCode="0" sourceLinked="1"/>
        <c:majorTickMark val="in"/>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rgbClr val="0000FF"/>
                </a:solidFill>
                <a:latin typeface="Arial" panose="020B0604020202020204" pitchFamily="7" charset="0"/>
                <a:ea typeface="Calibri" panose="020F0502020204030204"/>
                <a:cs typeface="Arial" panose="020B0604020202020204" pitchFamily="7" charset="0"/>
              </a:defRPr>
            </a:pPr>
          </a:p>
        </c:txPr>
        <c:crossAx val="167709696"/>
        <c:crosses val="autoZero"/>
        <c:auto val="1"/>
        <c:lblAlgn val="ctr"/>
        <c:lblOffset val="100"/>
        <c:tickLblSkip val="20"/>
        <c:tickMarkSkip val="20"/>
        <c:noMultiLvlLbl val="0"/>
      </c:catAx>
      <c:valAx>
        <c:axId val="167709696"/>
        <c:scaling>
          <c:orientation val="minMax"/>
          <c:max val="100"/>
          <c:min val="55"/>
        </c:scaling>
        <c:delete val="0"/>
        <c:axPos val="l"/>
        <c:majorGridlines>
          <c:spPr>
            <a:ln w="15875" cap="flat" cmpd="sng" algn="ctr">
              <a:solidFill>
                <a:srgbClr val="808080"/>
              </a:solidFill>
              <a:prstDash val="solid"/>
              <a:round/>
            </a:ln>
          </c:spPr>
        </c:majorGridlines>
        <c:title>
          <c:tx>
            <c:rich>
              <a:bodyPr rot="-5400000" spcFirstLastPara="0" vertOverflow="ellipsis" vert="horz" wrap="square" anchor="ctr" anchorCtr="1"/>
              <a:lstStyle/>
              <a:p>
                <a:pPr>
                  <a:defRPr lang="zh-CN" sz="1400" b="1" i="0" u="none" strike="noStrike" kern="1200" baseline="0">
                    <a:solidFill>
                      <a:srgbClr val="FF0000"/>
                    </a:solidFill>
                    <a:latin typeface="Arial" panose="020B0604020202020204" pitchFamily="7" charset="0"/>
                    <a:ea typeface="Calibri" panose="020F0502020204030204"/>
                    <a:cs typeface="Arial" panose="020B0604020202020204" pitchFamily="7" charset="0"/>
                  </a:defRPr>
                </a:pPr>
                <a:r>
                  <a:rPr lang="en-US" sz="1200" b="1">
                    <a:solidFill>
                      <a:srgbClr val="FF0000"/>
                    </a:solidFill>
                    <a:latin typeface="Arial" panose="020B0604020202020204" pitchFamily="7" charset="0"/>
                    <a:cs typeface="Arial" panose="020B0604020202020204" pitchFamily="7" charset="0"/>
                  </a:rPr>
                  <a:t>Efficiency  (%)</a:t>
                </a:r>
                <a:endParaRPr lang="en-US" sz="1200" b="1">
                  <a:solidFill>
                    <a:srgbClr val="FF0000"/>
                  </a:solidFill>
                  <a:latin typeface="Arial" panose="020B0604020202020204" pitchFamily="7" charset="0"/>
                  <a:cs typeface="Arial" panose="020B0604020202020204" pitchFamily="7" charset="0"/>
                </a:endParaRPr>
              </a:p>
            </c:rich>
          </c:tx>
          <c:layout>
            <c:manualLayout>
              <c:xMode val="edge"/>
              <c:yMode val="edge"/>
              <c:x val="0.0128718586740814"/>
              <c:y val="0.376381779156883"/>
            </c:manualLayout>
          </c:layout>
          <c:overlay val="0"/>
          <c:spPr>
            <a:noFill/>
            <a:ln w="25400">
              <a:noFill/>
            </a:ln>
          </c:spPr>
        </c:title>
        <c:numFmt formatCode="General" sourceLinked="0"/>
        <c:majorTickMark val="in"/>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rgbClr val="FF0000"/>
                </a:solidFill>
                <a:latin typeface="Arial" panose="020B0604020202020204" pitchFamily="7" charset="0"/>
                <a:ea typeface="Calibri" panose="020F0502020204030204"/>
                <a:cs typeface="Arial" panose="020B0604020202020204" pitchFamily="7" charset="0"/>
              </a:defRPr>
            </a:pPr>
          </a:p>
        </c:txPr>
        <c:crossAx val="167707776"/>
        <c:crossesAt val="0"/>
        <c:crossBetween val="between"/>
        <c:majorUnit val="5"/>
        <c:minorUnit val="2.5"/>
      </c:valAx>
      <c:catAx>
        <c:axId val="167717888"/>
        <c:scaling>
          <c:orientation val="minMax"/>
        </c:scaling>
        <c:delete val="1"/>
        <c:axPos val="b"/>
        <c:numFmt formatCode="General" sourceLinked="1"/>
        <c:majorTickMark val="out"/>
        <c:minorTickMark val="none"/>
        <c:tickLblPos val="nextTo"/>
        <c:txPr>
          <a:bodyPr rot="-60000000" spcFirstLastPara="0" vertOverflow="ellipsis" vert="horz" wrap="square" anchor="ctr" anchorCtr="1"/>
          <a:lstStyle/>
          <a:p>
            <a:pPr>
              <a:defRPr lang="zh-CN" sz="850" b="0" i="0" u="none" strike="noStrike" kern="1200" baseline="0">
                <a:solidFill>
                  <a:srgbClr val="000000"/>
                </a:solidFill>
                <a:latin typeface="Arial" panose="020B0604020202020204"/>
                <a:ea typeface="Arial" panose="020B0604020202020204"/>
                <a:cs typeface="Arial" panose="020B0604020202020204"/>
              </a:defRPr>
            </a:pPr>
          </a:p>
        </c:txPr>
        <c:crossAx val="167715968"/>
        <c:crosses val="autoZero"/>
        <c:auto val="1"/>
        <c:lblAlgn val="ctr"/>
        <c:lblOffset val="100"/>
        <c:noMultiLvlLbl val="0"/>
      </c:catAx>
      <c:valAx>
        <c:axId val="167715968"/>
        <c:scaling>
          <c:orientation val="minMax"/>
        </c:scaling>
        <c:delete val="0"/>
        <c:axPos val="r"/>
        <c:title>
          <c:tx>
            <c:rich>
              <a:bodyPr rot="-5400000" spcFirstLastPara="0" vertOverflow="ellipsis" vert="horz" wrap="square" anchor="ctr" anchorCtr="1"/>
              <a:lstStyle/>
              <a:p>
                <a:pPr>
                  <a:defRPr lang="zh-CN" sz="1200" b="1" i="0" u="none" strike="noStrike" kern="1200" baseline="0">
                    <a:solidFill>
                      <a:srgbClr val="000000"/>
                    </a:solidFill>
                    <a:latin typeface="Arial" panose="020B0604020202020204"/>
                    <a:ea typeface="Arial" panose="020B0604020202020204"/>
                    <a:cs typeface="Arial" panose="020B0604020202020204"/>
                  </a:defRPr>
                </a:pPr>
                <a:r>
                  <a:rPr lang="en-US" sz="1200" b="1"/>
                  <a:t>Power Loss (mW)</a:t>
                </a:r>
                <a:endParaRPr lang="en-US" sz="1200" b="1"/>
              </a:p>
            </c:rich>
          </c:tx>
          <c:layout>
            <c:manualLayout>
              <c:xMode val="edge"/>
              <c:yMode val="edge"/>
              <c:x val="0.951684743056013"/>
              <c:y val="0.381177140453683"/>
            </c:manualLayout>
          </c:layout>
          <c:overlay val="0"/>
        </c:title>
        <c:numFmt formatCode="General" sourceLinked="0"/>
        <c:majorTickMark val="out"/>
        <c:minorTickMark val="none"/>
        <c:tickLblPos val="nextTo"/>
        <c:txPr>
          <a:bodyPr rot="-60000000" spcFirstLastPara="0" vertOverflow="ellipsis" vert="horz" wrap="square" anchor="ctr" anchorCtr="1"/>
          <a:lstStyle/>
          <a:p>
            <a:pPr>
              <a:defRPr lang="zh-CN" sz="1100" b="1" i="0" u="none" strike="noStrike" kern="1200" baseline="0">
                <a:solidFill>
                  <a:sysClr val="windowText" lastClr="000000"/>
                </a:solidFill>
                <a:latin typeface="Arial" panose="020B0604020202020204"/>
                <a:ea typeface="Arial" panose="020B0604020202020204"/>
                <a:cs typeface="Arial" panose="020B0604020202020204"/>
              </a:defRPr>
            </a:pPr>
          </a:p>
        </c:txPr>
        <c:crossAx val="167717888"/>
        <c:crosses val="max"/>
        <c:crossBetween val="between"/>
      </c:valAx>
      <c:spPr>
        <a:noFill/>
        <a:ln w="25400">
          <a:noFill/>
        </a:ln>
      </c:spPr>
    </c:plotArea>
    <c:legend>
      <c:legendPos val="t"/>
      <c:layout>
        <c:manualLayout>
          <c:xMode val="edge"/>
          <c:yMode val="edge"/>
          <c:x val="0.401025575662313"/>
          <c:y val="0.0118926330381677"/>
          <c:w val="0.505509626192673"/>
          <c:h val="0.0897950493206176"/>
        </c:manualLayout>
      </c:layout>
      <c:overlay val="0"/>
      <c:spPr>
        <a:solidFill>
          <a:srgbClr val="FFFFFF"/>
        </a:solidFill>
        <a:ln w="25400">
          <a:noFill/>
        </a:ln>
      </c:spPr>
      <c:txPr>
        <a:bodyPr rot="0" spcFirstLastPara="0" vertOverflow="ellipsis" vert="horz" wrap="square" anchor="ctr" anchorCtr="1"/>
        <a:lstStyle/>
        <a:p>
          <a:pPr>
            <a:defRPr lang="zh-CN" sz="1100" b="0"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d3610427-a558-470e-9aa4-cb4d65a90606}"/>
      </c:ext>
    </c:extLst>
  </c:chart>
  <c:spPr>
    <a:solidFill>
      <a:srgbClr val="FFFFFF"/>
    </a:solidFill>
    <a:ln w="9525" cap="flat" cmpd="sng" algn="ctr">
      <a:solidFill>
        <a:srgbClr val="808080"/>
      </a:solid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2"/>
          <c:y val="0.0398925897210791"/>
          <c:w val="0.837425533166869"/>
          <c:h val="0.837340804683574"/>
        </c:manualLayout>
      </c:layout>
      <c:lineChart>
        <c:grouping val="standard"/>
        <c:varyColors val="0"/>
        <c:ser>
          <c:idx val="1"/>
          <c:order val="0"/>
          <c:tx>
            <c:strRef>
              <c:f>"VIN = 18V"</c:f>
              <c:strCache>
                <c:ptCount val="1"/>
                <c:pt idx="0">
                  <c:v>VIN = 18V</c:v>
                </c:pt>
              </c:strCache>
            </c:strRef>
          </c:tx>
          <c:spPr>
            <a:ln w="28575" cap="rnd" cmpd="sng" algn="ctr">
              <a:solidFill>
                <a:srgbClr val="00B050"/>
              </a:solidFill>
              <a:prstDash val="sysDash"/>
              <a:round/>
            </a:ln>
          </c:spPr>
          <c:marker>
            <c:symbol val="none"/>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Single'!$AN$110:$AN$210</c:f>
              <c:numCache>
                <c:formatCode>0.0</c:formatCode>
                <c:ptCount val="101"/>
                <c:pt idx="0">
                  <c:v>12</c:v>
                </c:pt>
                <c:pt idx="1">
                  <c:v>81.7777777777778</c:v>
                </c:pt>
                <c:pt idx="2">
                  <c:v>163.555555555556</c:v>
                </c:pt>
                <c:pt idx="3">
                  <c:v>245.333333333333</c:v>
                </c:pt>
                <c:pt idx="4">
                  <c:v>327.111111111111</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337.361228736252</c:v>
                </c:pt>
                <c:pt idx="19">
                  <c:v>319.605374592239</c:v>
                </c:pt>
                <c:pt idx="20">
                  <c:v>303.625105862627</c:v>
                </c:pt>
                <c:pt idx="21">
                  <c:v>289.166767488216</c:v>
                </c:pt>
                <c:pt idx="22">
                  <c:v>276.022823511479</c:v>
                </c:pt>
                <c:pt idx="23">
                  <c:v>264.021831184893</c:v>
                </c:pt>
                <c:pt idx="24">
                  <c:v>253.020921552189</c:v>
                </c:pt>
                <c:pt idx="25">
                  <c:v>242.900084690101</c:v>
                </c:pt>
                <c:pt idx="26">
                  <c:v>233.557773740482</c:v>
                </c:pt>
                <c:pt idx="27">
                  <c:v>224.907485824168</c:v>
                </c:pt>
                <c:pt idx="28">
                  <c:v>216.875075616162</c:v>
                </c:pt>
                <c:pt idx="29">
                  <c:v>209.396624732846</c:v>
                </c:pt>
                <c:pt idx="30">
                  <c:v>202.416737241751</c:v>
                </c:pt>
                <c:pt idx="31">
                  <c:v>195.887165072662</c:v>
                </c:pt>
                <c:pt idx="32">
                  <c:v>189.765691164142</c:v>
                </c:pt>
                <c:pt idx="33">
                  <c:v>184.015215674319</c:v>
                </c:pt>
                <c:pt idx="34">
                  <c:v>178.603003448604</c:v>
                </c:pt>
                <c:pt idx="35">
                  <c:v>173.50006049293</c:v>
                </c:pt>
                <c:pt idx="36">
                  <c:v>168.680614368126</c:v>
                </c:pt>
                <c:pt idx="37">
                  <c:v>164.121678844663</c:v>
                </c:pt>
                <c:pt idx="38">
                  <c:v>159.802687296119</c:v>
                </c:pt>
                <c:pt idx="39">
                  <c:v>155.705182493655</c:v>
                </c:pt>
                <c:pt idx="40">
                  <c:v>151.812552931313</c:v>
                </c:pt>
                <c:pt idx="41">
                  <c:v>148.109807737867</c:v>
                </c:pt>
                <c:pt idx="42">
                  <c:v>145.066135050434</c:v>
                </c:pt>
                <c:pt idx="43">
                  <c:v>142.292619004003</c:v>
                </c:pt>
                <c:pt idx="44">
                  <c:v>139.529235029606</c:v>
                </c:pt>
                <c:pt idx="45">
                  <c:v>136.77650900792</c:v>
                </c:pt>
                <c:pt idx="46">
                  <c:v>134.034998854272</c:v>
                </c:pt>
                <c:pt idx="47">
                  <c:v>131.305296481979</c:v>
                </c:pt>
                <c:pt idx="48">
                  <c:v>128.588029844979</c:v>
                </c:pt>
                <c:pt idx="49">
                  <c:v>125.883865051641</c:v>
                </c:pt>
                <c:pt idx="50">
                  <c:v>123.193508538308</c:v>
                </c:pt>
                <c:pt idx="51">
                  <c:v>120.517709287127</c:v>
                </c:pt>
                <c:pt idx="52">
                  <c:v>117.857261067909</c:v>
                </c:pt>
                <c:pt idx="53">
                  <c:v>115.213004678112</c:v>
                </c:pt>
                <c:pt idx="54">
                  <c:v>112.58583014839</c:v>
                </c:pt>
                <c:pt idx="55">
                  <c:v>109.976678873485</c:v>
                </c:pt>
                <c:pt idx="56">
                  <c:v>107.386545619428</c:v>
                </c:pt>
                <c:pt idx="57">
                  <c:v>104.816480348172</c:v>
                </c:pt>
                <c:pt idx="58">
                  <c:v>102.267589789729</c:v>
                </c:pt>
                <c:pt idx="59">
                  <c:v>99.7410386799792</c:v>
                </c:pt>
                <c:pt idx="60">
                  <c:v>97.2380505695766</c:v>
                </c:pt>
                <c:pt idx="61">
                  <c:v>94.7599080962416</c:v>
                </c:pt>
                <c:pt idx="62">
                  <c:v>92.3079525997112</c:v>
                </c:pt>
                <c:pt idx="63">
                  <c:v>89.8835829463691</c:v>
                </c:pt>
                <c:pt idx="64">
                  <c:v>87.4882534201017</c:v>
                </c:pt>
                <c:pt idx="65">
                  <c:v>85.1234705283589</c:v>
                </c:pt>
                <c:pt idx="66">
                  <c:v>82.7907885692053</c:v>
                </c:pt>
                <c:pt idx="67">
                  <c:v>80.4918038079645</c:v>
                </c:pt>
                <c:pt idx="68">
                  <c:v>78.2281471227336</c:v>
                </c:pt>
                <c:pt idx="69">
                  <c:v>76.0014749984314</c:v>
                </c:pt>
                <c:pt idx="70">
                  <c:v>73.8134587809182</c:v>
                </c:pt>
                <c:pt idx="71">
                  <c:v>71.6657721474867</c:v>
                </c:pt>
                <c:pt idx="72">
                  <c:v>69.5600768084559</c:v>
                </c:pt>
                <c:pt idx="73">
                  <c:v>67.4980065265124</c:v>
                </c:pt>
                <c:pt idx="74">
                  <c:v>65.4811496243713</c:v>
                </c:pt>
                <c:pt idx="75">
                  <c:v>63.5110302442335</c:v>
                </c:pt>
                <c:pt idx="76">
                  <c:v>61.589088719652</c:v>
                </c:pt>
                <c:pt idx="77">
                  <c:v>59.7166615153661</c:v>
                </c:pt>
                <c:pt idx="78">
                  <c:v>57.8949612756164</c:v>
                </c:pt>
                <c:pt idx="79">
                  <c:v>56.1250575878335</c:v>
                </c:pt>
                <c:pt idx="80">
                  <c:v>54.4078591079233</c:v>
                </c:pt>
                <c:pt idx="81">
                  <c:v>52.7440976983454</c:v>
                </c:pt>
                <c:pt idx="82">
                  <c:v>51.1343151958368</c:v>
                </c:pt>
                <c:pt idx="83">
                  <c:v>49.5788533503368</c:v>
                </c:pt>
                <c:pt idx="84">
                  <c:v>48.0778473628083</c:v>
                </c:pt>
                <c:pt idx="85">
                  <c:v>46.6312233037641</c:v>
                </c:pt>
                <c:pt idx="86">
                  <c:v>45.2386995266019</c:v>
                </c:pt>
                <c:pt idx="87">
                  <c:v>43.8997920131711</c:v>
                </c:pt>
                <c:pt idx="88">
                  <c:v>42.6138234172403</c:v>
                </c:pt>
                <c:pt idx="89">
                  <c:v>41.3799354180532</c:v>
                </c:pt>
                <c:pt idx="90">
                  <c:v>40.1971038720364</c:v>
                </c:pt>
                <c:pt idx="91">
                  <c:v>39.0641561636873</c:v>
                </c:pt>
                <c:pt idx="92">
                  <c:v>37.9797901102965</c:v>
                </c:pt>
                <c:pt idx="93">
                  <c:v>36.9425937689902</c:v>
                </c:pt>
                <c:pt idx="94">
                  <c:v>35.9510655244929</c:v>
                </c:pt>
                <c:pt idx="95">
                  <c:v>35.0036338953085</c:v>
                </c:pt>
                <c:pt idx="96">
                  <c:v>34.0986765764219</c:v>
                </c:pt>
                <c:pt idx="97">
                  <c:v>33.2345383294979</c:v>
                </c:pt>
                <c:pt idx="98">
                  <c:v>32.4095474287799</c:v>
                </c:pt>
                <c:pt idx="99">
                  <c:v>31.622030465611</c:v>
                </c:pt>
                <c:pt idx="100">
                  <c:v>30.8703254014481</c:v>
                </c:pt>
              </c:numCache>
            </c:numRef>
          </c:val>
          <c:smooth val="0"/>
        </c:ser>
        <c:ser>
          <c:idx val="0"/>
          <c:order val="1"/>
          <c:tx>
            <c:strRef>
              <c:f>"VIN = 24V"</c:f>
              <c:strCache>
                <c:ptCount val="1"/>
                <c:pt idx="0">
                  <c:v>VIN = 24V</c:v>
                </c:pt>
              </c:strCache>
            </c:strRef>
          </c:tx>
          <c:spPr>
            <a:ln w="28575" cap="rnd" cmpd="sng" algn="ctr">
              <a:solidFill>
                <a:srgbClr val="0000FF"/>
              </a:solidFill>
              <a:prstDash val="lgDash"/>
              <a:round/>
            </a:ln>
          </c:spPr>
          <c:marker>
            <c:symbol val="none"/>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Single'!$AN$5:$AN$105</c:f>
              <c:numCache>
                <c:formatCode>0.0</c:formatCode>
                <c:ptCount val="101"/>
                <c:pt idx="0">
                  <c:v>12</c:v>
                </c:pt>
                <c:pt idx="1">
                  <c:v>81.7777777777778</c:v>
                </c:pt>
                <c:pt idx="2">
                  <c:v>163.555555555556</c:v>
                </c:pt>
                <c:pt idx="3">
                  <c:v>245.333333333333</c:v>
                </c:pt>
                <c:pt idx="4">
                  <c:v>327.111111111111</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334.670448613758</c:v>
                </c:pt>
                <c:pt idx="23">
                  <c:v>320.119559543594</c:v>
                </c:pt>
                <c:pt idx="24">
                  <c:v>306.781244562611</c:v>
                </c:pt>
                <c:pt idx="25">
                  <c:v>294.509994780107</c:v>
                </c:pt>
                <c:pt idx="26">
                  <c:v>283.182687288564</c:v>
                </c:pt>
                <c:pt idx="27">
                  <c:v>272.69443961121</c:v>
                </c:pt>
                <c:pt idx="28">
                  <c:v>262.955352482238</c:v>
                </c:pt>
                <c:pt idx="29">
                  <c:v>253.887926534575</c:v>
                </c:pt>
                <c:pt idx="30">
                  <c:v>245.424995650089</c:v>
                </c:pt>
                <c:pt idx="31">
                  <c:v>237.508060306537</c:v>
                </c:pt>
                <c:pt idx="32">
                  <c:v>230.085933421958</c:v>
                </c:pt>
                <c:pt idx="33">
                  <c:v>223.113632409171</c:v>
                </c:pt>
                <c:pt idx="34">
                  <c:v>216.551466750078</c:v>
                </c:pt>
                <c:pt idx="35">
                  <c:v>210.36428198579</c:v>
                </c:pt>
                <c:pt idx="36">
                  <c:v>204.520829708407</c:v>
                </c:pt>
                <c:pt idx="37">
                  <c:v>198.993239716288</c:v>
                </c:pt>
                <c:pt idx="38">
                  <c:v>193.756575513228</c:v>
                </c:pt>
                <c:pt idx="39">
                  <c:v>188.788458192376</c:v>
                </c:pt>
                <c:pt idx="40">
                  <c:v>184.068746737567</c:v>
                </c:pt>
                <c:pt idx="41">
                  <c:v>179.579265109821</c:v>
                </c:pt>
                <c:pt idx="42">
                  <c:v>175.303568321492</c:v>
                </c:pt>
                <c:pt idx="43">
                  <c:v>171.226741151225</c:v>
                </c:pt>
                <c:pt idx="44">
                  <c:v>167.335224306879</c:v>
                </c:pt>
                <c:pt idx="45">
                  <c:v>163.616663766726</c:v>
                </c:pt>
                <c:pt idx="46">
                  <c:v>160.153769874493</c:v>
                </c:pt>
                <c:pt idx="47">
                  <c:v>156.835826408568</c:v>
                </c:pt>
                <c:pt idx="48">
                  <c:v>153.530825936459</c:v>
                </c:pt>
                <c:pt idx="49">
                  <c:v>150.239497877419</c:v>
                </c:pt>
                <c:pt idx="50">
                  <c:v>146.962620016233</c:v>
                </c:pt>
                <c:pt idx="51">
                  <c:v>143.701021740504</c:v>
                </c:pt>
                <c:pt idx="52">
                  <c:v>140.455587422432</c:v>
                </c:pt>
                <c:pt idx="53">
                  <c:v>137.227259929708</c:v>
                </c:pt>
                <c:pt idx="54">
                  <c:v>134.017044243099</c:v>
                </c:pt>
                <c:pt idx="55">
                  <c:v>130.826011149686</c:v>
                </c:pt>
                <c:pt idx="56">
                  <c:v>127.655300970322</c:v>
                </c:pt>
                <c:pt idx="57">
                  <c:v>124.506127267385</c:v>
                </c:pt>
                <c:pt idx="58">
                  <c:v>121.379780464109</c:v>
                </c:pt>
                <c:pt idx="59">
                  <c:v>118.277631289599</c:v>
                </c:pt>
                <c:pt idx="60">
                  <c:v>115.201133943817</c:v>
                </c:pt>
                <c:pt idx="61">
                  <c:v>112.151828854484</c:v>
                </c:pt>
                <c:pt idx="62">
                  <c:v>109.131344873147</c:v>
                </c:pt>
                <c:pt idx="63">
                  <c:v>106.141400730993</c:v>
                </c:pt>
                <c:pt idx="64">
                  <c:v>103.183805547249</c:v>
                </c:pt>
                <c:pt idx="65">
                  <c:v>100.260458155202</c:v>
                </c:pt>
                <c:pt idx="66">
                  <c:v>97.373344984947</c:v>
                </c:pt>
                <c:pt idx="67">
                  <c:v>94.5245362201117</c:v>
                </c:pt>
                <c:pt idx="68">
                  <c:v>91.7161799310827</c:v>
                </c:pt>
                <c:pt idx="69">
                  <c:v>88.950493883371</c:v>
                </c:pt>
                <c:pt idx="70">
                  <c:v>86.2297547309475</c:v>
                </c:pt>
                <c:pt idx="71">
                  <c:v>83.5562843352931</c:v>
                </c:pt>
                <c:pt idx="72">
                  <c:v>80.9324330061623</c:v>
                </c:pt>
                <c:pt idx="73">
                  <c:v>78.3605595436574</c:v>
                </c:pt>
                <c:pt idx="74">
                  <c:v>75.8430080758229</c:v>
                </c:pt>
                <c:pt idx="75">
                  <c:v>73.3820818319491</c:v>
                </c:pt>
                <c:pt idx="76">
                  <c:v>70.9800141662541</c:v>
                </c:pt>
                <c:pt idx="77">
                  <c:v>68.638937342624</c:v>
                </c:pt>
                <c:pt idx="78">
                  <c:v>66.3608497970291</c:v>
                </c:pt>
                <c:pt idx="79">
                  <c:v>64.1475827940186</c:v>
                </c:pt>
                <c:pt idx="80">
                  <c:v>62.0007675675753</c:v>
                </c:pt>
                <c:pt idx="81">
                  <c:v>59.9218041631016</c:v>
                </c:pt>
                <c:pt idx="82">
                  <c:v>57.911833255847</c:v>
                </c:pt>
                <c:pt idx="83">
                  <c:v>55.9717121952994</c:v>
                </c:pt>
                <c:pt idx="84">
                  <c:v>54.1019964060761</c:v>
                </c:pt>
                <c:pt idx="85">
                  <c:v>52.3029270648237</c:v>
                </c:pt>
                <c:pt idx="86">
                  <c:v>50.5744256819207</c:v>
                </c:pt>
                <c:pt idx="87">
                  <c:v>48.9160958693191</c:v>
                </c:pt>
                <c:pt idx="88">
                  <c:v>47.3272322024056</c:v>
                </c:pt>
                <c:pt idx="89">
                  <c:v>45.8068357188712</c:v>
                </c:pt>
                <c:pt idx="90">
                  <c:v>44.3536352744987</c:v>
                </c:pt>
                <c:pt idx="91">
                  <c:v>42.9661137218944</c:v>
                </c:pt>
                <c:pt idx="92">
                  <c:v>41.6425377114466</c:v>
                </c:pt>
                <c:pt idx="93">
                  <c:v>40.3809898410412</c:v>
                </c:pt>
                <c:pt idx="94">
                  <c:v>39.1794018982719</c:v>
                </c:pt>
                <c:pt idx="95">
                  <c:v>38.035588033122</c:v>
                </c:pt>
                <c:pt idx="96">
                  <c:v>36.9472768515286</c:v>
                </c:pt>
                <c:pt idx="97">
                  <c:v>35.9121416094495</c:v>
                </c:pt>
                <c:pt idx="98">
                  <c:v>34.9278278921266</c:v>
                </c:pt>
                <c:pt idx="99">
                  <c:v>33.9919783660548</c:v>
                </c:pt>
                <c:pt idx="100">
                  <c:v>33.1022543777732</c:v>
                </c:pt>
              </c:numCache>
            </c:numRef>
          </c:val>
          <c:smooth val="0"/>
        </c:ser>
        <c:ser>
          <c:idx val="2"/>
          <c:order val="2"/>
          <c:tx>
            <c:strRef>
              <c:f>"VIN = 36V"</c:f>
              <c:strCache>
                <c:ptCount val="1"/>
                <c:pt idx="0">
                  <c:v>VIN = 36V</c:v>
                </c:pt>
              </c:strCache>
            </c:strRef>
          </c:tx>
          <c:spPr>
            <a:ln w="28575" cap="rnd" cmpd="sng" algn="ctr">
              <a:solidFill>
                <a:srgbClr val="FF0000"/>
              </a:solidFill>
              <a:prstDash val="solid"/>
              <a:round/>
            </a:ln>
          </c:spPr>
          <c:marker>
            <c:symbol val="none"/>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Single'!$AN$216:$AN$316</c:f>
              <c:numCache>
                <c:formatCode>0.0</c:formatCode>
                <c:ptCount val="101"/>
                <c:pt idx="0">
                  <c:v>12</c:v>
                </c:pt>
                <c:pt idx="1">
                  <c:v>81.7777777777778</c:v>
                </c:pt>
                <c:pt idx="2">
                  <c:v>163.555555555556</c:v>
                </c:pt>
                <c:pt idx="3">
                  <c:v>245.333333333333</c:v>
                </c:pt>
                <c:pt idx="4">
                  <c:v>327.111111111111</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342.15323663663</c:v>
                </c:pt>
                <c:pt idx="26">
                  <c:v>328.99349676599</c:v>
                </c:pt>
                <c:pt idx="27">
                  <c:v>316.808552441324</c:v>
                </c:pt>
                <c:pt idx="28">
                  <c:v>305.493961282705</c:v>
                </c:pt>
                <c:pt idx="29">
                  <c:v>294.959686755715</c:v>
                </c:pt>
                <c:pt idx="30">
                  <c:v>285.127697197191</c:v>
                </c:pt>
                <c:pt idx="31">
                  <c:v>275.930029545669</c:v>
                </c:pt>
                <c:pt idx="32">
                  <c:v>267.307216122367</c:v>
                </c:pt>
                <c:pt idx="33">
                  <c:v>259.206997451992</c:v>
                </c:pt>
                <c:pt idx="34">
                  <c:v>251.583262232816</c:v>
                </c:pt>
                <c:pt idx="35">
                  <c:v>244.395169026164</c:v>
                </c:pt>
                <c:pt idx="36">
                  <c:v>237.606414330993</c:v>
                </c:pt>
                <c:pt idx="37">
                  <c:v>231.184619349074</c:v>
                </c:pt>
                <c:pt idx="38">
                  <c:v>225.10081357673</c:v>
                </c:pt>
                <c:pt idx="39">
                  <c:v>219.328997843993</c:v>
                </c:pt>
                <c:pt idx="40">
                  <c:v>213.845772897893</c:v>
                </c:pt>
                <c:pt idx="41">
                  <c:v>208.630022339408</c:v>
                </c:pt>
                <c:pt idx="42">
                  <c:v>203.662640855137</c:v>
                </c:pt>
                <c:pt idx="43">
                  <c:v>198.926300370133</c:v>
                </c:pt>
                <c:pt idx="44">
                  <c:v>194.405248088994</c:v>
                </c:pt>
                <c:pt idx="45">
                  <c:v>190.085131464794</c:v>
                </c:pt>
                <c:pt idx="46">
                  <c:v>185.952845998168</c:v>
                </c:pt>
                <c:pt idx="47">
                  <c:v>181.996402466292</c:v>
                </c:pt>
                <c:pt idx="48">
                  <c:v>178.204810748245</c:v>
                </c:pt>
                <c:pt idx="49">
                  <c:v>174.567977875831</c:v>
                </c:pt>
                <c:pt idx="50">
                  <c:v>170.718321020283</c:v>
                </c:pt>
                <c:pt idx="51">
                  <c:v>166.869283396102</c:v>
                </c:pt>
                <c:pt idx="52">
                  <c:v>163.037034527804</c:v>
                </c:pt>
                <c:pt idx="53">
                  <c:v>159.222599201069</c:v>
                </c:pt>
                <c:pt idx="54">
                  <c:v>155.427075354107</c:v>
                </c:pt>
                <c:pt idx="55">
                  <c:v>151.651639257558</c:v>
                </c:pt>
                <c:pt idx="56">
                  <c:v>147.897550912613</c:v>
                </c:pt>
                <c:pt idx="57">
                  <c:v>144.166159628966</c:v>
                </c:pt>
                <c:pt idx="58">
                  <c:v>140.458909728006</c:v>
                </c:pt>
                <c:pt idx="59">
                  <c:v>136.777346296769</c:v>
                </c:pt>
                <c:pt idx="60">
                  <c:v>133.123120894031</c:v>
                </c:pt>
                <c:pt idx="61">
                  <c:v>129.497997081076</c:v>
                </c:pt>
                <c:pt idx="62">
                  <c:v>125.903855615748</c:v>
                </c:pt>
                <c:pt idx="63">
                  <c:v>122.342699109194</c:v>
                </c:pt>
                <c:pt idx="64">
                  <c:v>118.816655900388</c:v>
                </c:pt>
                <c:pt idx="65">
                  <c:v>115.327982854626</c:v>
                </c:pt>
                <c:pt idx="66">
                  <c:v>111.879066740109</c:v>
                </c:pt>
                <c:pt idx="67">
                  <c:v>108.472423783442</c:v>
                </c:pt>
                <c:pt idx="68">
                  <c:v>105.11069695394</c:v>
                </c:pt>
                <c:pt idx="69">
                  <c:v>101.796650482435</c:v>
                </c:pt>
                <c:pt idx="70">
                  <c:v>98.5331610893148</c:v>
                </c:pt>
                <c:pt idx="71">
                  <c:v>95.323205386407</c:v>
                </c:pt>
                <c:pt idx="72">
                  <c:v>92.1698429373873</c:v>
                </c:pt>
                <c:pt idx="73">
                  <c:v>89.076194521724</c:v>
                </c:pt>
                <c:pt idx="74">
                  <c:v>86.0454152578132</c:v>
                </c:pt>
                <c:pt idx="75">
                  <c:v>83.0806624104649</c:v>
                </c:pt>
                <c:pt idx="76">
                  <c:v>80.1850579412711</c:v>
                </c:pt>
                <c:pt idx="77">
                  <c:v>77.3616461567807</c:v>
                </c:pt>
                <c:pt idx="78">
                  <c:v>74.6133471597402</c:v>
                </c:pt>
                <c:pt idx="79">
                  <c:v>71.9429071936831</c:v>
                </c:pt>
                <c:pt idx="80">
                  <c:v>69.3528473607337</c:v>
                </c:pt>
                <c:pt idx="81">
                  <c:v>66.8454125467523</c:v>
                </c:pt>
                <c:pt idx="82">
                  <c:v>64.4225226608352</c:v>
                </c:pt>
                <c:pt idx="83">
                  <c:v>62.0857284414899</c:v>
                </c:pt>
                <c:pt idx="84">
                  <c:v>59.8361740610198</c:v>
                </c:pt>
                <c:pt idx="85">
                  <c:v>57.6745685503275</c:v>
                </c:pt>
                <c:pt idx="86">
                  <c:v>55.6011676688178</c:v>
                </c:pt>
                <c:pt idx="87">
                  <c:v>53.6157672848924</c:v>
                </c:pt>
                <c:pt idx="88">
                  <c:v>51.7177086626445</c:v>
                </c:pt>
                <c:pt idx="89">
                  <c:v>49.9058953385186</c:v>
                </c:pt>
                <c:pt idx="90">
                  <c:v>48.1788205934314</c:v>
                </c:pt>
                <c:pt idx="91">
                  <c:v>46.5346039512608</c:v>
                </c:pt>
                <c:pt idx="92">
                  <c:v>44.9710347170769</c:v>
                </c:pt>
                <c:pt idx="93">
                  <c:v>43.4856203375074</c:v>
                </c:pt>
                <c:pt idx="94">
                  <c:v>42.0756373243768</c:v>
                </c:pt>
                <c:pt idx="95">
                  <c:v>40.7381826110808</c:v>
                </c:pt>
                <c:pt idx="96">
                  <c:v>39.4702234719214</c:v>
                </c:pt>
                <c:pt idx="97">
                  <c:v>38.2686444821059</c:v>
                </c:pt>
                <c:pt idx="98">
                  <c:v>37.1302903838605</c:v>
                </c:pt>
                <c:pt idx="99">
                  <c:v>36.0520041113544</c:v>
                </c:pt>
                <c:pt idx="100">
                  <c:v>35.0306595825259</c:v>
                </c:pt>
              </c:numCache>
            </c:numRef>
          </c:val>
          <c:smooth val="0"/>
        </c:ser>
        <c:ser>
          <c:idx val="3"/>
          <c:order val="3"/>
          <c:spPr>
            <a:ln w="28575" cap="rnd" cmpd="sng" algn="ctr">
              <a:noFill/>
              <a:prstDash val="solid"/>
              <a:round/>
            </a:ln>
          </c:spPr>
          <c:marker>
            <c:symbol val="x"/>
            <c:size val="10"/>
            <c:spPr>
              <a:pattFill prst="pct5">
                <a:fgClr>
                  <a:schemeClr val="tx1"/>
                </a:fgClr>
                <a:bgClr>
                  <a:schemeClr val="bg1"/>
                </a:bgClr>
              </a:pattFill>
              <a:ln w="9525" cap="flat" cmpd="sng" algn="ctr">
                <a:solidFill>
                  <a:srgbClr val="33CC33"/>
                </a:solidFill>
                <a:prstDash val="solid"/>
                <a:round/>
              </a:ln>
            </c:spPr>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Single'!$CG$110:$CG$210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145.066135050434</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w="28575" cap="rnd" cmpd="sng" algn="ctr">
              <a:noFill/>
              <a:prstDash val="solid"/>
              <a:round/>
            </a:ln>
          </c:spPr>
          <c:marker>
            <c:symbol val="x"/>
            <c:size val="10"/>
            <c:spPr>
              <a:pattFill prst="pct5">
                <a:fgClr>
                  <a:schemeClr val="tx1"/>
                </a:fgClr>
                <a:bgClr>
                  <a:schemeClr val="bg1"/>
                </a:bgClr>
              </a:pattFill>
              <a:ln w="9525" cap="flat" cmpd="sng" algn="ctr">
                <a:solidFill>
                  <a:srgbClr val="0000FF"/>
                </a:solidFill>
                <a:prstDash val="solid"/>
                <a:round/>
              </a:ln>
            </c:spPr>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Single'!$CG$5:$CG$105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160.153769874493</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w="28575" cap="rnd" cmpd="sng" algn="ctr">
              <a:noFill/>
              <a:prstDash val="solid"/>
              <a:round/>
            </a:ln>
          </c:spPr>
          <c:marker>
            <c:symbol val="x"/>
            <c:size val="10"/>
            <c:spPr>
              <a:pattFill prst="pct5">
                <a:fgClr>
                  <a:schemeClr val="tx1"/>
                </a:fgClr>
                <a:bgClr>
                  <a:schemeClr val="bg1"/>
                </a:bgClr>
              </a:pattFill>
              <a:ln w="9525" cap="flat" cmpd="sng" algn="ctr">
                <a:solidFill>
                  <a:srgbClr val="FF0000"/>
                </a:solidFill>
                <a:prstDash val="solid"/>
                <a:round/>
              </a:ln>
            </c:spPr>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Single'!$CG$216:$CG$316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170.718321020283</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67770752"/>
        <c:axId val="178984064"/>
      </c:lineChart>
      <c:catAx>
        <c:axId val="167770752"/>
        <c:scaling>
          <c:orientation val="minMax"/>
        </c:scaling>
        <c:delete val="0"/>
        <c:axPos val="b"/>
        <c:majorGridlines>
          <c:spPr>
            <a:ln w="15875" cap="flat" cmpd="sng" algn="ctr">
              <a:solidFill>
                <a:srgbClr val="969696"/>
              </a:solidFill>
              <a:prstDash val="sysDash"/>
              <a:round/>
            </a:ln>
          </c:spPr>
        </c:majorGridlines>
        <c:title>
          <c:tx>
            <c:rich>
              <a:bodyPr rot="0" spcFirstLastPara="0" vertOverflow="ellipsis" vert="horz" wrap="square" anchor="ctr" anchorCtr="1"/>
              <a:lstStyle/>
              <a:p>
                <a:pPr>
                  <a:defRPr lang="zh-CN" sz="12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200">
                    <a:solidFill>
                      <a:schemeClr val="tx1"/>
                    </a:solidFill>
                    <a:latin typeface="Arial" panose="020B0604020202020204" pitchFamily="7" charset="0"/>
                    <a:cs typeface="Arial" panose="020B0604020202020204" pitchFamily="7" charset="0"/>
                  </a:rPr>
                  <a:t>Load Current (mA)</a:t>
                </a:r>
                <a:endParaRPr lang="en-US" sz="1200">
                  <a:solidFill>
                    <a:schemeClr val="tx1"/>
                  </a:solidFill>
                  <a:latin typeface="Arial" panose="020B0604020202020204" pitchFamily="7" charset="0"/>
                  <a:cs typeface="Arial" panose="020B0604020202020204" pitchFamily="7" charset="0"/>
                </a:endParaRPr>
              </a:p>
            </c:rich>
          </c:tx>
          <c:layout>
            <c:manualLayout>
              <c:xMode val="edge"/>
              <c:yMode val="edge"/>
              <c:x val="0.425434782937425"/>
              <c:y val="0.941066924718109"/>
            </c:manualLayout>
          </c:layout>
          <c:overlay val="0"/>
          <c:spPr>
            <a:noFill/>
            <a:ln w="25400">
              <a:noFill/>
            </a:ln>
          </c:spPr>
        </c:title>
        <c:numFmt formatCode="0" sourceLinked="1"/>
        <c:majorTickMark val="in"/>
        <c:minorTickMark val="in"/>
        <c:tickLblPos val="nextTo"/>
        <c:spPr>
          <a:ln w="3175" cap="flat" cmpd="sng" algn="ctr">
            <a:solidFill>
              <a:schemeClr val="tx1"/>
            </a:solidFill>
            <a:prstDash val="solid"/>
            <a:round/>
          </a:ln>
        </c:spPr>
        <c:txPr>
          <a:bodyPr rot="0" spcFirstLastPara="0" vertOverflow="ellipsis" vert="horz" wrap="square" anchor="ctr" anchorCtr="1"/>
          <a:lstStyle/>
          <a:p>
            <a:pPr>
              <a:defRPr lang="zh-CN" sz="12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78984064"/>
        <c:crosses val="autoZero"/>
        <c:auto val="1"/>
        <c:lblAlgn val="ctr"/>
        <c:lblOffset val="100"/>
        <c:tickLblSkip val="20"/>
        <c:tickMarkSkip val="10"/>
        <c:noMultiLvlLbl val="0"/>
      </c:catAx>
      <c:valAx>
        <c:axId val="178984064"/>
        <c:scaling>
          <c:orientation val="minMax"/>
          <c:max val="400"/>
          <c:min val="0"/>
        </c:scaling>
        <c:delete val="0"/>
        <c:axPos val="l"/>
        <c:majorGridlines>
          <c:spPr>
            <a:ln w="15875" cap="flat" cmpd="sng" algn="ctr">
              <a:solidFill>
                <a:srgbClr val="808080"/>
              </a:solidFill>
              <a:prstDash val="solid"/>
              <a:round/>
            </a:ln>
          </c:spPr>
        </c:majorGridlines>
        <c:title>
          <c:tx>
            <c:rich>
              <a:bodyPr rot="-5400000" spcFirstLastPara="0" vertOverflow="ellipsis" vert="horz" wrap="square" anchor="ctr" anchorCtr="1"/>
              <a:lstStyle/>
              <a:p>
                <a:pPr>
                  <a:defRPr lang="zh-CN" sz="14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200" b="1">
                    <a:solidFill>
                      <a:schemeClr val="tx1"/>
                    </a:solidFill>
                    <a:latin typeface="Arial" panose="020B0604020202020204" pitchFamily="7" charset="0"/>
                    <a:cs typeface="Arial" panose="020B0604020202020204" pitchFamily="7" charset="0"/>
                  </a:rPr>
                  <a:t>Switching</a:t>
                </a:r>
                <a:r>
                  <a:rPr lang="en-US" sz="1200" b="1" baseline="0">
                    <a:solidFill>
                      <a:schemeClr val="tx1"/>
                    </a:solidFill>
                    <a:latin typeface="Arial" panose="020B0604020202020204" pitchFamily="7" charset="0"/>
                    <a:cs typeface="Arial" panose="020B0604020202020204" pitchFamily="7" charset="0"/>
                  </a:rPr>
                  <a:t> Frquency (kHz)</a:t>
                </a:r>
                <a:endParaRPr lang="en-US" sz="1200" b="1">
                  <a:solidFill>
                    <a:schemeClr val="tx1"/>
                  </a:solidFill>
                  <a:latin typeface="Arial" panose="020B0604020202020204" pitchFamily="7" charset="0"/>
                  <a:cs typeface="Arial" panose="020B0604020202020204" pitchFamily="7" charset="0"/>
                </a:endParaRPr>
              </a:p>
            </c:rich>
          </c:tx>
          <c:layout>
            <c:manualLayout>
              <c:xMode val="edge"/>
              <c:yMode val="edge"/>
              <c:x val="0.00855683062925777"/>
              <c:y val="0.257327155532374"/>
            </c:manualLayout>
          </c:layout>
          <c:overlay val="0"/>
          <c:spPr>
            <a:noFill/>
            <a:ln w="25400">
              <a:noFill/>
            </a:ln>
          </c:spPr>
        </c:title>
        <c:numFmt formatCode="#,##0" sourceLinked="0"/>
        <c:majorTickMark val="out"/>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2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67770752"/>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9"/>
          <c:y val="0.665338379046316"/>
          <c:w val="0.227383131525562"/>
          <c:h val="0.191256904190707"/>
        </c:manualLayout>
      </c:layout>
      <c:overlay val="0"/>
      <c:spPr>
        <a:solidFill>
          <a:srgbClr val="FFFFFF"/>
        </a:solidFill>
        <a:ln w="25400">
          <a:noFill/>
        </a:ln>
      </c:spPr>
      <c:txPr>
        <a:bodyPr rot="0" spcFirstLastPara="0" vertOverflow="ellipsis" vert="horz" wrap="square" anchor="ctr" anchorCtr="1"/>
        <a:lstStyle/>
        <a:p>
          <a:pPr>
            <a:defRPr lang="zh-CN" sz="1400" b="1"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17954cd6-af8e-4278-a5b8-c846be5a68d9}"/>
      </c:ext>
    </c:extLst>
  </c:chart>
  <c:spPr>
    <a:solidFill>
      <a:srgbClr val="FFFFFF"/>
    </a:solidFill>
    <a:ln w="9525" cap="flat" cmpd="sng" algn="ctr">
      <a:no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
          <c:y val="0.0538413793363063"/>
          <c:w val="0.834376238867712"/>
          <c:h val="0.823391834620654"/>
        </c:manualLayout>
      </c:layout>
      <c:lineChart>
        <c:grouping val="standard"/>
        <c:varyColors val="0"/>
        <c:ser>
          <c:idx val="1"/>
          <c:order val="0"/>
          <c:tx>
            <c:strRef>
              <c:f>"VIN = 18V"</c:f>
              <c:strCache>
                <c:ptCount val="1"/>
                <c:pt idx="0">
                  <c:v>VIN = 18V</c:v>
                </c:pt>
              </c:strCache>
            </c:strRef>
          </c:tx>
          <c:spPr>
            <a:ln w="28575" cap="rnd" cmpd="sng" algn="ctr">
              <a:solidFill>
                <a:srgbClr val="00B050"/>
              </a:solidFill>
              <a:prstDash val="sysDash"/>
              <a:round/>
            </a:ln>
          </c:spPr>
          <c:marker>
            <c:symbol val="none"/>
          </c:marker>
          <c:dLbls>
            <c:delete val="1"/>
          </c:dLbls>
          <c:val>
            <c:numRef>
              <c:f>'Calculations - Single'!$AJ$110:$AJ$210</c:f>
              <c:numCache>
                <c:formatCode>0.000</c:formatCode>
                <c:ptCount val="101"/>
                <c:pt idx="0">
                  <c:v>0.3</c:v>
                </c:pt>
                <c:pt idx="1">
                  <c:v>0.3</c:v>
                </c:pt>
                <c:pt idx="2">
                  <c:v>0.3</c:v>
                </c:pt>
                <c:pt idx="3">
                  <c:v>0.3</c:v>
                </c:pt>
                <c:pt idx="4">
                  <c:v>0.3</c:v>
                </c:pt>
                <c:pt idx="5">
                  <c:v>0.324257393351111</c:v>
                </c:pt>
                <c:pt idx="6">
                  <c:v>0.355206177552458</c:v>
                </c:pt>
                <c:pt idx="7">
                  <c:v>0.383666521865018</c:v>
                </c:pt>
                <c:pt idx="8">
                  <c:v>0.41015676445546</c:v>
                </c:pt>
                <c:pt idx="9">
                  <c:v>0.435036944243984</c:v>
                </c:pt>
                <c:pt idx="10">
                  <c:v>0.458569203376889</c:v>
                </c:pt>
                <c:pt idx="11">
                  <c:v>0.480951438000019</c:v>
                </c:pt>
                <c:pt idx="12">
                  <c:v>0.502337393733392</c:v>
                </c:pt>
                <c:pt idx="13">
                  <c:v>0.522849336397617</c:v>
                </c:pt>
                <c:pt idx="14">
                  <c:v>0.542586398650021</c:v>
                </c:pt>
                <c:pt idx="15">
                  <c:v>0.561630280013971</c:v>
                </c:pt>
                <c:pt idx="16">
                  <c:v>0.580049258991978</c:v>
                </c:pt>
                <c:pt idx="17">
                  <c:v>0.597901090721295</c:v>
                </c:pt>
                <c:pt idx="18">
                  <c:v>0.615235146683189</c:v>
                </c:pt>
                <c:pt idx="19">
                  <c:v>0.689627794798253</c:v>
                </c:pt>
                <c:pt idx="20">
                  <c:v>0.725923994524477</c:v>
                </c:pt>
                <c:pt idx="21">
                  <c:v>0.762220194250701</c:v>
                </c:pt>
                <c:pt idx="22">
                  <c:v>0.798516393976925</c:v>
                </c:pt>
                <c:pt idx="23">
                  <c:v>0.834812593703149</c:v>
                </c:pt>
                <c:pt idx="24">
                  <c:v>0.871108793429373</c:v>
                </c:pt>
                <c:pt idx="25">
                  <c:v>0.907404993155597</c:v>
                </c:pt>
                <c:pt idx="26">
                  <c:v>0.94370119288182</c:v>
                </c:pt>
                <c:pt idx="27">
                  <c:v>0.979997392608044</c:v>
                </c:pt>
                <c:pt idx="28">
                  <c:v>1.01629359233427</c:v>
                </c:pt>
                <c:pt idx="29">
                  <c:v>1.05258979206049</c:v>
                </c:pt>
                <c:pt idx="30">
                  <c:v>1.08888599178672</c:v>
                </c:pt>
                <c:pt idx="31">
                  <c:v>1.12518219151294</c:v>
                </c:pt>
                <c:pt idx="32">
                  <c:v>1.16147839123916</c:v>
                </c:pt>
                <c:pt idx="33">
                  <c:v>1.19777459096539</c:v>
                </c:pt>
                <c:pt idx="34">
                  <c:v>1.23407079069161</c:v>
                </c:pt>
                <c:pt idx="35">
                  <c:v>1.27036699041783</c:v>
                </c:pt>
                <c:pt idx="36">
                  <c:v>1.30666319014406</c:v>
                </c:pt>
                <c:pt idx="37">
                  <c:v>1.34295938987028</c:v>
                </c:pt>
                <c:pt idx="38">
                  <c:v>1.37925558959651</c:v>
                </c:pt>
                <c:pt idx="39">
                  <c:v>1.41555178932273</c:v>
                </c:pt>
                <c:pt idx="40">
                  <c:v>1.45184798904895</c:v>
                </c:pt>
                <c:pt idx="41">
                  <c:v>1.48814418877518</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numCache>
            </c:numRef>
          </c:val>
          <c:smooth val="0"/>
        </c:ser>
        <c:ser>
          <c:idx val="0"/>
          <c:order val="1"/>
          <c:tx>
            <c:strRef>
              <c:f>"VIN = 24V"</c:f>
              <c:strCache>
                <c:ptCount val="1"/>
                <c:pt idx="0">
                  <c:v>VIN = 24V</c:v>
                </c:pt>
              </c:strCache>
            </c:strRef>
          </c:tx>
          <c:spPr>
            <a:ln w="28575" cap="rnd" cmpd="sng" algn="ctr">
              <a:solidFill>
                <a:srgbClr val="0000FF"/>
              </a:solidFill>
              <a:prstDash val="lgDash"/>
              <a:round/>
            </a:ln>
          </c:spPr>
          <c:marker>
            <c:symbol val="none"/>
          </c:marker>
          <c:dLbls>
            <c:delete val="1"/>
          </c:dLbls>
          <c:cat>
            <c:numRef>
              <c:f>'Calculations - Single'!$AM$5:$AM$105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Single'!$AJ$5:$AJ$105</c:f>
              <c:numCache>
                <c:formatCode>0.000</c:formatCode>
                <c:ptCount val="101"/>
                <c:pt idx="0">
                  <c:v>0.3</c:v>
                </c:pt>
                <c:pt idx="1">
                  <c:v>0.3</c:v>
                </c:pt>
                <c:pt idx="2">
                  <c:v>0.3</c:v>
                </c:pt>
                <c:pt idx="3">
                  <c:v>0.3</c:v>
                </c:pt>
                <c:pt idx="4">
                  <c:v>0.305712802251259</c:v>
                </c:pt>
                <c:pt idx="5">
                  <c:v>0.341797303712883</c:v>
                </c:pt>
                <c:pt idx="6">
                  <c:v>0.374420186675981</c:v>
                </c:pt>
                <c:pt idx="7">
                  <c:v>0.404420023682749</c:v>
                </c:pt>
                <c:pt idx="8">
                  <c:v>0.432343191134815</c:v>
                </c:pt>
                <c:pt idx="9">
                  <c:v>0.458569203376889</c:v>
                </c:pt>
                <c:pt idx="10">
                  <c:v>0.483374382493315</c:v>
                </c:pt>
                <c:pt idx="11">
                  <c:v>0.506967329337772</c:v>
                </c:pt>
                <c:pt idx="12">
                  <c:v>0.529510106023438</c:v>
                </c:pt>
                <c:pt idx="13">
                  <c:v>0.551131592041349</c:v>
                </c:pt>
                <c:pt idx="14">
                  <c:v>0.571936282387392</c:v>
                </c:pt>
                <c:pt idx="15">
                  <c:v>0.592010295920764</c:v>
                </c:pt>
                <c:pt idx="16">
                  <c:v>0.611425604502518</c:v>
                </c:pt>
                <c:pt idx="17">
                  <c:v>0.630243087392753</c:v>
                </c:pt>
                <c:pt idx="18">
                  <c:v>0.648514786702222</c:v>
                </c:pt>
                <c:pt idx="19">
                  <c:v>0.666285605379936</c:v>
                </c:pt>
                <c:pt idx="20">
                  <c:v>0.683594607425766</c:v>
                </c:pt>
                <c:pt idx="21">
                  <c:v>0.70047602861673</c:v>
                </c:pt>
                <c:pt idx="22">
                  <c:v>0.716960072829545</c:v>
                </c:pt>
                <c:pt idx="23">
                  <c:v>0.758145927036482</c:v>
                </c:pt>
                <c:pt idx="24">
                  <c:v>0.791108793429372</c:v>
                </c:pt>
                <c:pt idx="25">
                  <c:v>0.824071659822263</c:v>
                </c:pt>
                <c:pt idx="26">
                  <c:v>0.857034526215153</c:v>
                </c:pt>
                <c:pt idx="27">
                  <c:v>0.889997392608044</c:v>
                </c:pt>
                <c:pt idx="28">
                  <c:v>0.922960259000934</c:v>
                </c:pt>
                <c:pt idx="29">
                  <c:v>0.955923125393825</c:v>
                </c:pt>
                <c:pt idx="30">
                  <c:v>0.988885991786715</c:v>
                </c:pt>
                <c:pt idx="31">
                  <c:v>1.02184885817961</c:v>
                </c:pt>
                <c:pt idx="32">
                  <c:v>1.0548117245725</c:v>
                </c:pt>
                <c:pt idx="33">
                  <c:v>1.08777459096539</c:v>
                </c:pt>
                <c:pt idx="34">
                  <c:v>1.12073745735828</c:v>
                </c:pt>
                <c:pt idx="35">
                  <c:v>1.15370032375117</c:v>
                </c:pt>
                <c:pt idx="36">
                  <c:v>1.18666319014406</c:v>
                </c:pt>
                <c:pt idx="37">
                  <c:v>1.21962605653695</c:v>
                </c:pt>
                <c:pt idx="38">
                  <c:v>1.25258892292984</c:v>
                </c:pt>
                <c:pt idx="39">
                  <c:v>1.28555178932273</c:v>
                </c:pt>
                <c:pt idx="40">
                  <c:v>1.31851465571562</c:v>
                </c:pt>
                <c:pt idx="41">
                  <c:v>1.35147752210851</c:v>
                </c:pt>
                <c:pt idx="42">
                  <c:v>1.3844403885014</c:v>
                </c:pt>
                <c:pt idx="43">
                  <c:v>1.41740325489429</c:v>
                </c:pt>
                <c:pt idx="44">
                  <c:v>1.45036612128718</c:v>
                </c:pt>
                <c:pt idx="45">
                  <c:v>1.48332898768007</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numCache>
            </c:numRef>
          </c:val>
          <c:smooth val="1"/>
        </c:ser>
        <c:ser>
          <c:idx val="2"/>
          <c:order val="2"/>
          <c:tx>
            <c:strRef>
              <c:f>"VIN = 36V"</c:f>
              <c:strCache>
                <c:ptCount val="1"/>
                <c:pt idx="0">
                  <c:v>VIN = 36V</c:v>
                </c:pt>
              </c:strCache>
            </c:strRef>
          </c:tx>
          <c:spPr>
            <a:ln w="28575" cap="rnd" cmpd="sng" algn="ctr">
              <a:solidFill>
                <a:srgbClr val="FF0000"/>
              </a:solidFill>
              <a:prstDash val="solid"/>
              <a:round/>
            </a:ln>
          </c:spPr>
          <c:marker>
            <c:symbol val="none"/>
          </c:marker>
          <c:dLbls>
            <c:delete val="1"/>
          </c:dLbls>
          <c:val>
            <c:numRef>
              <c:f>'Calculations - Single'!$AJ$216:$AJ$316</c:f>
              <c:numCache>
                <c:formatCode>0.000</c:formatCode>
                <c:ptCount val="101"/>
                <c:pt idx="0">
                  <c:v>0.3</c:v>
                </c:pt>
                <c:pt idx="1">
                  <c:v>0.3</c:v>
                </c:pt>
                <c:pt idx="2">
                  <c:v>0.3</c:v>
                </c:pt>
                <c:pt idx="3">
                  <c:v>0.3</c:v>
                </c:pt>
                <c:pt idx="4">
                  <c:v>0.3</c:v>
                </c:pt>
                <c:pt idx="5">
                  <c:v>0.324257393351111</c:v>
                </c:pt>
                <c:pt idx="6">
                  <c:v>0.355206177552458</c:v>
                </c:pt>
                <c:pt idx="7">
                  <c:v>0.383666521865018</c:v>
                </c:pt>
                <c:pt idx="8">
                  <c:v>0.41015676445546</c:v>
                </c:pt>
                <c:pt idx="9">
                  <c:v>0.435036944243984</c:v>
                </c:pt>
                <c:pt idx="10">
                  <c:v>0.458569203376889</c:v>
                </c:pt>
                <c:pt idx="11">
                  <c:v>0.480951438000019</c:v>
                </c:pt>
                <c:pt idx="12">
                  <c:v>0.502337393733392</c:v>
                </c:pt>
                <c:pt idx="13">
                  <c:v>0.522849336397617</c:v>
                </c:pt>
                <c:pt idx="14">
                  <c:v>0.542586398650021</c:v>
                </c:pt>
                <c:pt idx="15">
                  <c:v>0.561630280013971</c:v>
                </c:pt>
                <c:pt idx="16">
                  <c:v>0.580049258991978</c:v>
                </c:pt>
                <c:pt idx="17">
                  <c:v>0.597901090721295</c:v>
                </c:pt>
                <c:pt idx="18">
                  <c:v>0.615235146683189</c:v>
                </c:pt>
                <c:pt idx="19">
                  <c:v>0.632094025555421</c:v>
                </c:pt>
                <c:pt idx="20">
                  <c:v>0.648514786702222</c:v>
                </c:pt>
                <c:pt idx="21">
                  <c:v>0.664529909033446</c:v>
                </c:pt>
                <c:pt idx="22">
                  <c:v>0.680168046462469</c:v>
                </c:pt>
                <c:pt idx="23">
                  <c:v>0.695454630336978</c:v>
                </c:pt>
                <c:pt idx="24">
                  <c:v>0.710412355104917</c:v>
                </c:pt>
                <c:pt idx="25">
                  <c:v>0.725061573739973</c:v>
                </c:pt>
                <c:pt idx="26">
                  <c:v>0.739420622611283</c:v>
                </c:pt>
                <c:pt idx="27">
                  <c:v>0.825711678322329</c:v>
                </c:pt>
                <c:pt idx="28">
                  <c:v>0.856293592334267</c:v>
                </c:pt>
                <c:pt idx="29">
                  <c:v>0.886875506346205</c:v>
                </c:pt>
                <c:pt idx="30">
                  <c:v>0.917457420358143</c:v>
                </c:pt>
                <c:pt idx="31">
                  <c:v>0.948039334370082</c:v>
                </c:pt>
                <c:pt idx="32">
                  <c:v>0.97862124838202</c:v>
                </c:pt>
                <c:pt idx="33">
                  <c:v>1.00920316239396</c:v>
                </c:pt>
                <c:pt idx="34">
                  <c:v>1.0397850764059</c:v>
                </c:pt>
                <c:pt idx="35">
                  <c:v>1.07036699041783</c:v>
                </c:pt>
                <c:pt idx="36">
                  <c:v>1.10094890442977</c:v>
                </c:pt>
                <c:pt idx="37">
                  <c:v>1.13153081844171</c:v>
                </c:pt>
                <c:pt idx="38">
                  <c:v>1.16211273245365</c:v>
                </c:pt>
                <c:pt idx="39">
                  <c:v>1.19269464646559</c:v>
                </c:pt>
                <c:pt idx="40">
                  <c:v>1.22327656047752</c:v>
                </c:pt>
                <c:pt idx="41">
                  <c:v>1.25385847448946</c:v>
                </c:pt>
                <c:pt idx="42">
                  <c:v>1.2844403885014</c:v>
                </c:pt>
                <c:pt idx="43">
                  <c:v>1.31502230251334</c:v>
                </c:pt>
                <c:pt idx="44">
                  <c:v>1.34560421652528</c:v>
                </c:pt>
                <c:pt idx="45">
                  <c:v>1.37618613053722</c:v>
                </c:pt>
                <c:pt idx="46">
                  <c:v>1.40676804454915</c:v>
                </c:pt>
                <c:pt idx="47">
                  <c:v>1.43734995856109</c:v>
                </c:pt>
                <c:pt idx="48">
                  <c:v>1.46793187257303</c:v>
                </c:pt>
                <c:pt idx="49">
                  <c:v>1.49851378658497</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numCache>
            </c:numRef>
          </c:val>
          <c:smooth val="1"/>
        </c:ser>
        <c:dLbls>
          <c:showLegendKey val="0"/>
          <c:showVal val="0"/>
          <c:showCatName val="0"/>
          <c:showSerName val="0"/>
          <c:showPercent val="0"/>
          <c:showBubbleSize val="0"/>
        </c:dLbls>
        <c:marker val="0"/>
        <c:smooth val="1"/>
        <c:axId val="179032448"/>
        <c:axId val="179034368"/>
      </c:lineChart>
      <c:catAx>
        <c:axId val="179032448"/>
        <c:scaling>
          <c:orientation val="minMax"/>
        </c:scaling>
        <c:delete val="0"/>
        <c:axPos val="b"/>
        <c:majorGridlines>
          <c:spPr>
            <a:ln w="15875" cap="flat" cmpd="sng" algn="ctr">
              <a:solidFill>
                <a:srgbClr val="969696"/>
              </a:solidFill>
              <a:prstDash val="sysDash"/>
              <a:round/>
            </a:ln>
          </c:spPr>
        </c:majorGridlines>
        <c:title>
          <c:tx>
            <c:rich>
              <a:bodyPr rot="0" spcFirstLastPara="0" vertOverflow="ellipsis" vert="horz" wrap="square" anchor="ctr" anchorCtr="1"/>
              <a:lstStyle/>
              <a:p>
                <a:pPr>
                  <a:defRPr lang="zh-CN" sz="12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200">
                    <a:solidFill>
                      <a:schemeClr val="tx1"/>
                    </a:solidFill>
                    <a:latin typeface="Arial" panose="020B0604020202020204" pitchFamily="7" charset="0"/>
                    <a:cs typeface="Arial" panose="020B0604020202020204" pitchFamily="7" charset="0"/>
                  </a:rPr>
                  <a:t>Load Current (mA)</a:t>
                </a:r>
                <a:endParaRPr lang="en-US" sz="1200">
                  <a:solidFill>
                    <a:schemeClr val="tx1"/>
                  </a:solidFill>
                  <a:latin typeface="Arial" panose="020B0604020202020204" pitchFamily="7" charset="0"/>
                  <a:cs typeface="Arial" panose="020B0604020202020204" pitchFamily="7" charset="0"/>
                </a:endParaRPr>
              </a:p>
            </c:rich>
          </c:tx>
          <c:layout>
            <c:manualLayout>
              <c:xMode val="edge"/>
              <c:yMode val="edge"/>
              <c:x val="0.430008937093517"/>
              <c:y val="0.943677448595451"/>
            </c:manualLayout>
          </c:layout>
          <c:overlay val="0"/>
          <c:spPr>
            <a:noFill/>
            <a:ln w="25400">
              <a:noFill/>
            </a:ln>
          </c:spPr>
        </c:title>
        <c:numFmt formatCode="0" sourceLinked="1"/>
        <c:majorTickMark val="in"/>
        <c:minorTickMark val="in"/>
        <c:tickLblPos val="nextTo"/>
        <c:spPr>
          <a:ln w="3175" cap="flat" cmpd="sng" algn="ctr">
            <a:solidFill>
              <a:schemeClr val="tx1"/>
            </a:solidFill>
            <a:prstDash val="solid"/>
            <a:round/>
          </a:ln>
        </c:spPr>
        <c:txPr>
          <a:bodyPr rot="0" spcFirstLastPara="0" vertOverflow="ellipsis" vert="horz" wrap="square" anchor="ctr" anchorCtr="1"/>
          <a:lstStyle/>
          <a:p>
            <a:pPr>
              <a:defRPr lang="zh-CN" sz="12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79034368"/>
        <c:crosses val="autoZero"/>
        <c:auto val="1"/>
        <c:lblAlgn val="ctr"/>
        <c:lblOffset val="100"/>
        <c:tickLblSkip val="20"/>
        <c:tickMarkSkip val="10"/>
        <c:noMultiLvlLbl val="0"/>
      </c:catAx>
      <c:valAx>
        <c:axId val="179034368"/>
        <c:scaling>
          <c:orientation val="minMax"/>
          <c:max val="1.4"/>
          <c:min val="0"/>
        </c:scaling>
        <c:delete val="0"/>
        <c:axPos val="l"/>
        <c:majorGridlines>
          <c:spPr>
            <a:ln w="15875" cap="flat" cmpd="sng" algn="ctr">
              <a:solidFill>
                <a:srgbClr val="808080"/>
              </a:solidFill>
              <a:prstDash val="solid"/>
              <a:round/>
            </a:ln>
          </c:spPr>
        </c:majorGridlines>
        <c:title>
          <c:tx>
            <c:rich>
              <a:bodyPr rot="-5400000" spcFirstLastPara="0" vertOverflow="ellipsis" vert="horz" wrap="square" anchor="ctr" anchorCtr="1"/>
              <a:lstStyle/>
              <a:p>
                <a:pPr>
                  <a:defRPr lang="zh-CN" sz="14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200" b="1">
                    <a:solidFill>
                      <a:schemeClr val="tx1"/>
                    </a:solidFill>
                    <a:latin typeface="Arial" panose="020B0604020202020204" pitchFamily="7" charset="0"/>
                    <a:cs typeface="Arial" panose="020B0604020202020204" pitchFamily="7" charset="0"/>
                  </a:rPr>
                  <a:t>Peak Primary Current (A)</a:t>
                </a:r>
                <a:endParaRPr lang="en-US" sz="1200" b="1">
                  <a:solidFill>
                    <a:schemeClr val="tx1"/>
                  </a:solidFill>
                  <a:latin typeface="Arial" panose="020B0604020202020204" pitchFamily="7" charset="0"/>
                  <a:cs typeface="Arial" panose="020B0604020202020204" pitchFamily="7" charset="0"/>
                </a:endParaRPr>
              </a:p>
            </c:rich>
          </c:tx>
          <c:layout>
            <c:manualLayout>
              <c:xMode val="edge"/>
              <c:yMode val="edge"/>
              <c:x val="0.0158893390024122"/>
              <c:y val="0.262081072744299"/>
            </c:manualLayout>
          </c:layout>
          <c:overlay val="0"/>
          <c:spPr>
            <a:noFill/>
            <a:ln w="25400">
              <a:noFill/>
            </a:ln>
          </c:spPr>
        </c:title>
        <c:numFmt formatCode="#,##0.0" sourceLinked="0"/>
        <c:majorTickMark val="out"/>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2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79032448"/>
        <c:crossesAt val="0"/>
        <c:crossBetween val="between"/>
        <c:majorUnit val="0.2"/>
        <c:minorUnit val="0.1"/>
      </c:valAx>
      <c:spPr>
        <a:solidFill>
          <a:srgbClr val="FFFFFF"/>
        </a:solidFill>
        <a:ln w="25400">
          <a:noFill/>
        </a:ln>
      </c:spPr>
    </c:plotArea>
    <c:legend>
      <c:legendPos val="tr"/>
      <c:layout>
        <c:manualLayout>
          <c:xMode val="edge"/>
          <c:yMode val="edge"/>
          <c:x val="0.735890840385765"/>
          <c:y val="0.66865627288407"/>
          <c:w val="0.197643738918781"/>
          <c:h val="0.175566282477926"/>
        </c:manualLayout>
      </c:layout>
      <c:overlay val="0"/>
      <c:spPr>
        <a:solidFill>
          <a:srgbClr val="FFFFFF"/>
        </a:solidFill>
        <a:ln w="25400">
          <a:noFill/>
        </a:ln>
      </c:spPr>
      <c:txPr>
        <a:bodyPr rot="0" spcFirstLastPara="0" vertOverflow="ellipsis" vert="horz" wrap="square" anchor="ctr" anchorCtr="1"/>
        <a:lstStyle/>
        <a:p>
          <a:pPr>
            <a:defRPr lang="zh-CN" sz="1400" b="1"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a9e7cc6e-7c70-4b1b-8707-d6ec0818902c}"/>
      </c:ext>
    </c:extLst>
  </c:chart>
  <c:spPr>
    <a:solidFill>
      <a:srgbClr val="FFFFFF"/>
    </a:solidFill>
    <a:ln w="9525" cap="flat" cmpd="sng" algn="ctr">
      <a:no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3"/>
          <c:y val="0.0960435989355175"/>
          <c:w val="0.793875474202561"/>
          <c:h val="0.750839754674337"/>
        </c:manualLayout>
      </c:layout>
      <c:lineChart>
        <c:grouping val="standard"/>
        <c:varyColors val="0"/>
        <c:ser>
          <c:idx val="9"/>
          <c:order val="9"/>
          <c:tx>
            <c:strRef>
              <c:f>"VIN-min"</c:f>
              <c:strCache>
                <c:ptCount val="1"/>
                <c:pt idx="0">
                  <c:v>VIN-min</c:v>
                </c:pt>
              </c:strCache>
            </c:strRef>
          </c:tx>
          <c:spPr>
            <a:ln w="28575" cap="rnd" cmpd="sng" algn="ctr">
              <a:solidFill>
                <a:srgbClr val="00B050"/>
              </a:solidFill>
              <a:prstDash val="sysDash"/>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99.9506172839506</c:v>
                </c:pt>
                <c:pt idx="2">
                  <c:v>199.901234567901</c:v>
                </c:pt>
                <c:pt idx="3">
                  <c:v>299.851851851852</c:v>
                </c:pt>
                <c:pt idx="4">
                  <c:v>350</c:v>
                </c:pt>
                <c:pt idx="5">
                  <c:v>350</c:v>
                </c:pt>
                <c:pt idx="6">
                  <c:v>350</c:v>
                </c:pt>
                <c:pt idx="7">
                  <c:v>350</c:v>
                </c:pt>
                <c:pt idx="8">
                  <c:v>350</c:v>
                </c:pt>
                <c:pt idx="9">
                  <c:v>350</c:v>
                </c:pt>
                <c:pt idx="10">
                  <c:v>350</c:v>
                </c:pt>
                <c:pt idx="11">
                  <c:v>350</c:v>
                </c:pt>
                <c:pt idx="12">
                  <c:v>350</c:v>
                </c:pt>
                <c:pt idx="13">
                  <c:v>350</c:v>
                </c:pt>
                <c:pt idx="14">
                  <c:v>350</c:v>
                </c:pt>
                <c:pt idx="15">
                  <c:v>331.227388213775</c:v>
                </c:pt>
                <c:pt idx="16">
                  <c:v>310.525676450414</c:v>
                </c:pt>
                <c:pt idx="17">
                  <c:v>292.259460188625</c:v>
                </c:pt>
                <c:pt idx="18">
                  <c:v>276.022823511479</c:v>
                </c:pt>
                <c:pt idx="19">
                  <c:v>261.495306484559</c:v>
                </c:pt>
                <c:pt idx="20">
                  <c:v>248.420541160331</c:v>
                </c:pt>
                <c:pt idx="21">
                  <c:v>236.590991581268</c:v>
                </c:pt>
                <c:pt idx="22">
                  <c:v>225.836855600301</c:v>
                </c:pt>
                <c:pt idx="23">
                  <c:v>216.017861878549</c:v>
                </c:pt>
                <c:pt idx="24">
                  <c:v>207.017117633609</c:v>
                </c:pt>
                <c:pt idx="25">
                  <c:v>198.736432928265</c:v>
                </c:pt>
                <c:pt idx="26">
                  <c:v>191.092723969485</c:v>
                </c:pt>
                <c:pt idx="27">
                  <c:v>184.015215674319</c:v>
                </c:pt>
                <c:pt idx="28">
                  <c:v>177.443243685951</c:v>
                </c:pt>
                <c:pt idx="29">
                  <c:v>171.324511145056</c:v>
                </c:pt>
                <c:pt idx="30">
                  <c:v>165.613694106887</c:v>
                </c:pt>
                <c:pt idx="31">
                  <c:v>160.271316877634</c:v>
                </c:pt>
                <c:pt idx="32">
                  <c:v>155.262838225207</c:v>
                </c:pt>
                <c:pt idx="33">
                  <c:v>150.557903733534</c:v>
                </c:pt>
                <c:pt idx="34">
                  <c:v>146.582588832375</c:v>
                </c:pt>
                <c:pt idx="35">
                  <c:v>144.709075281638</c:v>
                </c:pt>
                <c:pt idx="36">
                  <c:v>142.885164560524</c:v>
                </c:pt>
                <c:pt idx="37">
                  <c:v>141.108912491627</c:v>
                </c:pt>
                <c:pt idx="38">
                  <c:v>139.378475189658</c:v>
                </c:pt>
                <c:pt idx="39">
                  <c:v>137.692102676702</c:v>
                </c:pt>
                <c:pt idx="40">
                  <c:v>136.048132979117</c:v>
                </c:pt>
                <c:pt idx="41">
                  <c:v>134.444986664181</c:v>
                </c:pt>
                <c:pt idx="42">
                  <c:v>132.88116177875</c:v>
                </c:pt>
                <c:pt idx="43">
                  <c:v>131.355229155841</c:v>
                </c:pt>
                <c:pt idx="44">
                  <c:v>129.865828058294</c:v>
                </c:pt>
                <c:pt idx="45">
                  <c:v>128.411662131616</c:v>
                </c:pt>
                <c:pt idx="46">
                  <c:v>126.991495640693</c:v>
                </c:pt>
                <c:pt idx="47">
                  <c:v>125.604149967434</c:v>
                </c:pt>
                <c:pt idx="48">
                  <c:v>124.248500348444</c:v>
                </c:pt>
                <c:pt idx="49">
                  <c:v>122.923472833789</c:v>
                </c:pt>
                <c:pt idx="50">
                  <c:v>121.628041449535</c:v>
                </c:pt>
                <c:pt idx="51">
                  <c:v>120.361225548335</c:v>
                </c:pt>
                <c:pt idx="52">
                  <c:v>119.122087333659</c:v>
                </c:pt>
                <c:pt idx="53">
                  <c:v>117.909729544555</c:v>
                </c:pt>
                <c:pt idx="54">
                  <c:v>116.723293288907</c:v>
                </c:pt>
                <c:pt idx="55">
                  <c:v>115.561956014212</c:v>
                </c:pt>
                <c:pt idx="56">
                  <c:v>114.42492960579</c:v>
                </c:pt>
                <c:pt idx="57">
                  <c:v>113.311458603192</c:v>
                </c:pt>
                <c:pt idx="58">
                  <c:v>112.22081852632</c:v>
                </c:pt>
                <c:pt idx="59">
                  <c:v>111.152314303468</c:v>
                </c:pt>
                <c:pt idx="60">
                  <c:v>110.105278794116</c:v>
                </c:pt>
                <c:pt idx="61">
                  <c:v>109.079071399882</c:v>
                </c:pt>
                <c:pt idx="62">
                  <c:v>108.073076757548</c:v>
                </c:pt>
                <c:pt idx="63">
                  <c:v>107.086703508561</c:v>
                </c:pt>
                <c:pt idx="64">
                  <c:v>106.11938313985</c:v>
                </c:pt>
                <c:pt idx="65">
                  <c:v>105.170568891157</c:v>
                </c:pt>
                <c:pt idx="66">
                  <c:v>104.239734724498</c:v>
                </c:pt>
                <c:pt idx="67">
                  <c:v>103.326374351657</c:v>
                </c:pt>
                <c:pt idx="68">
                  <c:v>102.43000031594</c:v>
                </c:pt>
                <c:pt idx="69">
                  <c:v>101.550143124684</c:v>
                </c:pt>
                <c:pt idx="70">
                  <c:v>100.686350429288</c:v>
                </c:pt>
                <c:pt idx="71">
                  <c:v>99.8381862497491</c:v>
                </c:pt>
                <c:pt idx="72">
                  <c:v>99.0052302409097</c:v>
                </c:pt>
                <c:pt idx="73">
                  <c:v>98.1870769978277</c:v>
                </c:pt>
                <c:pt idx="74">
                  <c:v>97.3833353978517</c:v>
                </c:pt>
                <c:pt idx="75">
                  <c:v>96.5936279771617</c:v>
                </c:pt>
                <c:pt idx="76">
                  <c:v>95.8175903396849</c:v>
                </c:pt>
                <c:pt idx="77">
                  <c:v>95.0548705964441</c:v>
                </c:pt>
                <c:pt idx="78">
                  <c:v>94.3051288335242</c:v>
                </c:pt>
                <c:pt idx="79">
                  <c:v>93.5680366069687</c:v>
                </c:pt>
                <c:pt idx="80">
                  <c:v>92.843276463028</c:v>
                </c:pt>
                <c:pt idx="81">
                  <c:v>92.1305414822873</c:v>
                </c:pt>
                <c:pt idx="82">
                  <c:v>91.4295348463005</c:v>
                </c:pt>
                <c:pt idx="83">
                  <c:v>90.7399694254418</c:v>
                </c:pt>
                <c:pt idx="84">
                  <c:v>90.0615673867743</c:v>
                </c:pt>
                <c:pt idx="85">
                  <c:v>89.3940598208119</c:v>
                </c:pt>
                <c:pt idx="86">
                  <c:v>88.7371863861168</c:v>
                </c:pt>
                <c:pt idx="87">
                  <c:v>88.0906949707513</c:v>
                </c:pt>
                <c:pt idx="88">
                  <c:v>87.4543413696544</c:v>
                </c:pt>
                <c:pt idx="89">
                  <c:v>86.8278889770784</c:v>
                </c:pt>
                <c:pt idx="90">
                  <c:v>86.2111084932713</c:v>
                </c:pt>
                <c:pt idx="91">
                  <c:v>85.6037776446404</c:v>
                </c:pt>
                <c:pt idx="92">
                  <c:v>85.0056809166807</c:v>
                </c:pt>
                <c:pt idx="93">
                  <c:v>84.4166092989929</c:v>
                </c:pt>
                <c:pt idx="94">
                  <c:v>83.8363600417579</c:v>
                </c:pt>
                <c:pt idx="95">
                  <c:v>83.2647364230716</c:v>
                </c:pt>
                <c:pt idx="96">
                  <c:v>82.7015475265798</c:v>
                </c:pt>
                <c:pt idx="97">
                  <c:v>82.1466080288831</c:v>
                </c:pt>
                <c:pt idx="98">
                  <c:v>81.5997379962178</c:v>
                </c:pt>
                <c:pt idx="99">
                  <c:v>81.0607626899399</c:v>
                </c:pt>
                <c:pt idx="100">
                  <c:v>80.5295123803755</c:v>
                </c:pt>
              </c:numCache>
            </c:numRef>
          </c:val>
          <c:smooth val="0"/>
        </c:ser>
        <c:ser>
          <c:idx val="10"/>
          <c:order val="10"/>
          <c:tx>
            <c:strRef>
              <c:f>"VIN-nom"</c:f>
              <c:strCache>
                <c:ptCount val="1"/>
                <c:pt idx="0">
                  <c:v>VIN-nom</c:v>
                </c:pt>
              </c:strCache>
            </c:strRef>
          </c:tx>
          <c:spPr>
            <a:ln w="28575" cap="rnd" cmpd="sng" algn="ctr">
              <a:solidFill>
                <a:srgbClr val="0000FF"/>
              </a:solidFill>
              <a:prstDash val="lgDash"/>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99.9506172839506</c:v>
                </c:pt>
                <c:pt idx="2">
                  <c:v>199.901234567901</c:v>
                </c:pt>
                <c:pt idx="3">
                  <c:v>299.851851851852</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334.670448613758</c:v>
                </c:pt>
                <c:pt idx="19">
                  <c:v>317.056214476191</c:v>
                </c:pt>
                <c:pt idx="20">
                  <c:v>301.203403752382</c:v>
                </c:pt>
                <c:pt idx="21">
                  <c:v>286.860384526078</c:v>
                </c:pt>
                <c:pt idx="22">
                  <c:v>273.821276138529</c:v>
                </c:pt>
                <c:pt idx="23">
                  <c:v>261.916003262941</c:v>
                </c:pt>
                <c:pt idx="24">
                  <c:v>251.002836460318</c:v>
                </c:pt>
                <c:pt idx="25">
                  <c:v>240.962723001906</c:v>
                </c:pt>
                <c:pt idx="26">
                  <c:v>231.694925963372</c:v>
                </c:pt>
                <c:pt idx="27">
                  <c:v>223.113632409171</c:v>
                </c:pt>
                <c:pt idx="28">
                  <c:v>215.145288394558</c:v>
                </c:pt>
                <c:pt idx="29">
                  <c:v>207.726485346471</c:v>
                </c:pt>
                <c:pt idx="30">
                  <c:v>200.802269168254</c:v>
                </c:pt>
                <c:pt idx="31">
                  <c:v>194.32477661444</c:v>
                </c:pt>
                <c:pt idx="32">
                  <c:v>188.252127345239</c:v>
                </c:pt>
                <c:pt idx="33">
                  <c:v>182.547517425686</c:v>
                </c:pt>
                <c:pt idx="34">
                  <c:v>177.178472795518</c:v>
                </c:pt>
                <c:pt idx="35">
                  <c:v>172.116230715647</c:v>
                </c:pt>
                <c:pt idx="36">
                  <c:v>167.335224306879</c:v>
                </c:pt>
                <c:pt idx="37">
                  <c:v>162.812650676963</c:v>
                </c:pt>
                <c:pt idx="38">
                  <c:v>160.200718383452</c:v>
                </c:pt>
                <c:pt idx="39">
                  <c:v>158.169435562181</c:v>
                </c:pt>
                <c:pt idx="40">
                  <c:v>156.191299578173</c:v>
                </c:pt>
                <c:pt idx="41">
                  <c:v>154.264251551226</c:v>
                </c:pt>
                <c:pt idx="42">
                  <c:v>152.386337591944</c:v>
                </c:pt>
                <c:pt idx="43">
                  <c:v>150.555702193582</c:v>
                </c:pt>
                <c:pt idx="44">
                  <c:v>148.770582116797</c:v>
                </c:pt>
                <c:pt idx="45">
                  <c:v>147.02930072493</c:v>
                </c:pt>
                <c:pt idx="46">
                  <c:v>145.330262731562</c:v>
                </c:pt>
                <c:pt idx="47">
                  <c:v>143.671949325766</c:v>
                </c:pt>
                <c:pt idx="48">
                  <c:v>142.052913643732</c:v>
                </c:pt>
                <c:pt idx="49">
                  <c:v>140.4717765584</c:v>
                </c:pt>
                <c:pt idx="50">
                  <c:v>138.927222761344</c:v>
                </c:pt>
                <c:pt idx="51">
                  <c:v>137.417997113504</c:v>
                </c:pt>
                <c:pt idx="52">
                  <c:v>135.942901243498</c:v>
                </c:pt>
                <c:pt idx="53">
                  <c:v>134.500790374129</c:v>
                </c:pt>
                <c:pt idx="54">
                  <c:v>133.090570359429</c:v>
                </c:pt>
                <c:pt idx="55">
                  <c:v>131.711194916123</c:v>
                </c:pt>
                <c:pt idx="56">
                  <c:v>130.361663034788</c:v>
                </c:pt>
                <c:pt idx="57">
                  <c:v>129.041016557247</c:v>
                </c:pt>
                <c:pt idx="58">
                  <c:v>127.748337907876</c:v>
                </c:pt>
                <c:pt idx="59">
                  <c:v>126.482747967539</c:v>
                </c:pt>
                <c:pt idx="60">
                  <c:v>125.243404079787</c:v>
                </c:pt>
                <c:pt idx="61">
                  <c:v>124.02949817984</c:v>
                </c:pt>
                <c:pt idx="62">
                  <c:v>122.840255037594</c:v>
                </c:pt>
                <c:pt idx="63">
                  <c:v>121.674930606656</c:v>
                </c:pt>
                <c:pt idx="64">
                  <c:v>120.53281047199</c:v>
                </c:pt>
                <c:pt idx="65">
                  <c:v>119.413208389387</c:v>
                </c:pt>
                <c:pt idx="66">
                  <c:v>118.315464910481</c:v>
                </c:pt>
                <c:pt idx="67">
                  <c:v>117.238946087517</c:v>
                </c:pt>
                <c:pt idx="68">
                  <c:v>116.183042252529</c:v>
                </c:pt>
                <c:pt idx="69">
                  <c:v>115.147166865991</c:v>
                </c:pt>
                <c:pt idx="70">
                  <c:v>114.130755430364</c:v>
                </c:pt>
                <c:pt idx="71">
                  <c:v>113.133264464319</c:v>
                </c:pt>
                <c:pt idx="72">
                  <c:v>112.154170533719</c:v>
                </c:pt>
                <c:pt idx="73">
                  <c:v>111.192969335719</c:v>
                </c:pt>
                <c:pt idx="74">
                  <c:v>110.249174832634</c:v>
                </c:pt>
                <c:pt idx="75">
                  <c:v>109.322318432431</c:v>
                </c:pt>
                <c:pt idx="76">
                  <c:v>108.411948212959</c:v>
                </c:pt>
                <c:pt idx="77">
                  <c:v>107.517628187206</c:v>
                </c:pt>
                <c:pt idx="78">
                  <c:v>106.63893760708</c:v>
                </c:pt>
                <c:pt idx="79">
                  <c:v>105.775470303373</c:v>
                </c:pt>
                <c:pt idx="80">
                  <c:v>104.92683405974</c:v>
                </c:pt>
                <c:pt idx="81">
                  <c:v>104.092650018656</c:v>
                </c:pt>
                <c:pt idx="82">
                  <c:v>103.272552117471</c:v>
                </c:pt>
                <c:pt idx="83">
                  <c:v>102.466186552792</c:v>
                </c:pt>
                <c:pt idx="84">
                  <c:v>101.67321127155</c:v>
                </c:pt>
                <c:pt idx="85">
                  <c:v>100.893295487207</c:v>
                </c:pt>
                <c:pt idx="86">
                  <c:v>100.126119219677</c:v>
                </c:pt>
                <c:pt idx="87">
                  <c:v>99.3713728576023</c:v>
                </c:pt>
                <c:pt idx="88">
                  <c:v>98.6287567417454</c:v>
                </c:pt>
                <c:pt idx="89">
                  <c:v>97.8979807682966</c:v>
                </c:pt>
                <c:pt idx="90">
                  <c:v>97.1787640110137</c:v>
                </c:pt>
                <c:pt idx="91">
                  <c:v>96.4708343611479</c:v>
                </c:pt>
                <c:pt idx="92">
                  <c:v>95.7739281841922</c:v>
                </c:pt>
                <c:pt idx="93">
                  <c:v>95.0877899925397</c:v>
                </c:pt>
                <c:pt idx="94">
                  <c:v>94.4121721331991</c:v>
                </c:pt>
                <c:pt idx="95">
                  <c:v>93.7468344897655</c:v>
                </c:pt>
                <c:pt idx="96">
                  <c:v>93.0915441978936</c:v>
                </c:pt>
                <c:pt idx="97">
                  <c:v>92.4460753735623</c:v>
                </c:pt>
                <c:pt idx="98">
                  <c:v>91.8102088534694</c:v>
                </c:pt>
                <c:pt idx="99">
                  <c:v>91.1837319469249</c:v>
                </c:pt>
                <c:pt idx="100">
                  <c:v>90.5664381986552</c:v>
                </c:pt>
              </c:numCache>
            </c:numRef>
          </c:val>
          <c:smooth val="0"/>
        </c:ser>
        <c:ser>
          <c:idx val="11"/>
          <c:order val="11"/>
          <c:tx>
            <c:strRef>
              <c:f>"VIN-max"</c:f>
              <c:strCache>
                <c:ptCount val="1"/>
                <c:pt idx="0">
                  <c:v>VIN-max</c:v>
                </c:pt>
              </c:strCache>
            </c:strRef>
          </c:tx>
          <c:spPr>
            <a:ln w="28575" cap="rnd" cmpd="sng" algn="ctr">
              <a:solidFill>
                <a:srgbClr val="FF0000"/>
              </a:solidFill>
              <a:prstDash val="solid"/>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99.9506172839506</c:v>
                </c:pt>
                <c:pt idx="2">
                  <c:v>199.901234567901</c:v>
                </c:pt>
                <c:pt idx="3">
                  <c:v>299.851851851852</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349.929446560189</c:v>
                </c:pt>
                <c:pt idx="21">
                  <c:v>333.266139581132</c:v>
                </c:pt>
                <c:pt idx="22">
                  <c:v>318.117678691081</c:v>
                </c:pt>
                <c:pt idx="23">
                  <c:v>304.28647526973</c:v>
                </c:pt>
                <c:pt idx="24">
                  <c:v>291.607872133491</c:v>
                </c:pt>
                <c:pt idx="25">
                  <c:v>279.943557248151</c:v>
                </c:pt>
                <c:pt idx="26">
                  <c:v>269.176497353992</c:v>
                </c:pt>
                <c:pt idx="27">
                  <c:v>259.206997451991</c:v>
                </c:pt>
                <c:pt idx="28">
                  <c:v>249.949604685849</c:v>
                </c:pt>
                <c:pt idx="29">
                  <c:v>241.33065280013</c:v>
                </c:pt>
                <c:pt idx="30">
                  <c:v>233.286297706792</c:v>
                </c:pt>
                <c:pt idx="31">
                  <c:v>225.760933264638</c:v>
                </c:pt>
                <c:pt idx="32">
                  <c:v>218.705904100118</c:v>
                </c:pt>
                <c:pt idx="33">
                  <c:v>212.07845246072</c:v>
                </c:pt>
                <c:pt idx="34">
                  <c:v>205.840850917758</c:v>
                </c:pt>
                <c:pt idx="35">
                  <c:v>199.959683748679</c:v>
                </c:pt>
                <c:pt idx="36">
                  <c:v>194.405248088994</c:v>
                </c:pt>
                <c:pt idx="37">
                  <c:v>189.151052194696</c:v>
                </c:pt>
                <c:pt idx="38">
                  <c:v>184.173392926415</c:v>
                </c:pt>
                <c:pt idx="39">
                  <c:v>179.450998235994</c:v>
                </c:pt>
                <c:pt idx="40">
                  <c:v>174.964723280094</c:v>
                </c:pt>
                <c:pt idx="41">
                  <c:v>172.448582064446</c:v>
                </c:pt>
                <c:pt idx="42">
                  <c:v>170.264814650499</c:v>
                </c:pt>
                <c:pt idx="43">
                  <c:v>168.137937415887</c:v>
                </c:pt>
                <c:pt idx="44">
                  <c:v>166.065755843242</c:v>
                </c:pt>
                <c:pt idx="45">
                  <c:v>164.04618685256</c:v>
                </c:pt>
                <c:pt idx="46">
                  <c:v>162.077251816402</c:v>
                </c:pt>
                <c:pt idx="47">
                  <c:v>160.157070093945</c:v>
                </c:pt>
                <c:pt idx="48">
                  <c:v>158.283853039487</c:v>
                </c:pt>
                <c:pt idx="49">
                  <c:v>156.455898445257</c:v>
                </c:pt>
                <c:pt idx="50">
                  <c:v>154.671585382257</c:v>
                </c:pt>
                <c:pt idx="51">
                  <c:v>152.929369406263</c:v>
                </c:pt>
                <c:pt idx="52">
                  <c:v>151.227778099177</c:v>
                </c:pt>
                <c:pt idx="53">
                  <c:v>149.565406918688</c:v>
                </c:pt>
                <c:pt idx="54">
                  <c:v>147.940915331647</c:v>
                </c:pt>
                <c:pt idx="55">
                  <c:v>146.353023208779</c:v>
                </c:pt>
                <c:pt idx="56">
                  <c:v>144.80050746037</c:v>
                </c:pt>
                <c:pt idx="57">
                  <c:v>143.282198894325</c:v>
                </c:pt>
                <c:pt idx="58">
                  <c:v>141.796979279655</c:v>
                </c:pt>
                <c:pt idx="59">
                  <c:v>140.343778599876</c:v>
                </c:pt>
                <c:pt idx="60">
                  <c:v>138.921572482156</c:v>
                </c:pt>
                <c:pt idx="61">
                  <c:v>137.529379789218</c:v>
                </c:pt>
                <c:pt idx="62">
                  <c:v>136.166260362116</c:v>
                </c:pt>
                <c:pt idx="63">
                  <c:v>134.831312902955</c:v>
                </c:pt>
                <c:pt idx="64">
                  <c:v>133.52367298755</c:v>
                </c:pt>
                <c:pt idx="65">
                  <c:v>132.242511198802</c:v>
                </c:pt>
                <c:pt idx="66">
                  <c:v>130.987031372337</c:v>
                </c:pt>
                <c:pt idx="67">
                  <c:v>129.756468946592</c:v>
                </c:pt>
                <c:pt idx="68">
                  <c:v>128.550089410177</c:v>
                </c:pt>
                <c:pt idx="69">
                  <c:v>127.367186839887</c:v>
                </c:pt>
                <c:pt idx="70">
                  <c:v>126.207082523238</c:v>
                </c:pt>
                <c:pt idx="71">
                  <c:v>125.069123659888</c:v>
                </c:pt>
                <c:pt idx="72">
                  <c:v>123.952682136731</c:v>
                </c:pt>
                <c:pt idx="73">
                  <c:v>122.85715337181</c:v>
                </c:pt>
                <c:pt idx="74">
                  <c:v>121.781955222604</c:v>
                </c:pt>
                <c:pt idx="75">
                  <c:v>120.726526954532</c:v>
                </c:pt>
                <c:pt idx="76">
                  <c:v>119.690328265836</c:v>
                </c:pt>
                <c:pt idx="77">
                  <c:v>118.672838365287</c:v>
                </c:pt>
                <c:pt idx="78">
                  <c:v>117.673555099393</c:v>
                </c:pt>
                <c:pt idx="79">
                  <c:v>116.691994126051</c:v>
                </c:pt>
                <c:pt idx="80">
                  <c:v>115.727688131774</c:v>
                </c:pt>
                <c:pt idx="81">
                  <c:v>114.780186089844</c:v>
                </c:pt>
                <c:pt idx="82">
                  <c:v>113.849052556905</c:v>
                </c:pt>
                <c:pt idx="83">
                  <c:v>112.933867005709</c:v>
                </c:pt>
                <c:pt idx="84">
                  <c:v>112.034223191843</c:v>
                </c:pt>
                <c:pt idx="85">
                  <c:v>111.149728552463</c:v>
                </c:pt>
                <c:pt idx="86">
                  <c:v>110.280003635134</c:v>
                </c:pt>
                <c:pt idx="87">
                  <c:v>109.424681555052</c:v>
                </c:pt>
                <c:pt idx="88">
                  <c:v>108.583407479015</c:v>
                </c:pt>
                <c:pt idx="89">
                  <c:v>107.755838134602</c:v>
                </c:pt>
                <c:pt idx="90">
                  <c:v>106.941641343156</c:v>
                </c:pt>
                <c:pt idx="91">
                  <c:v>106.140495575216</c:v>
                </c:pt>
                <c:pt idx="92">
                  <c:v>105.352089527165</c:v>
                </c:pt>
                <c:pt idx="93">
                  <c:v>104.57612171791</c:v>
                </c:pt>
                <c:pt idx="94">
                  <c:v>103.812300104502</c:v>
                </c:pt>
                <c:pt idx="95">
                  <c:v>103.06034171567</c:v>
                </c:pt>
                <c:pt idx="96">
                  <c:v>102.319972302292</c:v>
                </c:pt>
                <c:pt idx="97">
                  <c:v>101.590926003909</c:v>
                </c:pt>
                <c:pt idx="98">
                  <c:v>100.872945030418</c:v>
                </c:pt>
                <c:pt idx="99">
                  <c:v>100.165779358157</c:v>
                </c:pt>
                <c:pt idx="100">
                  <c:v>99.4691864396134</c:v>
                </c:pt>
              </c:numCache>
            </c:numRef>
          </c:val>
          <c:smooth val="0"/>
        </c:ser>
        <c:ser>
          <c:idx val="12"/>
          <c:order val="12"/>
          <c:spPr>
            <a:ln w="28575" cap="rnd" cmpd="sng" algn="ctr">
              <a:noFill/>
              <a:prstDash val="solid"/>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146.582588832375</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3"/>
          <c:order val="13"/>
          <c:spPr>
            <a:ln w="28575" cap="rnd" cmpd="sng" algn="ctr">
              <a:noFill/>
              <a:prstDash val="solid"/>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162.812650676963</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4"/>
          <c:order val="14"/>
          <c:spPr>
            <a:ln w="28575" cap="rnd" cmpd="sng" algn="ctr">
              <a:noFill/>
              <a:prstDash val="solid"/>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174.964723280094</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15"/>
          <c:order val="15"/>
          <c:tx>
            <c:strRef>
              <c:f>"D1"</c:f>
              <c:strCache>
                <c:ptCount val="1"/>
                <c:pt idx="0">
                  <c:v>D1</c:v>
                </c:pt>
              </c:strCache>
            </c:strRef>
          </c:tx>
          <c:spPr>
            <a:ln w="25400" cap="rnd" cmpd="sng" algn="ctr">
              <a:solidFill>
                <a:srgbClr val="0000FF"/>
              </a:solidFill>
              <a:prstDash val="lgDash"/>
              <a:round/>
            </a:ln>
          </c:spPr>
          <c:marker>
            <c:symbol val="none"/>
          </c:marker>
          <c:dLbls>
            <c:delete val="1"/>
          </c:dLbls>
          <c:val>
            <c:numRef>
              <c:f>'Calculations - Dual'!$AU$5:$AU$105</c:f>
              <c:numCache>
                <c:formatCode>0.000</c:formatCode>
                <c:ptCount val="101"/>
                <c:pt idx="0">
                  <c:v>0.00625</c:v>
                </c:pt>
                <c:pt idx="1">
                  <c:v>0.0624691358024692</c:v>
                </c:pt>
                <c:pt idx="2">
                  <c:v>0.124938271604938</c:v>
                </c:pt>
                <c:pt idx="3">
                  <c:v>0.187407407407407</c:v>
                </c:pt>
                <c:pt idx="4">
                  <c:v>0.231240615425193</c:v>
                </c:pt>
                <c:pt idx="5">
                  <c:v>0.25853486762481</c:v>
                </c:pt>
                <c:pt idx="6">
                  <c:v>0.28321075779944</c:v>
                </c:pt>
                <c:pt idx="7">
                  <c:v>0.305902580716294</c:v>
                </c:pt>
                <c:pt idx="8">
                  <c:v>0.32702361450581</c:v>
                </c:pt>
                <c:pt idx="9">
                  <c:v>0.34686092313779</c:v>
                </c:pt>
                <c:pt idx="10">
                  <c:v>0.365623516141338</c:v>
                </c:pt>
                <c:pt idx="11">
                  <c:v>0.383469178828118</c:v>
                </c:pt>
                <c:pt idx="12">
                  <c:v>0.400520494689931</c:v>
                </c:pt>
                <c:pt idx="13">
                  <c:v>0.416874947942692</c:v>
                </c:pt>
                <c:pt idx="14">
                  <c:v>0.432611578413914</c:v>
                </c:pt>
                <c:pt idx="15">
                  <c:v>0.447795526254264</c:v>
                </c:pt>
                <c:pt idx="16">
                  <c:v>0.462481230850387</c:v>
                </c:pt>
                <c:pt idx="17">
                  <c:v>0.476714741165452</c:v>
                </c:pt>
                <c:pt idx="18">
                  <c:v>0.469050599031222</c:v>
                </c:pt>
                <c:pt idx="19">
                  <c:v>0.505619458818101</c:v>
                </c:pt>
                <c:pt idx="20">
                  <c:v>0.505619458818101</c:v>
                </c:pt>
                <c:pt idx="21">
                  <c:v>0.505619458818101</c:v>
                </c:pt>
                <c:pt idx="22">
                  <c:v>0.505619458818101</c:v>
                </c:pt>
                <c:pt idx="23">
                  <c:v>0.505619458818101</c:v>
                </c:pt>
                <c:pt idx="24">
                  <c:v>0.505619458818101</c:v>
                </c:pt>
                <c:pt idx="25">
                  <c:v>0.505619458818101</c:v>
                </c:pt>
                <c:pt idx="26">
                  <c:v>0.505619458818101</c:v>
                </c:pt>
                <c:pt idx="27">
                  <c:v>0.505619458818101</c:v>
                </c:pt>
                <c:pt idx="28">
                  <c:v>0.505619458818101</c:v>
                </c:pt>
                <c:pt idx="29">
                  <c:v>0.505619458818101</c:v>
                </c:pt>
                <c:pt idx="30">
                  <c:v>0.505619458818101</c:v>
                </c:pt>
                <c:pt idx="31">
                  <c:v>0.505619458818101</c:v>
                </c:pt>
                <c:pt idx="32">
                  <c:v>0.505619458818101</c:v>
                </c:pt>
                <c:pt idx="33">
                  <c:v>0.505619458818101</c:v>
                </c:pt>
                <c:pt idx="34">
                  <c:v>0.505619458818101</c:v>
                </c:pt>
                <c:pt idx="35">
                  <c:v>0.505619458818101</c:v>
                </c:pt>
                <c:pt idx="36">
                  <c:v>0.505619458818101</c:v>
                </c:pt>
                <c:pt idx="37">
                  <c:v>0.505619458818101</c:v>
                </c:pt>
                <c:pt idx="38">
                  <c:v>0.500627244948286</c:v>
                </c:pt>
                <c:pt idx="39">
                  <c:v>0.494279486131817</c:v>
                </c:pt>
                <c:pt idx="40">
                  <c:v>0.48809781118179</c:v>
                </c:pt>
                <c:pt idx="41">
                  <c:v>0.482075786097582</c:v>
                </c:pt>
                <c:pt idx="42">
                  <c:v>0.476207304974825</c:v>
                </c:pt>
                <c:pt idx="43">
                  <c:v>0.470486569354943</c:v>
                </c:pt>
                <c:pt idx="44">
                  <c:v>0.46490806911499</c:v>
                </c:pt>
                <c:pt idx="45">
                  <c:v>0.459466564765405</c:v>
                </c:pt>
                <c:pt idx="46">
                  <c:v>0.454157071036132</c:v>
                </c:pt>
                <c:pt idx="47">
                  <c:v>0.448974841643019</c:v>
                </c:pt>
                <c:pt idx="48">
                  <c:v>0.443915355136661</c:v>
                </c:pt>
                <c:pt idx="49">
                  <c:v>0.438974301745</c:v>
                </c:pt>
                <c:pt idx="50">
                  <c:v>0.434147571129201</c:v>
                </c:pt>
                <c:pt idx="51">
                  <c:v>0.429431240979701</c:v>
                </c:pt>
                <c:pt idx="52">
                  <c:v>0.424821566385932</c:v>
                </c:pt>
                <c:pt idx="53">
                  <c:v>0.420314969919153</c:v>
                </c:pt>
                <c:pt idx="54">
                  <c:v>0.415908032373215</c:v>
                </c:pt>
                <c:pt idx="55">
                  <c:v>0.411597484112884</c:v>
                </c:pt>
                <c:pt idx="56">
                  <c:v>0.407380196983712</c:v>
                </c:pt>
                <c:pt idx="57">
                  <c:v>0.403253176741396</c:v>
                </c:pt>
                <c:pt idx="58">
                  <c:v>0.399213555962113</c:v>
                </c:pt>
                <c:pt idx="59">
                  <c:v>0.395258587398559</c:v>
                </c:pt>
                <c:pt idx="60">
                  <c:v>0.391385637749335</c:v>
                </c:pt>
                <c:pt idx="61">
                  <c:v>0.387592181811999</c:v>
                </c:pt>
                <c:pt idx="62">
                  <c:v>0.383875796992482</c:v>
                </c:pt>
                <c:pt idx="63">
                  <c:v>0.380234158145801</c:v>
                </c:pt>
                <c:pt idx="64">
                  <c:v>0.376665032724968</c:v>
                </c:pt>
                <c:pt idx="65">
                  <c:v>0.373166276216833</c:v>
                </c:pt>
                <c:pt idx="66">
                  <c:v>0.369735827845252</c:v>
                </c:pt>
                <c:pt idx="67">
                  <c:v>0.366371706523489</c:v>
                </c:pt>
                <c:pt idx="68">
                  <c:v>0.363072007039153</c:v>
                </c:pt>
                <c:pt idx="69">
                  <c:v>0.359834896456222</c:v>
                </c:pt>
                <c:pt idx="70">
                  <c:v>0.356658610719886</c:v>
                </c:pt>
                <c:pt idx="71">
                  <c:v>0.353541451450997</c:v>
                </c:pt>
                <c:pt idx="72">
                  <c:v>0.350481782917872</c:v>
                </c:pt>
                <c:pt idx="73">
                  <c:v>0.347478029174123</c:v>
                </c:pt>
                <c:pt idx="74">
                  <c:v>0.344528671351981</c:v>
                </c:pt>
                <c:pt idx="75">
                  <c:v>0.341632245101346</c:v>
                </c:pt>
                <c:pt idx="76">
                  <c:v>0.338787338165496</c:v>
                </c:pt>
                <c:pt idx="77">
                  <c:v>0.335992588085018</c:v>
                </c:pt>
                <c:pt idx="78">
                  <c:v>0.333246680022125</c:v>
                </c:pt>
                <c:pt idx="79">
                  <c:v>0.330548344698041</c:v>
                </c:pt>
                <c:pt idx="80">
                  <c:v>0.327896356436687</c:v>
                </c:pt>
                <c:pt idx="81">
                  <c:v>0.325289531308299</c:v>
                </c:pt>
                <c:pt idx="82">
                  <c:v>0.322726725367095</c:v>
                </c:pt>
                <c:pt idx="83">
                  <c:v>0.320206832977475</c:v>
                </c:pt>
                <c:pt idx="84">
                  <c:v>0.317728785223594</c:v>
                </c:pt>
                <c:pt idx="85">
                  <c:v>0.315291548397523</c:v>
                </c:pt>
                <c:pt idx="86">
                  <c:v>0.31289412256149</c:v>
                </c:pt>
                <c:pt idx="87">
                  <c:v>0.310535540180007</c:v>
                </c:pt>
                <c:pt idx="88">
                  <c:v>0.308214864817954</c:v>
                </c:pt>
                <c:pt idx="89">
                  <c:v>0.305931189900927</c:v>
                </c:pt>
                <c:pt idx="90">
                  <c:v>0.303683637534418</c:v>
                </c:pt>
                <c:pt idx="91">
                  <c:v>0.301471357378587</c:v>
                </c:pt>
                <c:pt idx="92">
                  <c:v>0.2992935255756</c:v>
                </c:pt>
                <c:pt idx="93">
                  <c:v>0.297149343726687</c:v>
                </c:pt>
                <c:pt idx="94">
                  <c:v>0.295038037916247</c:v>
                </c:pt>
                <c:pt idx="95">
                  <c:v>0.292958857780517</c:v>
                </c:pt>
                <c:pt idx="96">
                  <c:v>0.290911075618417</c:v>
                </c:pt>
                <c:pt idx="97">
                  <c:v>0.288893985542382</c:v>
                </c:pt>
                <c:pt idx="98">
                  <c:v>0.286906902667092</c:v>
                </c:pt>
                <c:pt idx="99">
                  <c:v>0.28494916233414</c:v>
                </c:pt>
                <c:pt idx="100">
                  <c:v>0.283020119370798</c:v>
                </c:pt>
              </c:numCache>
            </c:numRef>
          </c:val>
          <c:smooth val="0"/>
        </c:ser>
        <c:ser>
          <c:idx val="16"/>
          <c:order val="16"/>
          <c:spPr>
            <a:ln w="25400" cap="rnd" cmpd="sng" algn="ctr">
              <a:solidFill>
                <a:srgbClr val="00B050"/>
              </a:solidFill>
              <a:prstDash val="dash"/>
              <a:round/>
            </a:ln>
          </c:spPr>
          <c:marker>
            <c:symbol val="none"/>
          </c:marker>
          <c:dLbls>
            <c:delete val="1"/>
          </c:dLbls>
          <c:val>
            <c:numRef>
              <c:f>'Calculations - Dual'!$AU$110:$AU$210</c:f>
              <c:numCache>
                <c:formatCode>0.000</c:formatCode>
                <c:ptCount val="101"/>
                <c:pt idx="0">
                  <c:v>0.0075</c:v>
                </c:pt>
                <c:pt idx="1">
                  <c:v>0.074962962962963</c:v>
                </c:pt>
                <c:pt idx="2">
                  <c:v>0.149925925925926</c:v>
                </c:pt>
                <c:pt idx="3">
                  <c:v>0.224888888888889</c:v>
                </c:pt>
                <c:pt idx="4">
                  <c:v>0.277488738510232</c:v>
                </c:pt>
                <c:pt idx="5">
                  <c:v>0.310241841149771</c:v>
                </c:pt>
                <c:pt idx="6">
                  <c:v>0.339852909359329</c:v>
                </c:pt>
                <c:pt idx="7">
                  <c:v>0.367083096859553</c:v>
                </c:pt>
                <c:pt idx="8">
                  <c:v>0.392428337406972</c:v>
                </c:pt>
                <c:pt idx="9">
                  <c:v>0.416233107765348</c:v>
                </c:pt>
                <c:pt idx="10">
                  <c:v>0.438748219369606</c:v>
                </c:pt>
                <c:pt idx="11">
                  <c:v>0.460163014593742</c:v>
                </c:pt>
                <c:pt idx="12">
                  <c:v>0.480624593627917</c:v>
                </c:pt>
                <c:pt idx="13">
                  <c:v>0.50024993753123</c:v>
                </c:pt>
                <c:pt idx="14">
                  <c:v>0.519133894096696</c:v>
                </c:pt>
                <c:pt idx="15">
                  <c:v>0.508533060394329</c:v>
                </c:pt>
                <c:pt idx="16">
                  <c:v>0.551021874214288</c:v>
                </c:pt>
                <c:pt idx="17">
                  <c:v>0.551021874214288</c:v>
                </c:pt>
                <c:pt idx="18">
                  <c:v>0.551021874214288</c:v>
                </c:pt>
                <c:pt idx="19">
                  <c:v>0.551021874214288</c:v>
                </c:pt>
                <c:pt idx="20">
                  <c:v>0.551021874214288</c:v>
                </c:pt>
                <c:pt idx="21">
                  <c:v>0.551021874214288</c:v>
                </c:pt>
                <c:pt idx="22">
                  <c:v>0.551021874214288</c:v>
                </c:pt>
                <c:pt idx="23">
                  <c:v>0.551021874214288</c:v>
                </c:pt>
                <c:pt idx="24">
                  <c:v>0.551021874214288</c:v>
                </c:pt>
                <c:pt idx="25">
                  <c:v>0.551021874214288</c:v>
                </c:pt>
                <c:pt idx="26">
                  <c:v>0.551021874214288</c:v>
                </c:pt>
                <c:pt idx="27">
                  <c:v>0.551021874214288</c:v>
                </c:pt>
                <c:pt idx="28">
                  <c:v>0.551021874214288</c:v>
                </c:pt>
                <c:pt idx="29">
                  <c:v>0.551021874214288</c:v>
                </c:pt>
                <c:pt idx="30">
                  <c:v>0.551021874214288</c:v>
                </c:pt>
                <c:pt idx="31">
                  <c:v>0.551021874214288</c:v>
                </c:pt>
                <c:pt idx="32">
                  <c:v>0.551021874214288</c:v>
                </c:pt>
                <c:pt idx="33">
                  <c:v>0.551021874214288</c:v>
                </c:pt>
                <c:pt idx="34">
                  <c:v>0.549684708121407</c:v>
                </c:pt>
                <c:pt idx="35">
                  <c:v>0.542659032306144</c:v>
                </c:pt>
                <c:pt idx="36">
                  <c:v>0.535819367101963</c:v>
                </c:pt>
                <c:pt idx="37">
                  <c:v>0.529158421843603</c:v>
                </c:pt>
                <c:pt idx="38">
                  <c:v>0.522669281961217</c:v>
                </c:pt>
                <c:pt idx="39">
                  <c:v>0.516345385037634</c:v>
                </c:pt>
                <c:pt idx="40">
                  <c:v>0.510180498671689</c:v>
                </c:pt>
                <c:pt idx="41">
                  <c:v>0.504168699990677</c:v>
                </c:pt>
                <c:pt idx="42">
                  <c:v>0.498304356670311</c:v>
                </c:pt>
                <c:pt idx="43">
                  <c:v>0.492582109334404</c:v>
                </c:pt>
                <c:pt idx="44">
                  <c:v>0.486996855218604</c:v>
                </c:pt>
                <c:pt idx="45">
                  <c:v>0.481543732993558</c:v>
                </c:pt>
                <c:pt idx="46">
                  <c:v>0.476218108652599</c:v>
                </c:pt>
                <c:pt idx="47">
                  <c:v>0.471015562377876</c:v>
                </c:pt>
                <c:pt idx="48">
                  <c:v>0.465931876306665</c:v>
                </c:pt>
                <c:pt idx="49">
                  <c:v>0.460963023126707</c:v>
                </c:pt>
                <c:pt idx="50">
                  <c:v>0.456105155435756</c:v>
                </c:pt>
                <c:pt idx="51">
                  <c:v>0.451354595806255</c:v>
                </c:pt>
                <c:pt idx="52">
                  <c:v>0.446707827501222</c:v>
                </c:pt>
                <c:pt idx="53">
                  <c:v>0.442161485792082</c:v>
                </c:pt>
                <c:pt idx="54">
                  <c:v>0.437712349833402</c:v>
                </c:pt>
                <c:pt idx="55">
                  <c:v>0.433357335053295</c:v>
                </c:pt>
                <c:pt idx="56">
                  <c:v>0.429093486021713</c:v>
                </c:pt>
                <c:pt idx="57">
                  <c:v>0.424917969761971</c:v>
                </c:pt>
                <c:pt idx="58">
                  <c:v>0.4208280694737</c:v>
                </c:pt>
                <c:pt idx="59">
                  <c:v>0.416821178638004</c:v>
                </c:pt>
                <c:pt idx="60">
                  <c:v>0.412894795477936</c:v>
                </c:pt>
                <c:pt idx="61">
                  <c:v>0.409046517749559</c:v>
                </c:pt>
                <c:pt idx="62">
                  <c:v>0.405274037840804</c:v>
                </c:pt>
                <c:pt idx="63">
                  <c:v>0.401575138157106</c:v>
                </c:pt>
                <c:pt idx="64">
                  <c:v>0.397947686774439</c:v>
                </c:pt>
                <c:pt idx="65">
                  <c:v>0.394389633341839</c:v>
                </c:pt>
                <c:pt idx="66">
                  <c:v>0.390899005216867</c:v>
                </c:pt>
                <c:pt idx="67">
                  <c:v>0.387473903818715</c:v>
                </c:pt>
                <c:pt idx="68">
                  <c:v>0.384112501184775</c:v>
                </c:pt>
                <c:pt idx="69">
                  <c:v>0.380813036717564</c:v>
                </c:pt>
                <c:pt idx="70">
                  <c:v>0.37757381410983</c:v>
                </c:pt>
                <c:pt idx="71">
                  <c:v>0.374393198436559</c:v>
                </c:pt>
                <c:pt idx="72">
                  <c:v>0.371269613403411</c:v>
                </c:pt>
                <c:pt idx="73">
                  <c:v>0.368201538741854</c:v>
                </c:pt>
                <c:pt idx="74">
                  <c:v>0.365187507741944</c:v>
                </c:pt>
                <c:pt idx="75">
                  <c:v>0.362226104914356</c:v>
                </c:pt>
                <c:pt idx="76">
                  <c:v>0.359315963773818</c:v>
                </c:pt>
                <c:pt idx="77">
                  <c:v>0.356455764736665</c:v>
                </c:pt>
                <c:pt idx="78">
                  <c:v>0.353644233125716</c:v>
                </c:pt>
                <c:pt idx="79">
                  <c:v>0.350880137276133</c:v>
                </c:pt>
                <c:pt idx="80">
                  <c:v>0.348162286736355</c:v>
                </c:pt>
                <c:pt idx="81">
                  <c:v>0.345489530558578</c:v>
                </c:pt>
                <c:pt idx="82">
                  <c:v>0.342860755673627</c:v>
                </c:pt>
                <c:pt idx="83">
                  <c:v>0.340274885345407</c:v>
                </c:pt>
                <c:pt idx="84">
                  <c:v>0.337730877700404</c:v>
                </c:pt>
                <c:pt idx="85">
                  <c:v>0.335227724328044</c:v>
                </c:pt>
                <c:pt idx="86">
                  <c:v>0.332764448947938</c:v>
                </c:pt>
                <c:pt idx="87">
                  <c:v>0.330340106140317</c:v>
                </c:pt>
                <c:pt idx="88">
                  <c:v>0.327953780136204</c:v>
                </c:pt>
                <c:pt idx="89">
                  <c:v>0.325604583664044</c:v>
                </c:pt>
                <c:pt idx="90">
                  <c:v>0.323291656849767</c:v>
                </c:pt>
                <c:pt idx="91">
                  <c:v>0.321014166167402</c:v>
                </c:pt>
                <c:pt idx="92">
                  <c:v>0.318771303437553</c:v>
                </c:pt>
                <c:pt idx="93">
                  <c:v>0.316562284871223</c:v>
                </c:pt>
                <c:pt idx="94">
                  <c:v>0.314386350156592</c:v>
                </c:pt>
                <c:pt idx="95">
                  <c:v>0.312242761586518</c:v>
                </c:pt>
                <c:pt idx="96">
                  <c:v>0.310130803224674</c:v>
                </c:pt>
                <c:pt idx="97">
                  <c:v>0.308049780108312</c:v>
                </c:pt>
                <c:pt idx="98">
                  <c:v>0.305999017485817</c:v>
                </c:pt>
                <c:pt idx="99">
                  <c:v>0.303977860087275</c:v>
                </c:pt>
                <c:pt idx="100">
                  <c:v>0.301985671426408</c:v>
                </c:pt>
              </c:numCache>
            </c:numRef>
          </c:val>
          <c:smooth val="0"/>
        </c:ser>
        <c:ser>
          <c:idx val="17"/>
          <c:order val="17"/>
          <c:spPr>
            <a:ln w="25400" cap="rnd" cmpd="sng" algn="ctr">
              <a:solidFill>
                <a:srgbClr val="FF0000"/>
              </a:solidFill>
              <a:prstDash val="solid"/>
              <a:round/>
            </a:ln>
          </c:spPr>
          <c:marker>
            <c:symbol val="none"/>
          </c:marker>
          <c:dLbls>
            <c:delete val="1"/>
          </c:dLbls>
          <c:val>
            <c:numRef>
              <c:f>'Calculations - Dual'!$AU$216:$AU$316</c:f>
              <c:numCache>
                <c:formatCode>0.000</c:formatCode>
                <c:ptCount val="101"/>
                <c:pt idx="0">
                  <c:v>0.00535714285714286</c:v>
                </c:pt>
                <c:pt idx="1">
                  <c:v>0.0535449735449736</c:v>
                </c:pt>
                <c:pt idx="2">
                  <c:v>0.107089947089947</c:v>
                </c:pt>
                <c:pt idx="3">
                  <c:v>0.160634920634921</c:v>
                </c:pt>
                <c:pt idx="4">
                  <c:v>0.198206241793023</c:v>
                </c:pt>
                <c:pt idx="5">
                  <c:v>0.22160131510698</c:v>
                </c:pt>
                <c:pt idx="6">
                  <c:v>0.242752078113806</c:v>
                </c:pt>
                <c:pt idx="7">
                  <c:v>0.262202212042538</c:v>
                </c:pt>
                <c:pt idx="8">
                  <c:v>0.280305955290694</c:v>
                </c:pt>
                <c:pt idx="9">
                  <c:v>0.297309362689534</c:v>
                </c:pt>
                <c:pt idx="10">
                  <c:v>0.313391585264004</c:v>
                </c:pt>
                <c:pt idx="11">
                  <c:v>0.328687867566958</c:v>
                </c:pt>
                <c:pt idx="12">
                  <c:v>0.343303281162798</c:v>
                </c:pt>
                <c:pt idx="13">
                  <c:v>0.357321383950879</c:v>
                </c:pt>
                <c:pt idx="14">
                  <c:v>0.370809924354783</c:v>
                </c:pt>
                <c:pt idx="15">
                  <c:v>0.383824736789369</c:v>
                </c:pt>
                <c:pt idx="16">
                  <c:v>0.396412483586046</c:v>
                </c:pt>
                <c:pt idx="17">
                  <c:v>0.408612635284674</c:v>
                </c:pt>
                <c:pt idx="18">
                  <c:v>0.420458932936041</c:v>
                </c:pt>
                <c:pt idx="19">
                  <c:v>0.431980488977388</c:v>
                </c:pt>
                <c:pt idx="20">
                  <c:v>0.443113288870831</c:v>
                </c:pt>
                <c:pt idx="21">
                  <c:v>0.432434290933508</c:v>
                </c:pt>
                <c:pt idx="22">
                  <c:v>0.467129502755702</c:v>
                </c:pt>
                <c:pt idx="23">
                  <c:v>0.467129502755702</c:v>
                </c:pt>
                <c:pt idx="24">
                  <c:v>0.467129502755702</c:v>
                </c:pt>
                <c:pt idx="25">
                  <c:v>0.467129502755702</c:v>
                </c:pt>
                <c:pt idx="26">
                  <c:v>0.467129502755702</c:v>
                </c:pt>
                <c:pt idx="27">
                  <c:v>0.467129502755702</c:v>
                </c:pt>
                <c:pt idx="28">
                  <c:v>0.467129502755702</c:v>
                </c:pt>
                <c:pt idx="29">
                  <c:v>0.467129502755702</c:v>
                </c:pt>
                <c:pt idx="30">
                  <c:v>0.467129502755702</c:v>
                </c:pt>
                <c:pt idx="31">
                  <c:v>0.467129502755702</c:v>
                </c:pt>
                <c:pt idx="32">
                  <c:v>0.467129502755702</c:v>
                </c:pt>
                <c:pt idx="33">
                  <c:v>0.467129502755702</c:v>
                </c:pt>
                <c:pt idx="34">
                  <c:v>0.467129502755702</c:v>
                </c:pt>
                <c:pt idx="35">
                  <c:v>0.467129502755702</c:v>
                </c:pt>
                <c:pt idx="36">
                  <c:v>0.467129502755702</c:v>
                </c:pt>
                <c:pt idx="37">
                  <c:v>0.467129502755702</c:v>
                </c:pt>
                <c:pt idx="38">
                  <c:v>0.467129502755702</c:v>
                </c:pt>
                <c:pt idx="39">
                  <c:v>0.467129502755702</c:v>
                </c:pt>
                <c:pt idx="40">
                  <c:v>0.467129502755702</c:v>
                </c:pt>
                <c:pt idx="41">
                  <c:v>0.46191584481548</c:v>
                </c:pt>
                <c:pt idx="42">
                  <c:v>0.456066467813837</c:v>
                </c:pt>
                <c:pt idx="43">
                  <c:v>0.450369475221126</c:v>
                </c:pt>
                <c:pt idx="44">
                  <c:v>0.444818988865826</c:v>
                </c:pt>
                <c:pt idx="45">
                  <c:v>0.439409429069358</c:v>
                </c:pt>
                <c:pt idx="46">
                  <c:v>0.43413549593679</c:v>
                </c:pt>
                <c:pt idx="47">
                  <c:v>0.428992152037353</c:v>
                </c:pt>
                <c:pt idx="48">
                  <c:v>0.423974606355769</c:v>
                </c:pt>
                <c:pt idx="49">
                  <c:v>0.419078299406939</c:v>
                </c:pt>
                <c:pt idx="50">
                  <c:v>0.414298889416761</c:v>
                </c:pt>
                <c:pt idx="51">
                  <c:v>0.409632239481061</c:v>
                </c:pt>
                <c:pt idx="52">
                  <c:v>0.405074405622796</c:v>
                </c:pt>
                <c:pt idx="53">
                  <c:v>0.400621625675058</c:v>
                </c:pt>
                <c:pt idx="54">
                  <c:v>0.396270308924054</c:v>
                </c:pt>
                <c:pt idx="55">
                  <c:v>0.392017026452087</c:v>
                </c:pt>
                <c:pt idx="56">
                  <c:v>0.387858502125991</c:v>
                </c:pt>
                <c:pt idx="57">
                  <c:v>0.383791604181229</c:v>
                </c:pt>
                <c:pt idx="58">
                  <c:v>0.37981333735622</c:v>
                </c:pt>
                <c:pt idx="59">
                  <c:v>0.375920835535383</c:v>
                </c:pt>
                <c:pt idx="60">
                  <c:v>0.372111354862917</c:v>
                </c:pt>
                <c:pt idx="61">
                  <c:v>0.368382267292547</c:v>
                </c:pt>
                <c:pt idx="62">
                  <c:v>0.364731054541381</c:v>
                </c:pt>
                <c:pt idx="63">
                  <c:v>0.361155302418629</c:v>
                </c:pt>
                <c:pt idx="64">
                  <c:v>0.357652695502365</c:v>
                </c:pt>
                <c:pt idx="65">
                  <c:v>0.354221012139649</c:v>
                </c:pt>
                <c:pt idx="66">
                  <c:v>0.350858119747331</c:v>
                </c:pt>
                <c:pt idx="67">
                  <c:v>0.347561970392656</c:v>
                </c:pt>
                <c:pt idx="68">
                  <c:v>0.344330596634403</c:v>
                </c:pt>
                <c:pt idx="69">
                  <c:v>0.341162107606841</c:v>
                </c:pt>
                <c:pt idx="70">
                  <c:v>0.338054685330101</c:v>
                </c:pt>
                <c:pt idx="71">
                  <c:v>0.335006581231843</c:v>
                </c:pt>
                <c:pt idx="72">
                  <c:v>0.332016112866243</c:v>
                </c:pt>
                <c:pt idx="73">
                  <c:v>0.329081660817347</c:v>
                </c:pt>
                <c:pt idx="74">
                  <c:v>0.326201665774832</c:v>
                </c:pt>
                <c:pt idx="75">
                  <c:v>0.323374625771067</c:v>
                </c:pt>
                <c:pt idx="76">
                  <c:v>0.320599093569205</c:v>
                </c:pt>
                <c:pt idx="77">
                  <c:v>0.317873674192734</c:v>
                </c:pt>
                <c:pt idx="78">
                  <c:v>0.31519702258766</c:v>
                </c:pt>
                <c:pt idx="79">
                  <c:v>0.312567841409065</c:v>
                </c:pt>
                <c:pt idx="80">
                  <c:v>0.309984878924395</c:v>
                </c:pt>
                <c:pt idx="81">
                  <c:v>0.307446927026368</c:v>
                </c:pt>
                <c:pt idx="82">
                  <c:v>0.304952819348853</c:v>
                </c:pt>
                <c:pt idx="83">
                  <c:v>0.302501429479576</c:v>
                </c:pt>
                <c:pt idx="84">
                  <c:v>0.300091669263866</c:v>
                </c:pt>
                <c:pt idx="85">
                  <c:v>0.297722487194098</c:v>
                </c:pt>
                <c:pt idx="86">
                  <c:v>0.295392866879822</c:v>
                </c:pt>
                <c:pt idx="87">
                  <c:v>0.29310182559389</c:v>
                </c:pt>
                <c:pt idx="88">
                  <c:v>0.290848412890219</c:v>
                </c:pt>
                <c:pt idx="89">
                  <c:v>0.288631709289113</c:v>
                </c:pt>
                <c:pt idx="90">
                  <c:v>0.28645082502631</c:v>
                </c:pt>
                <c:pt idx="91">
                  <c:v>0.284304898862185</c:v>
                </c:pt>
                <c:pt idx="92">
                  <c:v>0.282193096947763</c:v>
                </c:pt>
                <c:pt idx="93">
                  <c:v>0.280114611744401</c:v>
                </c:pt>
                <c:pt idx="94">
                  <c:v>0.278068660994202</c:v>
                </c:pt>
                <c:pt idx="95">
                  <c:v>0.276054486738403</c:v>
                </c:pt>
                <c:pt idx="96">
                  <c:v>0.27407135438114</c:v>
                </c:pt>
                <c:pt idx="97">
                  <c:v>0.272118551796184</c:v>
                </c:pt>
                <c:pt idx="98">
                  <c:v>0.270195388474333</c:v>
                </c:pt>
                <c:pt idx="99">
                  <c:v>0.268301194709348</c:v>
                </c:pt>
                <c:pt idx="100">
                  <c:v>0.266435320820393</c:v>
                </c:pt>
              </c:numCache>
            </c:numRef>
          </c:val>
          <c:smooth val="0"/>
        </c:ser>
        <c:ser>
          <c:idx val="1"/>
          <c:order val="0"/>
          <c:tx>
            <c:strRef>
              <c:f>"VIN-min"</c:f>
              <c:strCache>
                <c:ptCount val="1"/>
                <c:pt idx="0">
                  <c:v>VIN-min</c:v>
                </c:pt>
              </c:strCache>
            </c:strRef>
          </c:tx>
          <c:spPr>
            <a:ln w="28575" cap="rnd" cmpd="sng" algn="ctr">
              <a:solidFill>
                <a:srgbClr val="00B050"/>
              </a:solidFill>
              <a:prstDash val="sysDash"/>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99.9506172839506</c:v>
                </c:pt>
                <c:pt idx="2">
                  <c:v>199.901234567901</c:v>
                </c:pt>
                <c:pt idx="3">
                  <c:v>299.851851851852</c:v>
                </c:pt>
                <c:pt idx="4">
                  <c:v>350</c:v>
                </c:pt>
                <c:pt idx="5">
                  <c:v>350</c:v>
                </c:pt>
                <c:pt idx="6">
                  <c:v>350</c:v>
                </c:pt>
                <c:pt idx="7">
                  <c:v>350</c:v>
                </c:pt>
                <c:pt idx="8">
                  <c:v>350</c:v>
                </c:pt>
                <c:pt idx="9">
                  <c:v>350</c:v>
                </c:pt>
                <c:pt idx="10">
                  <c:v>350</c:v>
                </c:pt>
                <c:pt idx="11">
                  <c:v>350</c:v>
                </c:pt>
                <c:pt idx="12">
                  <c:v>350</c:v>
                </c:pt>
                <c:pt idx="13">
                  <c:v>350</c:v>
                </c:pt>
                <c:pt idx="14">
                  <c:v>350</c:v>
                </c:pt>
                <c:pt idx="15">
                  <c:v>331.227388213775</c:v>
                </c:pt>
                <c:pt idx="16">
                  <c:v>310.525676450414</c:v>
                </c:pt>
                <c:pt idx="17">
                  <c:v>292.259460188625</c:v>
                </c:pt>
                <c:pt idx="18">
                  <c:v>276.022823511479</c:v>
                </c:pt>
                <c:pt idx="19">
                  <c:v>261.495306484559</c:v>
                </c:pt>
                <c:pt idx="20">
                  <c:v>248.420541160331</c:v>
                </c:pt>
                <c:pt idx="21">
                  <c:v>236.590991581268</c:v>
                </c:pt>
                <c:pt idx="22">
                  <c:v>225.836855600301</c:v>
                </c:pt>
                <c:pt idx="23">
                  <c:v>216.017861878549</c:v>
                </c:pt>
                <c:pt idx="24">
                  <c:v>207.017117633609</c:v>
                </c:pt>
                <c:pt idx="25">
                  <c:v>198.736432928265</c:v>
                </c:pt>
                <c:pt idx="26">
                  <c:v>191.092723969485</c:v>
                </c:pt>
                <c:pt idx="27">
                  <c:v>184.015215674319</c:v>
                </c:pt>
                <c:pt idx="28">
                  <c:v>177.443243685951</c:v>
                </c:pt>
                <c:pt idx="29">
                  <c:v>171.324511145056</c:v>
                </c:pt>
                <c:pt idx="30">
                  <c:v>165.613694106887</c:v>
                </c:pt>
                <c:pt idx="31">
                  <c:v>160.271316877634</c:v>
                </c:pt>
                <c:pt idx="32">
                  <c:v>155.262838225207</c:v>
                </c:pt>
                <c:pt idx="33">
                  <c:v>150.557903733534</c:v>
                </c:pt>
                <c:pt idx="34">
                  <c:v>146.582588832375</c:v>
                </c:pt>
                <c:pt idx="35">
                  <c:v>144.709075281638</c:v>
                </c:pt>
                <c:pt idx="36">
                  <c:v>142.885164560524</c:v>
                </c:pt>
                <c:pt idx="37">
                  <c:v>141.108912491627</c:v>
                </c:pt>
                <c:pt idx="38">
                  <c:v>139.378475189658</c:v>
                </c:pt>
                <c:pt idx="39">
                  <c:v>137.692102676702</c:v>
                </c:pt>
                <c:pt idx="40">
                  <c:v>136.048132979117</c:v>
                </c:pt>
                <c:pt idx="41">
                  <c:v>134.444986664181</c:v>
                </c:pt>
                <c:pt idx="42">
                  <c:v>132.88116177875</c:v>
                </c:pt>
                <c:pt idx="43">
                  <c:v>131.355229155841</c:v>
                </c:pt>
                <c:pt idx="44">
                  <c:v>129.865828058294</c:v>
                </c:pt>
                <c:pt idx="45">
                  <c:v>128.411662131616</c:v>
                </c:pt>
                <c:pt idx="46">
                  <c:v>126.991495640693</c:v>
                </c:pt>
                <c:pt idx="47">
                  <c:v>125.604149967434</c:v>
                </c:pt>
                <c:pt idx="48">
                  <c:v>124.248500348444</c:v>
                </c:pt>
                <c:pt idx="49">
                  <c:v>122.923472833789</c:v>
                </c:pt>
                <c:pt idx="50">
                  <c:v>121.628041449535</c:v>
                </c:pt>
                <c:pt idx="51">
                  <c:v>120.361225548335</c:v>
                </c:pt>
                <c:pt idx="52">
                  <c:v>119.122087333659</c:v>
                </c:pt>
                <c:pt idx="53">
                  <c:v>117.909729544555</c:v>
                </c:pt>
                <c:pt idx="54">
                  <c:v>116.723293288907</c:v>
                </c:pt>
                <c:pt idx="55">
                  <c:v>115.561956014212</c:v>
                </c:pt>
                <c:pt idx="56">
                  <c:v>114.42492960579</c:v>
                </c:pt>
                <c:pt idx="57">
                  <c:v>113.311458603192</c:v>
                </c:pt>
                <c:pt idx="58">
                  <c:v>112.22081852632</c:v>
                </c:pt>
                <c:pt idx="59">
                  <c:v>111.152314303468</c:v>
                </c:pt>
                <c:pt idx="60">
                  <c:v>110.105278794116</c:v>
                </c:pt>
                <c:pt idx="61">
                  <c:v>109.079071399882</c:v>
                </c:pt>
                <c:pt idx="62">
                  <c:v>108.073076757548</c:v>
                </c:pt>
                <c:pt idx="63">
                  <c:v>107.086703508561</c:v>
                </c:pt>
                <c:pt idx="64">
                  <c:v>106.11938313985</c:v>
                </c:pt>
                <c:pt idx="65">
                  <c:v>105.170568891157</c:v>
                </c:pt>
                <c:pt idx="66">
                  <c:v>104.239734724498</c:v>
                </c:pt>
                <c:pt idx="67">
                  <c:v>103.326374351657</c:v>
                </c:pt>
                <c:pt idx="68">
                  <c:v>102.43000031594</c:v>
                </c:pt>
                <c:pt idx="69">
                  <c:v>101.550143124684</c:v>
                </c:pt>
                <c:pt idx="70">
                  <c:v>100.686350429288</c:v>
                </c:pt>
                <c:pt idx="71">
                  <c:v>99.8381862497491</c:v>
                </c:pt>
                <c:pt idx="72">
                  <c:v>99.0052302409097</c:v>
                </c:pt>
                <c:pt idx="73">
                  <c:v>98.1870769978277</c:v>
                </c:pt>
                <c:pt idx="74">
                  <c:v>97.3833353978517</c:v>
                </c:pt>
                <c:pt idx="75">
                  <c:v>96.5936279771617</c:v>
                </c:pt>
                <c:pt idx="76">
                  <c:v>95.8175903396849</c:v>
                </c:pt>
                <c:pt idx="77">
                  <c:v>95.0548705964441</c:v>
                </c:pt>
                <c:pt idx="78">
                  <c:v>94.3051288335242</c:v>
                </c:pt>
                <c:pt idx="79">
                  <c:v>93.5680366069687</c:v>
                </c:pt>
                <c:pt idx="80">
                  <c:v>92.843276463028</c:v>
                </c:pt>
                <c:pt idx="81">
                  <c:v>92.1305414822873</c:v>
                </c:pt>
                <c:pt idx="82">
                  <c:v>91.4295348463005</c:v>
                </c:pt>
                <c:pt idx="83">
                  <c:v>90.7399694254418</c:v>
                </c:pt>
                <c:pt idx="84">
                  <c:v>90.0615673867743</c:v>
                </c:pt>
                <c:pt idx="85">
                  <c:v>89.3940598208119</c:v>
                </c:pt>
                <c:pt idx="86">
                  <c:v>88.7371863861168</c:v>
                </c:pt>
                <c:pt idx="87">
                  <c:v>88.0906949707513</c:v>
                </c:pt>
                <c:pt idx="88">
                  <c:v>87.4543413696544</c:v>
                </c:pt>
                <c:pt idx="89">
                  <c:v>86.8278889770784</c:v>
                </c:pt>
                <c:pt idx="90">
                  <c:v>86.2111084932713</c:v>
                </c:pt>
                <c:pt idx="91">
                  <c:v>85.6037776446404</c:v>
                </c:pt>
                <c:pt idx="92">
                  <c:v>85.0056809166807</c:v>
                </c:pt>
                <c:pt idx="93">
                  <c:v>84.4166092989929</c:v>
                </c:pt>
                <c:pt idx="94">
                  <c:v>83.8363600417579</c:v>
                </c:pt>
                <c:pt idx="95">
                  <c:v>83.2647364230716</c:v>
                </c:pt>
                <c:pt idx="96">
                  <c:v>82.7015475265798</c:v>
                </c:pt>
                <c:pt idx="97">
                  <c:v>82.1466080288831</c:v>
                </c:pt>
                <c:pt idx="98">
                  <c:v>81.5997379962178</c:v>
                </c:pt>
                <c:pt idx="99">
                  <c:v>81.0607626899399</c:v>
                </c:pt>
                <c:pt idx="100">
                  <c:v>80.5295123803755</c:v>
                </c:pt>
              </c:numCache>
            </c:numRef>
          </c:val>
          <c:smooth val="0"/>
        </c:ser>
        <c:ser>
          <c:idx val="0"/>
          <c:order val="1"/>
          <c:tx>
            <c:strRef>
              <c:f>"VIN-nom"</c:f>
              <c:strCache>
                <c:ptCount val="1"/>
                <c:pt idx="0">
                  <c:v>VIN-nom</c:v>
                </c:pt>
              </c:strCache>
            </c:strRef>
          </c:tx>
          <c:spPr>
            <a:ln w="28575" cap="rnd" cmpd="sng" algn="ctr">
              <a:solidFill>
                <a:srgbClr val="0000FF"/>
              </a:solidFill>
              <a:prstDash val="lgDash"/>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99.9506172839506</c:v>
                </c:pt>
                <c:pt idx="2">
                  <c:v>199.901234567901</c:v>
                </c:pt>
                <c:pt idx="3">
                  <c:v>299.851851851852</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334.670448613758</c:v>
                </c:pt>
                <c:pt idx="19">
                  <c:v>317.056214476191</c:v>
                </c:pt>
                <c:pt idx="20">
                  <c:v>301.203403752382</c:v>
                </c:pt>
                <c:pt idx="21">
                  <c:v>286.860384526078</c:v>
                </c:pt>
                <c:pt idx="22">
                  <c:v>273.821276138529</c:v>
                </c:pt>
                <c:pt idx="23">
                  <c:v>261.916003262941</c:v>
                </c:pt>
                <c:pt idx="24">
                  <c:v>251.002836460318</c:v>
                </c:pt>
                <c:pt idx="25">
                  <c:v>240.962723001906</c:v>
                </c:pt>
                <c:pt idx="26">
                  <c:v>231.694925963372</c:v>
                </c:pt>
                <c:pt idx="27">
                  <c:v>223.113632409171</c:v>
                </c:pt>
                <c:pt idx="28">
                  <c:v>215.145288394558</c:v>
                </c:pt>
                <c:pt idx="29">
                  <c:v>207.726485346471</c:v>
                </c:pt>
                <c:pt idx="30">
                  <c:v>200.802269168254</c:v>
                </c:pt>
                <c:pt idx="31">
                  <c:v>194.32477661444</c:v>
                </c:pt>
                <c:pt idx="32">
                  <c:v>188.252127345239</c:v>
                </c:pt>
                <c:pt idx="33">
                  <c:v>182.547517425686</c:v>
                </c:pt>
                <c:pt idx="34">
                  <c:v>177.178472795518</c:v>
                </c:pt>
                <c:pt idx="35">
                  <c:v>172.116230715647</c:v>
                </c:pt>
                <c:pt idx="36">
                  <c:v>167.335224306879</c:v>
                </c:pt>
                <c:pt idx="37">
                  <c:v>162.812650676963</c:v>
                </c:pt>
                <c:pt idx="38">
                  <c:v>160.200718383452</c:v>
                </c:pt>
                <c:pt idx="39">
                  <c:v>158.169435562181</c:v>
                </c:pt>
                <c:pt idx="40">
                  <c:v>156.191299578173</c:v>
                </c:pt>
                <c:pt idx="41">
                  <c:v>154.264251551226</c:v>
                </c:pt>
                <c:pt idx="42">
                  <c:v>152.386337591944</c:v>
                </c:pt>
                <c:pt idx="43">
                  <c:v>150.555702193582</c:v>
                </c:pt>
                <c:pt idx="44">
                  <c:v>148.770582116797</c:v>
                </c:pt>
                <c:pt idx="45">
                  <c:v>147.02930072493</c:v>
                </c:pt>
                <c:pt idx="46">
                  <c:v>145.330262731562</c:v>
                </c:pt>
                <c:pt idx="47">
                  <c:v>143.671949325766</c:v>
                </c:pt>
                <c:pt idx="48">
                  <c:v>142.052913643732</c:v>
                </c:pt>
                <c:pt idx="49">
                  <c:v>140.4717765584</c:v>
                </c:pt>
                <c:pt idx="50">
                  <c:v>138.927222761344</c:v>
                </c:pt>
                <c:pt idx="51">
                  <c:v>137.417997113504</c:v>
                </c:pt>
                <c:pt idx="52">
                  <c:v>135.942901243498</c:v>
                </c:pt>
                <c:pt idx="53">
                  <c:v>134.500790374129</c:v>
                </c:pt>
                <c:pt idx="54">
                  <c:v>133.090570359429</c:v>
                </c:pt>
                <c:pt idx="55">
                  <c:v>131.711194916123</c:v>
                </c:pt>
                <c:pt idx="56">
                  <c:v>130.361663034788</c:v>
                </c:pt>
                <c:pt idx="57">
                  <c:v>129.041016557247</c:v>
                </c:pt>
                <c:pt idx="58">
                  <c:v>127.748337907876</c:v>
                </c:pt>
                <c:pt idx="59">
                  <c:v>126.482747967539</c:v>
                </c:pt>
                <c:pt idx="60">
                  <c:v>125.243404079787</c:v>
                </c:pt>
                <c:pt idx="61">
                  <c:v>124.02949817984</c:v>
                </c:pt>
                <c:pt idx="62">
                  <c:v>122.840255037594</c:v>
                </c:pt>
                <c:pt idx="63">
                  <c:v>121.674930606656</c:v>
                </c:pt>
                <c:pt idx="64">
                  <c:v>120.53281047199</c:v>
                </c:pt>
                <c:pt idx="65">
                  <c:v>119.413208389387</c:v>
                </c:pt>
                <c:pt idx="66">
                  <c:v>118.315464910481</c:v>
                </c:pt>
                <c:pt idx="67">
                  <c:v>117.238946087517</c:v>
                </c:pt>
                <c:pt idx="68">
                  <c:v>116.183042252529</c:v>
                </c:pt>
                <c:pt idx="69">
                  <c:v>115.147166865991</c:v>
                </c:pt>
                <c:pt idx="70">
                  <c:v>114.130755430364</c:v>
                </c:pt>
                <c:pt idx="71">
                  <c:v>113.133264464319</c:v>
                </c:pt>
                <c:pt idx="72">
                  <c:v>112.154170533719</c:v>
                </c:pt>
                <c:pt idx="73">
                  <c:v>111.192969335719</c:v>
                </c:pt>
                <c:pt idx="74">
                  <c:v>110.249174832634</c:v>
                </c:pt>
                <c:pt idx="75">
                  <c:v>109.322318432431</c:v>
                </c:pt>
                <c:pt idx="76">
                  <c:v>108.411948212959</c:v>
                </c:pt>
                <c:pt idx="77">
                  <c:v>107.517628187206</c:v>
                </c:pt>
                <c:pt idx="78">
                  <c:v>106.63893760708</c:v>
                </c:pt>
                <c:pt idx="79">
                  <c:v>105.775470303373</c:v>
                </c:pt>
                <c:pt idx="80">
                  <c:v>104.92683405974</c:v>
                </c:pt>
                <c:pt idx="81">
                  <c:v>104.092650018656</c:v>
                </c:pt>
                <c:pt idx="82">
                  <c:v>103.272552117471</c:v>
                </c:pt>
                <c:pt idx="83">
                  <c:v>102.466186552792</c:v>
                </c:pt>
                <c:pt idx="84">
                  <c:v>101.67321127155</c:v>
                </c:pt>
                <c:pt idx="85">
                  <c:v>100.893295487207</c:v>
                </c:pt>
                <c:pt idx="86">
                  <c:v>100.126119219677</c:v>
                </c:pt>
                <c:pt idx="87">
                  <c:v>99.3713728576023</c:v>
                </c:pt>
                <c:pt idx="88">
                  <c:v>98.6287567417454</c:v>
                </c:pt>
                <c:pt idx="89">
                  <c:v>97.8979807682966</c:v>
                </c:pt>
                <c:pt idx="90">
                  <c:v>97.1787640110137</c:v>
                </c:pt>
                <c:pt idx="91">
                  <c:v>96.4708343611479</c:v>
                </c:pt>
                <c:pt idx="92">
                  <c:v>95.7739281841922</c:v>
                </c:pt>
                <c:pt idx="93">
                  <c:v>95.0877899925397</c:v>
                </c:pt>
                <c:pt idx="94">
                  <c:v>94.4121721331991</c:v>
                </c:pt>
                <c:pt idx="95">
                  <c:v>93.7468344897655</c:v>
                </c:pt>
                <c:pt idx="96">
                  <c:v>93.0915441978936</c:v>
                </c:pt>
                <c:pt idx="97">
                  <c:v>92.4460753735623</c:v>
                </c:pt>
                <c:pt idx="98">
                  <c:v>91.8102088534694</c:v>
                </c:pt>
                <c:pt idx="99">
                  <c:v>91.1837319469249</c:v>
                </c:pt>
                <c:pt idx="100">
                  <c:v>90.5664381986552</c:v>
                </c:pt>
              </c:numCache>
            </c:numRef>
          </c:val>
          <c:smooth val="0"/>
        </c:ser>
        <c:ser>
          <c:idx val="2"/>
          <c:order val="2"/>
          <c:tx>
            <c:strRef>
              <c:f>"VIN-max"</c:f>
              <c:strCache>
                <c:ptCount val="1"/>
                <c:pt idx="0">
                  <c:v>VIN-max</c:v>
                </c:pt>
              </c:strCache>
            </c:strRef>
          </c:tx>
          <c:spPr>
            <a:ln w="28575" cap="rnd" cmpd="sng" algn="ctr">
              <a:solidFill>
                <a:srgbClr val="FF0000"/>
              </a:solidFill>
              <a:prstDash val="solid"/>
              <a:round/>
            </a:ln>
          </c:spPr>
          <c:marker>
            <c:symbol val="none"/>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99.9506172839506</c:v>
                </c:pt>
                <c:pt idx="2">
                  <c:v>199.901234567901</c:v>
                </c:pt>
                <c:pt idx="3">
                  <c:v>299.851851851852</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349.929446560189</c:v>
                </c:pt>
                <c:pt idx="21">
                  <c:v>333.266139581132</c:v>
                </c:pt>
                <c:pt idx="22">
                  <c:v>318.117678691081</c:v>
                </c:pt>
                <c:pt idx="23">
                  <c:v>304.28647526973</c:v>
                </c:pt>
                <c:pt idx="24">
                  <c:v>291.607872133491</c:v>
                </c:pt>
                <c:pt idx="25">
                  <c:v>279.943557248151</c:v>
                </c:pt>
                <c:pt idx="26">
                  <c:v>269.176497353992</c:v>
                </c:pt>
                <c:pt idx="27">
                  <c:v>259.206997451991</c:v>
                </c:pt>
                <c:pt idx="28">
                  <c:v>249.949604685849</c:v>
                </c:pt>
                <c:pt idx="29">
                  <c:v>241.33065280013</c:v>
                </c:pt>
                <c:pt idx="30">
                  <c:v>233.286297706792</c:v>
                </c:pt>
                <c:pt idx="31">
                  <c:v>225.760933264638</c:v>
                </c:pt>
                <c:pt idx="32">
                  <c:v>218.705904100118</c:v>
                </c:pt>
                <c:pt idx="33">
                  <c:v>212.07845246072</c:v>
                </c:pt>
                <c:pt idx="34">
                  <c:v>205.840850917758</c:v>
                </c:pt>
                <c:pt idx="35">
                  <c:v>199.959683748679</c:v>
                </c:pt>
                <c:pt idx="36">
                  <c:v>194.405248088994</c:v>
                </c:pt>
                <c:pt idx="37">
                  <c:v>189.151052194696</c:v>
                </c:pt>
                <c:pt idx="38">
                  <c:v>184.173392926415</c:v>
                </c:pt>
                <c:pt idx="39">
                  <c:v>179.450998235994</c:v>
                </c:pt>
                <c:pt idx="40">
                  <c:v>174.964723280094</c:v>
                </c:pt>
                <c:pt idx="41">
                  <c:v>172.448582064446</c:v>
                </c:pt>
                <c:pt idx="42">
                  <c:v>170.264814650499</c:v>
                </c:pt>
                <c:pt idx="43">
                  <c:v>168.137937415887</c:v>
                </c:pt>
                <c:pt idx="44">
                  <c:v>166.065755843242</c:v>
                </c:pt>
                <c:pt idx="45">
                  <c:v>164.04618685256</c:v>
                </c:pt>
                <c:pt idx="46">
                  <c:v>162.077251816402</c:v>
                </c:pt>
                <c:pt idx="47">
                  <c:v>160.157070093945</c:v>
                </c:pt>
                <c:pt idx="48">
                  <c:v>158.283853039487</c:v>
                </c:pt>
                <c:pt idx="49">
                  <c:v>156.455898445257</c:v>
                </c:pt>
                <c:pt idx="50">
                  <c:v>154.671585382257</c:v>
                </c:pt>
                <c:pt idx="51">
                  <c:v>152.929369406263</c:v>
                </c:pt>
                <c:pt idx="52">
                  <c:v>151.227778099177</c:v>
                </c:pt>
                <c:pt idx="53">
                  <c:v>149.565406918688</c:v>
                </c:pt>
                <c:pt idx="54">
                  <c:v>147.940915331647</c:v>
                </c:pt>
                <c:pt idx="55">
                  <c:v>146.353023208779</c:v>
                </c:pt>
                <c:pt idx="56">
                  <c:v>144.80050746037</c:v>
                </c:pt>
                <c:pt idx="57">
                  <c:v>143.282198894325</c:v>
                </c:pt>
                <c:pt idx="58">
                  <c:v>141.796979279655</c:v>
                </c:pt>
                <c:pt idx="59">
                  <c:v>140.343778599876</c:v>
                </c:pt>
                <c:pt idx="60">
                  <c:v>138.921572482156</c:v>
                </c:pt>
                <c:pt idx="61">
                  <c:v>137.529379789218</c:v>
                </c:pt>
                <c:pt idx="62">
                  <c:v>136.166260362116</c:v>
                </c:pt>
                <c:pt idx="63">
                  <c:v>134.831312902955</c:v>
                </c:pt>
                <c:pt idx="64">
                  <c:v>133.52367298755</c:v>
                </c:pt>
                <c:pt idx="65">
                  <c:v>132.242511198802</c:v>
                </c:pt>
                <c:pt idx="66">
                  <c:v>130.987031372337</c:v>
                </c:pt>
                <c:pt idx="67">
                  <c:v>129.756468946592</c:v>
                </c:pt>
                <c:pt idx="68">
                  <c:v>128.550089410177</c:v>
                </c:pt>
                <c:pt idx="69">
                  <c:v>127.367186839887</c:v>
                </c:pt>
                <c:pt idx="70">
                  <c:v>126.207082523238</c:v>
                </c:pt>
                <c:pt idx="71">
                  <c:v>125.069123659888</c:v>
                </c:pt>
                <c:pt idx="72">
                  <c:v>123.952682136731</c:v>
                </c:pt>
                <c:pt idx="73">
                  <c:v>122.85715337181</c:v>
                </c:pt>
                <c:pt idx="74">
                  <c:v>121.781955222604</c:v>
                </c:pt>
                <c:pt idx="75">
                  <c:v>120.726526954532</c:v>
                </c:pt>
                <c:pt idx="76">
                  <c:v>119.690328265836</c:v>
                </c:pt>
                <c:pt idx="77">
                  <c:v>118.672838365287</c:v>
                </c:pt>
                <c:pt idx="78">
                  <c:v>117.673555099393</c:v>
                </c:pt>
                <c:pt idx="79">
                  <c:v>116.691994126051</c:v>
                </c:pt>
                <c:pt idx="80">
                  <c:v>115.727688131774</c:v>
                </c:pt>
                <c:pt idx="81">
                  <c:v>114.780186089844</c:v>
                </c:pt>
                <c:pt idx="82">
                  <c:v>113.849052556905</c:v>
                </c:pt>
                <c:pt idx="83">
                  <c:v>112.933867005709</c:v>
                </c:pt>
                <c:pt idx="84">
                  <c:v>112.034223191843</c:v>
                </c:pt>
                <c:pt idx="85">
                  <c:v>111.149728552463</c:v>
                </c:pt>
                <c:pt idx="86">
                  <c:v>110.280003635134</c:v>
                </c:pt>
                <c:pt idx="87">
                  <c:v>109.424681555052</c:v>
                </c:pt>
                <c:pt idx="88">
                  <c:v>108.583407479015</c:v>
                </c:pt>
                <c:pt idx="89">
                  <c:v>107.755838134602</c:v>
                </c:pt>
                <c:pt idx="90">
                  <c:v>106.941641343156</c:v>
                </c:pt>
                <c:pt idx="91">
                  <c:v>106.140495575216</c:v>
                </c:pt>
                <c:pt idx="92">
                  <c:v>105.352089527165</c:v>
                </c:pt>
                <c:pt idx="93">
                  <c:v>104.57612171791</c:v>
                </c:pt>
                <c:pt idx="94">
                  <c:v>103.812300104502</c:v>
                </c:pt>
                <c:pt idx="95">
                  <c:v>103.06034171567</c:v>
                </c:pt>
                <c:pt idx="96">
                  <c:v>102.319972302292</c:v>
                </c:pt>
                <c:pt idx="97">
                  <c:v>101.590926003909</c:v>
                </c:pt>
                <c:pt idx="98">
                  <c:v>100.872945030418</c:v>
                </c:pt>
                <c:pt idx="99">
                  <c:v>100.165779358157</c:v>
                </c:pt>
                <c:pt idx="100">
                  <c:v>99.4691864396134</c:v>
                </c:pt>
              </c:numCache>
            </c:numRef>
          </c:val>
          <c:smooth val="0"/>
        </c:ser>
        <c:ser>
          <c:idx val="3"/>
          <c:order val="3"/>
          <c:spPr>
            <a:ln w="28575" cap="rnd" cmpd="sng" algn="ctr">
              <a:noFill/>
              <a:prstDash val="solid"/>
              <a:round/>
            </a:ln>
          </c:spPr>
          <c:marker>
            <c:symbol val="x"/>
            <c:size val="10"/>
            <c:spPr>
              <a:pattFill prst="pct5">
                <a:fgClr>
                  <a:schemeClr val="tx1"/>
                </a:fgClr>
                <a:bgClr>
                  <a:schemeClr val="bg1"/>
                </a:bgClr>
              </a:pattFill>
              <a:ln w="9525" cap="flat" cmpd="sng" algn="ctr">
                <a:solidFill>
                  <a:srgbClr val="33CC33"/>
                </a:solidFill>
                <a:prstDash val="solid"/>
                <a:round/>
              </a:ln>
            </c:spPr>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Dual'!$CI$110:$CI$210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146.582588832375</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4"/>
          <c:order val="4"/>
          <c:spPr>
            <a:ln w="28575" cap="rnd" cmpd="sng" algn="ctr">
              <a:noFill/>
              <a:prstDash val="solid"/>
              <a:round/>
            </a:ln>
          </c:spPr>
          <c:marker>
            <c:symbol val="x"/>
            <c:size val="10"/>
            <c:spPr>
              <a:pattFill prst="pct5">
                <a:fgClr>
                  <a:schemeClr val="tx1"/>
                </a:fgClr>
                <a:bgClr>
                  <a:schemeClr val="bg1"/>
                </a:bgClr>
              </a:pattFill>
              <a:ln w="9525" cap="flat" cmpd="sng" algn="ctr">
                <a:solidFill>
                  <a:srgbClr val="0000FF"/>
                </a:solidFill>
                <a:prstDash val="solid"/>
                <a:round/>
              </a:ln>
            </c:spPr>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Dual'!$CI$5:$CI$105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162.812650676963</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ser>
          <c:idx val="5"/>
          <c:order val="5"/>
          <c:spPr>
            <a:ln w="28575" cap="rnd" cmpd="sng" algn="ctr">
              <a:noFill/>
              <a:prstDash val="solid"/>
              <a:round/>
            </a:ln>
          </c:spPr>
          <c:marker>
            <c:symbol val="x"/>
            <c:size val="10"/>
            <c:spPr>
              <a:pattFill prst="pct5">
                <a:fgClr>
                  <a:schemeClr val="tx1"/>
                </a:fgClr>
                <a:bgClr>
                  <a:schemeClr val="bg1"/>
                </a:bgClr>
              </a:pattFill>
              <a:ln w="9525" cap="flat" cmpd="sng" algn="ctr">
                <a:solidFill>
                  <a:srgbClr val="FF0000"/>
                </a:solidFill>
                <a:prstDash val="solid"/>
                <a:round/>
              </a:ln>
            </c:spPr>
          </c:marker>
          <c:dLbls>
            <c:delete val="1"/>
          </c:dLbls>
          <c:cat>
            <c:numRef>
              <c:f>'Calculations - Dual'!$CG$5:$CG$105</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Dual'!$CI$216:$CI$316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174.964723280094</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ser>
        <c:dLbls>
          <c:showLegendKey val="0"/>
          <c:showVal val="0"/>
          <c:showCatName val="0"/>
          <c:showSerName val="0"/>
          <c:showPercent val="0"/>
          <c:showBubbleSize val="0"/>
        </c:dLbls>
        <c:marker val="1"/>
        <c:smooth val="0"/>
        <c:axId val="180480256"/>
        <c:axId val="180494720"/>
      </c:lineChart>
      <c:lineChart>
        <c:grouping val="standard"/>
        <c:varyColors val="0"/>
        <c:ser>
          <c:idx val="6"/>
          <c:order val="6"/>
          <c:tx>
            <c:strRef>
              <c:f>"D1"</c:f>
              <c:strCache>
                <c:ptCount val="1"/>
                <c:pt idx="0">
                  <c:v>D1</c:v>
                </c:pt>
              </c:strCache>
            </c:strRef>
          </c:tx>
          <c:spPr>
            <a:ln w="25400" cap="rnd" cmpd="sng" algn="ctr">
              <a:solidFill>
                <a:srgbClr val="0000FF"/>
              </a:solidFill>
              <a:prstDash val="lgDash"/>
              <a:round/>
            </a:ln>
          </c:spPr>
          <c:marker>
            <c:symbol val="none"/>
          </c:marker>
          <c:dLbls>
            <c:delete val="1"/>
          </c:dLbls>
          <c:val>
            <c:numRef>
              <c:f>'Calculations - Dual'!$AU$5:$AU$105</c:f>
              <c:numCache>
                <c:formatCode>0.000</c:formatCode>
                <c:ptCount val="101"/>
                <c:pt idx="0">
                  <c:v>0.00625</c:v>
                </c:pt>
                <c:pt idx="1">
                  <c:v>0.0624691358024692</c:v>
                </c:pt>
                <c:pt idx="2">
                  <c:v>0.124938271604938</c:v>
                </c:pt>
                <c:pt idx="3">
                  <c:v>0.187407407407407</c:v>
                </c:pt>
                <c:pt idx="4">
                  <c:v>0.231240615425193</c:v>
                </c:pt>
                <c:pt idx="5">
                  <c:v>0.25853486762481</c:v>
                </c:pt>
                <c:pt idx="6">
                  <c:v>0.28321075779944</c:v>
                </c:pt>
                <c:pt idx="7">
                  <c:v>0.305902580716294</c:v>
                </c:pt>
                <c:pt idx="8">
                  <c:v>0.32702361450581</c:v>
                </c:pt>
                <c:pt idx="9">
                  <c:v>0.34686092313779</c:v>
                </c:pt>
                <c:pt idx="10">
                  <c:v>0.365623516141338</c:v>
                </c:pt>
                <c:pt idx="11">
                  <c:v>0.383469178828118</c:v>
                </c:pt>
                <c:pt idx="12">
                  <c:v>0.400520494689931</c:v>
                </c:pt>
                <c:pt idx="13">
                  <c:v>0.416874947942692</c:v>
                </c:pt>
                <c:pt idx="14">
                  <c:v>0.432611578413914</c:v>
                </c:pt>
                <c:pt idx="15">
                  <c:v>0.447795526254264</c:v>
                </c:pt>
                <c:pt idx="16">
                  <c:v>0.462481230850387</c:v>
                </c:pt>
                <c:pt idx="17">
                  <c:v>0.476714741165452</c:v>
                </c:pt>
                <c:pt idx="18">
                  <c:v>0.469050599031222</c:v>
                </c:pt>
                <c:pt idx="19">
                  <c:v>0.505619458818101</c:v>
                </c:pt>
                <c:pt idx="20">
                  <c:v>0.505619458818101</c:v>
                </c:pt>
                <c:pt idx="21">
                  <c:v>0.505619458818101</c:v>
                </c:pt>
                <c:pt idx="22">
                  <c:v>0.505619458818101</c:v>
                </c:pt>
                <c:pt idx="23">
                  <c:v>0.505619458818101</c:v>
                </c:pt>
                <c:pt idx="24">
                  <c:v>0.505619458818101</c:v>
                </c:pt>
                <c:pt idx="25">
                  <c:v>0.505619458818101</c:v>
                </c:pt>
                <c:pt idx="26">
                  <c:v>0.505619458818101</c:v>
                </c:pt>
                <c:pt idx="27">
                  <c:v>0.505619458818101</c:v>
                </c:pt>
                <c:pt idx="28">
                  <c:v>0.505619458818101</c:v>
                </c:pt>
                <c:pt idx="29">
                  <c:v>0.505619458818101</c:v>
                </c:pt>
                <c:pt idx="30">
                  <c:v>0.505619458818101</c:v>
                </c:pt>
                <c:pt idx="31">
                  <c:v>0.505619458818101</c:v>
                </c:pt>
                <c:pt idx="32">
                  <c:v>0.505619458818101</c:v>
                </c:pt>
                <c:pt idx="33">
                  <c:v>0.505619458818101</c:v>
                </c:pt>
                <c:pt idx="34">
                  <c:v>0.505619458818101</c:v>
                </c:pt>
                <c:pt idx="35">
                  <c:v>0.505619458818101</c:v>
                </c:pt>
                <c:pt idx="36">
                  <c:v>0.505619458818101</c:v>
                </c:pt>
                <c:pt idx="37">
                  <c:v>0.505619458818101</c:v>
                </c:pt>
                <c:pt idx="38">
                  <c:v>0.500627244948286</c:v>
                </c:pt>
                <c:pt idx="39">
                  <c:v>0.494279486131817</c:v>
                </c:pt>
                <c:pt idx="40">
                  <c:v>0.48809781118179</c:v>
                </c:pt>
                <c:pt idx="41">
                  <c:v>0.482075786097582</c:v>
                </c:pt>
                <c:pt idx="42">
                  <c:v>0.476207304974825</c:v>
                </c:pt>
                <c:pt idx="43">
                  <c:v>0.470486569354943</c:v>
                </c:pt>
                <c:pt idx="44">
                  <c:v>0.46490806911499</c:v>
                </c:pt>
                <c:pt idx="45">
                  <c:v>0.459466564765405</c:v>
                </c:pt>
                <c:pt idx="46">
                  <c:v>0.454157071036132</c:v>
                </c:pt>
                <c:pt idx="47">
                  <c:v>0.448974841643019</c:v>
                </c:pt>
                <c:pt idx="48">
                  <c:v>0.443915355136661</c:v>
                </c:pt>
                <c:pt idx="49">
                  <c:v>0.438974301745</c:v>
                </c:pt>
                <c:pt idx="50">
                  <c:v>0.434147571129201</c:v>
                </c:pt>
                <c:pt idx="51">
                  <c:v>0.429431240979701</c:v>
                </c:pt>
                <c:pt idx="52">
                  <c:v>0.424821566385932</c:v>
                </c:pt>
                <c:pt idx="53">
                  <c:v>0.420314969919153</c:v>
                </c:pt>
                <c:pt idx="54">
                  <c:v>0.415908032373215</c:v>
                </c:pt>
                <c:pt idx="55">
                  <c:v>0.411597484112884</c:v>
                </c:pt>
                <c:pt idx="56">
                  <c:v>0.407380196983712</c:v>
                </c:pt>
                <c:pt idx="57">
                  <c:v>0.403253176741396</c:v>
                </c:pt>
                <c:pt idx="58">
                  <c:v>0.399213555962113</c:v>
                </c:pt>
                <c:pt idx="59">
                  <c:v>0.395258587398559</c:v>
                </c:pt>
                <c:pt idx="60">
                  <c:v>0.391385637749335</c:v>
                </c:pt>
                <c:pt idx="61">
                  <c:v>0.387592181811999</c:v>
                </c:pt>
                <c:pt idx="62">
                  <c:v>0.383875796992482</c:v>
                </c:pt>
                <c:pt idx="63">
                  <c:v>0.380234158145801</c:v>
                </c:pt>
                <c:pt idx="64">
                  <c:v>0.376665032724968</c:v>
                </c:pt>
                <c:pt idx="65">
                  <c:v>0.373166276216833</c:v>
                </c:pt>
                <c:pt idx="66">
                  <c:v>0.369735827845252</c:v>
                </c:pt>
                <c:pt idx="67">
                  <c:v>0.366371706523489</c:v>
                </c:pt>
                <c:pt idx="68">
                  <c:v>0.363072007039153</c:v>
                </c:pt>
                <c:pt idx="69">
                  <c:v>0.359834896456222</c:v>
                </c:pt>
                <c:pt idx="70">
                  <c:v>0.356658610719886</c:v>
                </c:pt>
                <c:pt idx="71">
                  <c:v>0.353541451450997</c:v>
                </c:pt>
                <c:pt idx="72">
                  <c:v>0.350481782917872</c:v>
                </c:pt>
                <c:pt idx="73">
                  <c:v>0.347478029174123</c:v>
                </c:pt>
                <c:pt idx="74">
                  <c:v>0.344528671351981</c:v>
                </c:pt>
                <c:pt idx="75">
                  <c:v>0.341632245101346</c:v>
                </c:pt>
                <c:pt idx="76">
                  <c:v>0.338787338165496</c:v>
                </c:pt>
                <c:pt idx="77">
                  <c:v>0.335992588085018</c:v>
                </c:pt>
                <c:pt idx="78">
                  <c:v>0.333246680022125</c:v>
                </c:pt>
                <c:pt idx="79">
                  <c:v>0.330548344698041</c:v>
                </c:pt>
                <c:pt idx="80">
                  <c:v>0.327896356436687</c:v>
                </c:pt>
                <c:pt idx="81">
                  <c:v>0.325289531308299</c:v>
                </c:pt>
                <c:pt idx="82">
                  <c:v>0.322726725367095</c:v>
                </c:pt>
                <c:pt idx="83">
                  <c:v>0.320206832977475</c:v>
                </c:pt>
                <c:pt idx="84">
                  <c:v>0.317728785223594</c:v>
                </c:pt>
                <c:pt idx="85">
                  <c:v>0.315291548397523</c:v>
                </c:pt>
                <c:pt idx="86">
                  <c:v>0.31289412256149</c:v>
                </c:pt>
                <c:pt idx="87">
                  <c:v>0.310535540180007</c:v>
                </c:pt>
                <c:pt idx="88">
                  <c:v>0.308214864817954</c:v>
                </c:pt>
                <c:pt idx="89">
                  <c:v>0.305931189900927</c:v>
                </c:pt>
                <c:pt idx="90">
                  <c:v>0.303683637534418</c:v>
                </c:pt>
                <c:pt idx="91">
                  <c:v>0.301471357378587</c:v>
                </c:pt>
                <c:pt idx="92">
                  <c:v>0.2992935255756</c:v>
                </c:pt>
                <c:pt idx="93">
                  <c:v>0.297149343726687</c:v>
                </c:pt>
                <c:pt idx="94">
                  <c:v>0.295038037916247</c:v>
                </c:pt>
                <c:pt idx="95">
                  <c:v>0.292958857780517</c:v>
                </c:pt>
                <c:pt idx="96">
                  <c:v>0.290911075618417</c:v>
                </c:pt>
                <c:pt idx="97">
                  <c:v>0.288893985542382</c:v>
                </c:pt>
                <c:pt idx="98">
                  <c:v>0.286906902667092</c:v>
                </c:pt>
                <c:pt idx="99">
                  <c:v>0.28494916233414</c:v>
                </c:pt>
                <c:pt idx="100">
                  <c:v>0.283020119370798</c:v>
                </c:pt>
              </c:numCache>
            </c:numRef>
          </c:val>
          <c:smooth val="0"/>
        </c:ser>
        <c:ser>
          <c:idx val="7"/>
          <c:order val="7"/>
          <c:spPr>
            <a:ln w="25400" cap="rnd" cmpd="sng" algn="ctr">
              <a:solidFill>
                <a:srgbClr val="00B050"/>
              </a:solidFill>
              <a:prstDash val="dash"/>
              <a:round/>
            </a:ln>
          </c:spPr>
          <c:marker>
            <c:symbol val="none"/>
          </c:marker>
          <c:dLbls>
            <c:delete val="1"/>
          </c:dLbls>
          <c:val>
            <c:numRef>
              <c:f>'Calculations - Dual'!$AU$110:$AU$210</c:f>
              <c:numCache>
                <c:formatCode>0.000</c:formatCode>
                <c:ptCount val="101"/>
                <c:pt idx="0">
                  <c:v>0.0075</c:v>
                </c:pt>
                <c:pt idx="1">
                  <c:v>0.074962962962963</c:v>
                </c:pt>
                <c:pt idx="2">
                  <c:v>0.149925925925926</c:v>
                </c:pt>
                <c:pt idx="3">
                  <c:v>0.224888888888889</c:v>
                </c:pt>
                <c:pt idx="4">
                  <c:v>0.277488738510232</c:v>
                </c:pt>
                <c:pt idx="5">
                  <c:v>0.310241841149771</c:v>
                </c:pt>
                <c:pt idx="6">
                  <c:v>0.339852909359329</c:v>
                </c:pt>
                <c:pt idx="7">
                  <c:v>0.367083096859553</c:v>
                </c:pt>
                <c:pt idx="8">
                  <c:v>0.392428337406972</c:v>
                </c:pt>
                <c:pt idx="9">
                  <c:v>0.416233107765348</c:v>
                </c:pt>
                <c:pt idx="10">
                  <c:v>0.438748219369606</c:v>
                </c:pt>
                <c:pt idx="11">
                  <c:v>0.460163014593742</c:v>
                </c:pt>
                <c:pt idx="12">
                  <c:v>0.480624593627917</c:v>
                </c:pt>
                <c:pt idx="13">
                  <c:v>0.50024993753123</c:v>
                </c:pt>
                <c:pt idx="14">
                  <c:v>0.519133894096696</c:v>
                </c:pt>
                <c:pt idx="15">
                  <c:v>0.508533060394329</c:v>
                </c:pt>
                <c:pt idx="16">
                  <c:v>0.551021874214288</c:v>
                </c:pt>
                <c:pt idx="17">
                  <c:v>0.551021874214288</c:v>
                </c:pt>
                <c:pt idx="18">
                  <c:v>0.551021874214288</c:v>
                </c:pt>
                <c:pt idx="19">
                  <c:v>0.551021874214288</c:v>
                </c:pt>
                <c:pt idx="20">
                  <c:v>0.551021874214288</c:v>
                </c:pt>
                <c:pt idx="21">
                  <c:v>0.551021874214288</c:v>
                </c:pt>
                <c:pt idx="22">
                  <c:v>0.551021874214288</c:v>
                </c:pt>
                <c:pt idx="23">
                  <c:v>0.551021874214288</c:v>
                </c:pt>
                <c:pt idx="24">
                  <c:v>0.551021874214288</c:v>
                </c:pt>
                <c:pt idx="25">
                  <c:v>0.551021874214288</c:v>
                </c:pt>
                <c:pt idx="26">
                  <c:v>0.551021874214288</c:v>
                </c:pt>
                <c:pt idx="27">
                  <c:v>0.551021874214288</c:v>
                </c:pt>
                <c:pt idx="28">
                  <c:v>0.551021874214288</c:v>
                </c:pt>
                <c:pt idx="29">
                  <c:v>0.551021874214288</c:v>
                </c:pt>
                <c:pt idx="30">
                  <c:v>0.551021874214288</c:v>
                </c:pt>
                <c:pt idx="31">
                  <c:v>0.551021874214288</c:v>
                </c:pt>
                <c:pt idx="32">
                  <c:v>0.551021874214288</c:v>
                </c:pt>
                <c:pt idx="33">
                  <c:v>0.551021874214288</c:v>
                </c:pt>
                <c:pt idx="34">
                  <c:v>0.549684708121407</c:v>
                </c:pt>
                <c:pt idx="35">
                  <c:v>0.542659032306144</c:v>
                </c:pt>
                <c:pt idx="36">
                  <c:v>0.535819367101963</c:v>
                </c:pt>
                <c:pt idx="37">
                  <c:v>0.529158421843603</c:v>
                </c:pt>
                <c:pt idx="38">
                  <c:v>0.522669281961217</c:v>
                </c:pt>
                <c:pt idx="39">
                  <c:v>0.516345385037634</c:v>
                </c:pt>
                <c:pt idx="40">
                  <c:v>0.510180498671689</c:v>
                </c:pt>
                <c:pt idx="41">
                  <c:v>0.504168699990677</c:v>
                </c:pt>
                <c:pt idx="42">
                  <c:v>0.498304356670311</c:v>
                </c:pt>
                <c:pt idx="43">
                  <c:v>0.492582109334404</c:v>
                </c:pt>
                <c:pt idx="44">
                  <c:v>0.486996855218604</c:v>
                </c:pt>
                <c:pt idx="45">
                  <c:v>0.481543732993558</c:v>
                </c:pt>
                <c:pt idx="46">
                  <c:v>0.476218108652599</c:v>
                </c:pt>
                <c:pt idx="47">
                  <c:v>0.471015562377876</c:v>
                </c:pt>
                <c:pt idx="48">
                  <c:v>0.465931876306665</c:v>
                </c:pt>
                <c:pt idx="49">
                  <c:v>0.460963023126707</c:v>
                </c:pt>
                <c:pt idx="50">
                  <c:v>0.456105155435756</c:v>
                </c:pt>
                <c:pt idx="51">
                  <c:v>0.451354595806255</c:v>
                </c:pt>
                <c:pt idx="52">
                  <c:v>0.446707827501222</c:v>
                </c:pt>
                <c:pt idx="53">
                  <c:v>0.442161485792082</c:v>
                </c:pt>
                <c:pt idx="54">
                  <c:v>0.437712349833402</c:v>
                </c:pt>
                <c:pt idx="55">
                  <c:v>0.433357335053295</c:v>
                </c:pt>
                <c:pt idx="56">
                  <c:v>0.429093486021713</c:v>
                </c:pt>
                <c:pt idx="57">
                  <c:v>0.424917969761971</c:v>
                </c:pt>
                <c:pt idx="58">
                  <c:v>0.4208280694737</c:v>
                </c:pt>
                <c:pt idx="59">
                  <c:v>0.416821178638004</c:v>
                </c:pt>
                <c:pt idx="60">
                  <c:v>0.412894795477936</c:v>
                </c:pt>
                <c:pt idx="61">
                  <c:v>0.409046517749559</c:v>
                </c:pt>
                <c:pt idx="62">
                  <c:v>0.405274037840804</c:v>
                </c:pt>
                <c:pt idx="63">
                  <c:v>0.401575138157106</c:v>
                </c:pt>
                <c:pt idx="64">
                  <c:v>0.397947686774439</c:v>
                </c:pt>
                <c:pt idx="65">
                  <c:v>0.394389633341839</c:v>
                </c:pt>
                <c:pt idx="66">
                  <c:v>0.390899005216867</c:v>
                </c:pt>
                <c:pt idx="67">
                  <c:v>0.387473903818715</c:v>
                </c:pt>
                <c:pt idx="68">
                  <c:v>0.384112501184775</c:v>
                </c:pt>
                <c:pt idx="69">
                  <c:v>0.380813036717564</c:v>
                </c:pt>
                <c:pt idx="70">
                  <c:v>0.37757381410983</c:v>
                </c:pt>
                <c:pt idx="71">
                  <c:v>0.374393198436559</c:v>
                </c:pt>
                <c:pt idx="72">
                  <c:v>0.371269613403411</c:v>
                </c:pt>
                <c:pt idx="73">
                  <c:v>0.368201538741854</c:v>
                </c:pt>
                <c:pt idx="74">
                  <c:v>0.365187507741944</c:v>
                </c:pt>
                <c:pt idx="75">
                  <c:v>0.362226104914356</c:v>
                </c:pt>
                <c:pt idx="76">
                  <c:v>0.359315963773818</c:v>
                </c:pt>
                <c:pt idx="77">
                  <c:v>0.356455764736665</c:v>
                </c:pt>
                <c:pt idx="78">
                  <c:v>0.353644233125716</c:v>
                </c:pt>
                <c:pt idx="79">
                  <c:v>0.350880137276133</c:v>
                </c:pt>
                <c:pt idx="80">
                  <c:v>0.348162286736355</c:v>
                </c:pt>
                <c:pt idx="81">
                  <c:v>0.345489530558578</c:v>
                </c:pt>
                <c:pt idx="82">
                  <c:v>0.342860755673627</c:v>
                </c:pt>
                <c:pt idx="83">
                  <c:v>0.340274885345407</c:v>
                </c:pt>
                <c:pt idx="84">
                  <c:v>0.337730877700404</c:v>
                </c:pt>
                <c:pt idx="85">
                  <c:v>0.335227724328044</c:v>
                </c:pt>
                <c:pt idx="86">
                  <c:v>0.332764448947938</c:v>
                </c:pt>
                <c:pt idx="87">
                  <c:v>0.330340106140317</c:v>
                </c:pt>
                <c:pt idx="88">
                  <c:v>0.327953780136204</c:v>
                </c:pt>
                <c:pt idx="89">
                  <c:v>0.325604583664044</c:v>
                </c:pt>
                <c:pt idx="90">
                  <c:v>0.323291656849767</c:v>
                </c:pt>
                <c:pt idx="91">
                  <c:v>0.321014166167402</c:v>
                </c:pt>
                <c:pt idx="92">
                  <c:v>0.318771303437553</c:v>
                </c:pt>
                <c:pt idx="93">
                  <c:v>0.316562284871223</c:v>
                </c:pt>
                <c:pt idx="94">
                  <c:v>0.314386350156592</c:v>
                </c:pt>
                <c:pt idx="95">
                  <c:v>0.312242761586518</c:v>
                </c:pt>
                <c:pt idx="96">
                  <c:v>0.310130803224674</c:v>
                </c:pt>
                <c:pt idx="97">
                  <c:v>0.308049780108312</c:v>
                </c:pt>
                <c:pt idx="98">
                  <c:v>0.305999017485817</c:v>
                </c:pt>
                <c:pt idx="99">
                  <c:v>0.303977860087275</c:v>
                </c:pt>
                <c:pt idx="100">
                  <c:v>0.301985671426408</c:v>
                </c:pt>
              </c:numCache>
            </c:numRef>
          </c:val>
          <c:smooth val="0"/>
        </c:ser>
        <c:ser>
          <c:idx val="8"/>
          <c:order val="8"/>
          <c:spPr>
            <a:ln w="25400" cap="rnd" cmpd="sng" algn="ctr">
              <a:solidFill>
                <a:srgbClr val="FF0000"/>
              </a:solidFill>
              <a:prstDash val="solid"/>
              <a:round/>
            </a:ln>
          </c:spPr>
          <c:marker>
            <c:symbol val="none"/>
          </c:marker>
          <c:dLbls>
            <c:delete val="1"/>
          </c:dLbls>
          <c:val>
            <c:numRef>
              <c:f>'Calculations - Dual'!$AU$216:$AU$316</c:f>
              <c:numCache>
                <c:formatCode>0.000</c:formatCode>
                <c:ptCount val="101"/>
                <c:pt idx="0">
                  <c:v>0.00535714285714286</c:v>
                </c:pt>
                <c:pt idx="1">
                  <c:v>0.0535449735449736</c:v>
                </c:pt>
                <c:pt idx="2">
                  <c:v>0.107089947089947</c:v>
                </c:pt>
                <c:pt idx="3">
                  <c:v>0.160634920634921</c:v>
                </c:pt>
                <c:pt idx="4">
                  <c:v>0.198206241793023</c:v>
                </c:pt>
                <c:pt idx="5">
                  <c:v>0.22160131510698</c:v>
                </c:pt>
                <c:pt idx="6">
                  <c:v>0.242752078113806</c:v>
                </c:pt>
                <c:pt idx="7">
                  <c:v>0.262202212042538</c:v>
                </c:pt>
                <c:pt idx="8">
                  <c:v>0.280305955290694</c:v>
                </c:pt>
                <c:pt idx="9">
                  <c:v>0.297309362689534</c:v>
                </c:pt>
                <c:pt idx="10">
                  <c:v>0.313391585264004</c:v>
                </c:pt>
                <c:pt idx="11">
                  <c:v>0.328687867566958</c:v>
                </c:pt>
                <c:pt idx="12">
                  <c:v>0.343303281162798</c:v>
                </c:pt>
                <c:pt idx="13">
                  <c:v>0.357321383950879</c:v>
                </c:pt>
                <c:pt idx="14">
                  <c:v>0.370809924354783</c:v>
                </c:pt>
                <c:pt idx="15">
                  <c:v>0.383824736789369</c:v>
                </c:pt>
                <c:pt idx="16">
                  <c:v>0.396412483586046</c:v>
                </c:pt>
                <c:pt idx="17">
                  <c:v>0.408612635284674</c:v>
                </c:pt>
                <c:pt idx="18">
                  <c:v>0.420458932936041</c:v>
                </c:pt>
                <c:pt idx="19">
                  <c:v>0.431980488977388</c:v>
                </c:pt>
                <c:pt idx="20">
                  <c:v>0.443113288870831</c:v>
                </c:pt>
                <c:pt idx="21">
                  <c:v>0.432434290933508</c:v>
                </c:pt>
                <c:pt idx="22">
                  <c:v>0.467129502755702</c:v>
                </c:pt>
                <c:pt idx="23">
                  <c:v>0.467129502755702</c:v>
                </c:pt>
                <c:pt idx="24">
                  <c:v>0.467129502755702</c:v>
                </c:pt>
                <c:pt idx="25">
                  <c:v>0.467129502755702</c:v>
                </c:pt>
                <c:pt idx="26">
                  <c:v>0.467129502755702</c:v>
                </c:pt>
                <c:pt idx="27">
                  <c:v>0.467129502755702</c:v>
                </c:pt>
                <c:pt idx="28">
                  <c:v>0.467129502755702</c:v>
                </c:pt>
                <c:pt idx="29">
                  <c:v>0.467129502755702</c:v>
                </c:pt>
                <c:pt idx="30">
                  <c:v>0.467129502755702</c:v>
                </c:pt>
                <c:pt idx="31">
                  <c:v>0.467129502755702</c:v>
                </c:pt>
                <c:pt idx="32">
                  <c:v>0.467129502755702</c:v>
                </c:pt>
                <c:pt idx="33">
                  <c:v>0.467129502755702</c:v>
                </c:pt>
                <c:pt idx="34">
                  <c:v>0.467129502755702</c:v>
                </c:pt>
                <c:pt idx="35">
                  <c:v>0.467129502755702</c:v>
                </c:pt>
                <c:pt idx="36">
                  <c:v>0.467129502755702</c:v>
                </c:pt>
                <c:pt idx="37">
                  <c:v>0.467129502755702</c:v>
                </c:pt>
                <c:pt idx="38">
                  <c:v>0.467129502755702</c:v>
                </c:pt>
                <c:pt idx="39">
                  <c:v>0.467129502755702</c:v>
                </c:pt>
                <c:pt idx="40">
                  <c:v>0.467129502755702</c:v>
                </c:pt>
                <c:pt idx="41">
                  <c:v>0.46191584481548</c:v>
                </c:pt>
                <c:pt idx="42">
                  <c:v>0.456066467813837</c:v>
                </c:pt>
                <c:pt idx="43">
                  <c:v>0.450369475221126</c:v>
                </c:pt>
                <c:pt idx="44">
                  <c:v>0.444818988865826</c:v>
                </c:pt>
                <c:pt idx="45">
                  <c:v>0.439409429069358</c:v>
                </c:pt>
                <c:pt idx="46">
                  <c:v>0.43413549593679</c:v>
                </c:pt>
                <c:pt idx="47">
                  <c:v>0.428992152037353</c:v>
                </c:pt>
                <c:pt idx="48">
                  <c:v>0.423974606355769</c:v>
                </c:pt>
                <c:pt idx="49">
                  <c:v>0.419078299406939</c:v>
                </c:pt>
                <c:pt idx="50">
                  <c:v>0.414298889416761</c:v>
                </c:pt>
                <c:pt idx="51">
                  <c:v>0.409632239481061</c:v>
                </c:pt>
                <c:pt idx="52">
                  <c:v>0.405074405622796</c:v>
                </c:pt>
                <c:pt idx="53">
                  <c:v>0.400621625675058</c:v>
                </c:pt>
                <c:pt idx="54">
                  <c:v>0.396270308924054</c:v>
                </c:pt>
                <c:pt idx="55">
                  <c:v>0.392017026452087</c:v>
                </c:pt>
                <c:pt idx="56">
                  <c:v>0.387858502125991</c:v>
                </c:pt>
                <c:pt idx="57">
                  <c:v>0.383791604181229</c:v>
                </c:pt>
                <c:pt idx="58">
                  <c:v>0.37981333735622</c:v>
                </c:pt>
                <c:pt idx="59">
                  <c:v>0.375920835535383</c:v>
                </c:pt>
                <c:pt idx="60">
                  <c:v>0.372111354862917</c:v>
                </c:pt>
                <c:pt idx="61">
                  <c:v>0.368382267292547</c:v>
                </c:pt>
                <c:pt idx="62">
                  <c:v>0.364731054541381</c:v>
                </c:pt>
                <c:pt idx="63">
                  <c:v>0.361155302418629</c:v>
                </c:pt>
                <c:pt idx="64">
                  <c:v>0.357652695502365</c:v>
                </c:pt>
                <c:pt idx="65">
                  <c:v>0.354221012139649</c:v>
                </c:pt>
                <c:pt idx="66">
                  <c:v>0.350858119747331</c:v>
                </c:pt>
                <c:pt idx="67">
                  <c:v>0.347561970392656</c:v>
                </c:pt>
                <c:pt idx="68">
                  <c:v>0.344330596634403</c:v>
                </c:pt>
                <c:pt idx="69">
                  <c:v>0.341162107606841</c:v>
                </c:pt>
                <c:pt idx="70">
                  <c:v>0.338054685330101</c:v>
                </c:pt>
                <c:pt idx="71">
                  <c:v>0.335006581231843</c:v>
                </c:pt>
                <c:pt idx="72">
                  <c:v>0.332016112866243</c:v>
                </c:pt>
                <c:pt idx="73">
                  <c:v>0.329081660817347</c:v>
                </c:pt>
                <c:pt idx="74">
                  <c:v>0.326201665774832</c:v>
                </c:pt>
                <c:pt idx="75">
                  <c:v>0.323374625771067</c:v>
                </c:pt>
                <c:pt idx="76">
                  <c:v>0.320599093569205</c:v>
                </c:pt>
                <c:pt idx="77">
                  <c:v>0.317873674192734</c:v>
                </c:pt>
                <c:pt idx="78">
                  <c:v>0.31519702258766</c:v>
                </c:pt>
                <c:pt idx="79">
                  <c:v>0.312567841409065</c:v>
                </c:pt>
                <c:pt idx="80">
                  <c:v>0.309984878924395</c:v>
                </c:pt>
                <c:pt idx="81">
                  <c:v>0.307446927026368</c:v>
                </c:pt>
                <c:pt idx="82">
                  <c:v>0.304952819348853</c:v>
                </c:pt>
                <c:pt idx="83">
                  <c:v>0.302501429479576</c:v>
                </c:pt>
                <c:pt idx="84">
                  <c:v>0.300091669263866</c:v>
                </c:pt>
                <c:pt idx="85">
                  <c:v>0.297722487194098</c:v>
                </c:pt>
                <c:pt idx="86">
                  <c:v>0.295392866879822</c:v>
                </c:pt>
                <c:pt idx="87">
                  <c:v>0.29310182559389</c:v>
                </c:pt>
                <c:pt idx="88">
                  <c:v>0.290848412890219</c:v>
                </c:pt>
                <c:pt idx="89">
                  <c:v>0.288631709289113</c:v>
                </c:pt>
                <c:pt idx="90">
                  <c:v>0.28645082502631</c:v>
                </c:pt>
                <c:pt idx="91">
                  <c:v>0.284304898862185</c:v>
                </c:pt>
                <c:pt idx="92">
                  <c:v>0.282193096947763</c:v>
                </c:pt>
                <c:pt idx="93">
                  <c:v>0.280114611744401</c:v>
                </c:pt>
                <c:pt idx="94">
                  <c:v>0.278068660994202</c:v>
                </c:pt>
                <c:pt idx="95">
                  <c:v>0.276054486738403</c:v>
                </c:pt>
                <c:pt idx="96">
                  <c:v>0.27407135438114</c:v>
                </c:pt>
                <c:pt idx="97">
                  <c:v>0.272118551796184</c:v>
                </c:pt>
                <c:pt idx="98">
                  <c:v>0.270195388474333</c:v>
                </c:pt>
                <c:pt idx="99">
                  <c:v>0.268301194709348</c:v>
                </c:pt>
                <c:pt idx="100">
                  <c:v>0.266435320820393</c:v>
                </c:pt>
              </c:numCache>
            </c:numRef>
          </c:val>
          <c:smooth val="0"/>
        </c:ser>
        <c:dLbls>
          <c:showLegendKey val="0"/>
          <c:showVal val="0"/>
          <c:showCatName val="0"/>
          <c:showSerName val="0"/>
          <c:showPercent val="0"/>
          <c:showBubbleSize val="0"/>
        </c:dLbls>
        <c:marker val="0"/>
        <c:smooth val="0"/>
        <c:axId val="180507008"/>
        <c:axId val="180496640"/>
      </c:lineChart>
      <c:catAx>
        <c:axId val="180480256"/>
        <c:scaling>
          <c:orientation val="minMax"/>
        </c:scaling>
        <c:delete val="0"/>
        <c:axPos val="b"/>
        <c:majorGridlines>
          <c:spPr>
            <a:ln w="15875" cap="flat" cmpd="sng" algn="ctr">
              <a:solidFill>
                <a:srgbClr val="969696"/>
              </a:solidFill>
              <a:prstDash val="sysDash"/>
              <a:round/>
            </a:ln>
          </c:spPr>
        </c:majorGridlines>
        <c:title>
          <c:tx>
            <c:rich>
              <a:bodyPr rot="0" spcFirstLastPara="0" vertOverflow="ellipsis" vert="horz" wrap="square" anchor="ctr" anchorCtr="1"/>
              <a:lstStyle/>
              <a:p>
                <a:pPr>
                  <a:defRPr lang="zh-CN" sz="11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600" b="1" i="0" baseline="0">
                    <a:effectLst/>
                  </a:rPr>
                  <a:t>% Total Rated Output Power</a:t>
                </a:r>
                <a:endParaRPr lang="en-US" sz="1100">
                  <a:effectLst/>
                </a:endParaRPr>
              </a:p>
            </c:rich>
          </c:tx>
          <c:layout>
            <c:manualLayout>
              <c:xMode val="edge"/>
              <c:yMode val="edge"/>
              <c:x val="0.380706886144955"/>
              <c:y val="0.938537744500695"/>
            </c:manualLayout>
          </c:layout>
          <c:overlay val="0"/>
          <c:spPr>
            <a:noFill/>
            <a:ln w="25400">
              <a:noFill/>
            </a:ln>
          </c:spPr>
        </c:title>
        <c:numFmt formatCode="General" sourceLinked="1"/>
        <c:majorTickMark val="in"/>
        <c:minorTickMark val="in"/>
        <c:tickLblPos val="nextTo"/>
        <c:spPr>
          <a:ln w="3175" cap="flat" cmpd="sng" algn="ctr">
            <a:solidFill>
              <a:schemeClr val="tx1"/>
            </a:solidFill>
            <a:prstDash val="solid"/>
            <a:round/>
          </a:ln>
        </c:spPr>
        <c:txPr>
          <a:bodyPr rot="0" spcFirstLastPara="0" vertOverflow="ellipsis" vert="horz" wrap="square" anchor="ctr" anchorCtr="1"/>
          <a:lstStyle/>
          <a:p>
            <a:pPr>
              <a:defRPr lang="zh-CN" sz="14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80494720"/>
        <c:crosses val="autoZero"/>
        <c:auto val="1"/>
        <c:lblAlgn val="ctr"/>
        <c:lblOffset val="100"/>
        <c:tickLblSkip val="20"/>
        <c:tickMarkSkip val="10"/>
        <c:noMultiLvlLbl val="0"/>
      </c:catAx>
      <c:valAx>
        <c:axId val="180494720"/>
        <c:scaling>
          <c:orientation val="minMax"/>
          <c:max val="400"/>
          <c:min val="0"/>
        </c:scaling>
        <c:delete val="0"/>
        <c:axPos val="l"/>
        <c:majorGridlines>
          <c:spPr>
            <a:ln w="15875" cap="flat" cmpd="sng" algn="ctr">
              <a:solidFill>
                <a:srgbClr val="808080"/>
              </a:solidFill>
              <a:prstDash val="solid"/>
              <a:round/>
            </a:ln>
          </c:spPr>
        </c:majorGridlines>
        <c:title>
          <c:tx>
            <c:rich>
              <a:bodyPr rot="-5400000" spcFirstLastPara="0" vertOverflow="ellipsis" vert="horz" wrap="square" anchor="ctr" anchorCtr="1"/>
              <a:lstStyle/>
              <a:p>
                <a:pPr>
                  <a:defRPr lang="zh-CN" sz="16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600" b="1">
                    <a:solidFill>
                      <a:schemeClr val="tx1"/>
                    </a:solidFill>
                    <a:latin typeface="Arial" panose="020B0604020202020204" pitchFamily="7" charset="0"/>
                    <a:cs typeface="Arial" panose="020B0604020202020204" pitchFamily="7" charset="0"/>
                  </a:rPr>
                  <a:t>Switching</a:t>
                </a:r>
                <a:r>
                  <a:rPr lang="en-US" sz="1600" b="1" baseline="0">
                    <a:solidFill>
                      <a:schemeClr val="tx1"/>
                    </a:solidFill>
                    <a:latin typeface="Arial" panose="020B0604020202020204" pitchFamily="7" charset="0"/>
                    <a:cs typeface="Arial" panose="020B0604020202020204" pitchFamily="7" charset="0"/>
                  </a:rPr>
                  <a:t> Frquency (kHz)</a:t>
                </a:r>
                <a:endParaRPr lang="en-US" sz="1600" b="1">
                  <a:solidFill>
                    <a:schemeClr val="tx1"/>
                  </a:solidFill>
                  <a:latin typeface="Arial" panose="020B0604020202020204" pitchFamily="7" charset="0"/>
                  <a:cs typeface="Arial" panose="020B0604020202020204" pitchFamily="7" charset="0"/>
                </a:endParaRPr>
              </a:p>
            </c:rich>
          </c:tx>
          <c:layout>
            <c:manualLayout>
              <c:xMode val="edge"/>
              <c:yMode val="edge"/>
              <c:x val="0.00855681281255036"/>
              <c:y val="0.224631462854933"/>
            </c:manualLayout>
          </c:layout>
          <c:overlay val="0"/>
          <c:spPr>
            <a:noFill/>
            <a:ln w="25400">
              <a:noFill/>
            </a:ln>
          </c:spPr>
        </c:title>
        <c:numFmt formatCode="#,##0" sourceLinked="0"/>
        <c:majorTickMark val="in"/>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6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80480256"/>
        <c:crossesAt val="0"/>
        <c:crossBetween val="between"/>
        <c:majorUnit val="50"/>
        <c:minorUnit val="25"/>
      </c:valAx>
      <c:catAx>
        <c:axId val="180507008"/>
        <c:scaling>
          <c:orientation val="minMax"/>
        </c:scaling>
        <c:delete val="1"/>
        <c:axPos val="b"/>
        <c:majorTickMark val="out"/>
        <c:minorTickMark val="none"/>
        <c:tickLblPos val="nextTo"/>
        <c:txPr>
          <a:bodyPr rot="-60000000" spcFirstLastPara="0" vertOverflow="ellipsis" vert="horz" wrap="square" anchor="ctr" anchorCtr="1"/>
          <a:lstStyle/>
          <a:p>
            <a:pPr>
              <a:defRPr lang="zh-CN" sz="850" b="0" i="0" u="none" strike="noStrike" kern="1200" baseline="0">
                <a:solidFill>
                  <a:srgbClr val="000000"/>
                </a:solidFill>
                <a:latin typeface="Arial" panose="020B0604020202020204"/>
                <a:ea typeface="Arial" panose="020B0604020202020204"/>
                <a:cs typeface="Arial" panose="020B0604020202020204"/>
              </a:defRPr>
            </a:pPr>
          </a:p>
        </c:txPr>
        <c:crossAx val="180496640"/>
        <c:crosses val="autoZero"/>
        <c:auto val="1"/>
        <c:lblAlgn val="ctr"/>
        <c:lblOffset val="100"/>
        <c:noMultiLvlLbl val="0"/>
      </c:catAx>
      <c:valAx>
        <c:axId val="180496640"/>
        <c:scaling>
          <c:orientation val="minMax"/>
          <c:max val="0.6"/>
        </c:scaling>
        <c:delete val="0"/>
        <c:axPos val="r"/>
        <c:title>
          <c:tx>
            <c:rich>
              <a:bodyPr rot="-5400000" spcFirstLastPara="0" vertOverflow="ellipsis" vert="horz" wrap="square" anchor="ctr" anchorCtr="1"/>
              <a:lstStyle/>
              <a:p>
                <a:pPr>
                  <a:defRPr lang="zh-CN" sz="1600" b="1" i="0" u="none" strike="noStrike" kern="1200" baseline="0">
                    <a:solidFill>
                      <a:srgbClr val="000000"/>
                    </a:solidFill>
                    <a:latin typeface="Arial" panose="020B0604020202020204"/>
                    <a:ea typeface="Arial" panose="020B0604020202020204"/>
                    <a:cs typeface="Arial" panose="020B0604020202020204"/>
                  </a:defRPr>
                </a:pPr>
                <a:r>
                  <a:rPr lang="en-US" sz="1600" b="1"/>
                  <a:t>Duty Cycle</a:t>
                </a:r>
                <a:endParaRPr lang="en-US" sz="1600" b="1"/>
              </a:p>
            </c:rich>
          </c:tx>
          <c:layout>
            <c:manualLayout>
              <c:xMode val="edge"/>
              <c:yMode val="edge"/>
              <c:x val="0.963310309416318"/>
              <c:y val="0.356759171284064"/>
            </c:manualLayout>
          </c:layout>
          <c:overlay val="0"/>
        </c:title>
        <c:numFmt formatCode="General" sourceLinked="0"/>
        <c:majorTickMark val="out"/>
        <c:minorTickMark val="none"/>
        <c:tickLblPos val="nextTo"/>
        <c:txPr>
          <a:bodyPr rot="-60000000" spcFirstLastPara="0" vertOverflow="ellipsis" vert="horz" wrap="square" anchor="ctr" anchorCtr="1"/>
          <a:lstStyle/>
          <a:p>
            <a:pPr>
              <a:defRPr lang="zh-CN" sz="1400" b="1" i="0" u="none" strike="noStrike" kern="1200" baseline="0">
                <a:solidFill>
                  <a:srgbClr val="000000"/>
                </a:solidFill>
                <a:latin typeface="Arial" panose="020B0604020202020204"/>
                <a:ea typeface="Arial" panose="020B0604020202020204"/>
                <a:cs typeface="Arial" panose="020B0604020202020204"/>
              </a:defRPr>
            </a:pPr>
          </a:p>
        </c:txPr>
        <c:crossAx val="180507008"/>
        <c:crosses val="max"/>
        <c:crossBetween val="between"/>
        <c:majorUnit val="0.1"/>
        <c:minorUnit val="0.05"/>
      </c:val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8"/>
          <c:y val="0.01517502962815"/>
          <c:w val="0.424108417249092"/>
          <c:h val="0.0543357668478178"/>
        </c:manualLayout>
      </c:layout>
      <c:overlay val="0"/>
      <c:spPr>
        <a:solidFill>
          <a:srgbClr val="FFFFFF"/>
        </a:solidFill>
        <a:ln w="25400">
          <a:noFill/>
        </a:ln>
      </c:spPr>
      <c:txPr>
        <a:bodyPr rot="0" spcFirstLastPara="0" vertOverflow="ellipsis" vert="horz" wrap="square" anchor="ctr" anchorCtr="1"/>
        <a:lstStyle/>
        <a:p>
          <a:pPr>
            <a:defRPr lang="zh-CN" sz="1400" b="0"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236c69a6-5727-4540-89ab-84c977a1753e}"/>
      </c:ext>
    </c:extLst>
  </c:chart>
  <c:spPr>
    <a:solidFill>
      <a:srgbClr val="FFFFFF"/>
    </a:solidFill>
    <a:ln w="9525" cap="flat" cmpd="sng" algn="ctr">
      <a:no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72807468833838"/>
          <c:y val="0.121335233430015"/>
          <c:w val="0.860472789738492"/>
          <c:h val="0.755898026893831"/>
        </c:manualLayout>
      </c:layout>
      <c:lineChart>
        <c:grouping val="standard"/>
        <c:varyColors val="0"/>
        <c:ser>
          <c:idx val="1"/>
          <c:order val="0"/>
          <c:tx>
            <c:strRef>
              <c:f>"VIN-min"</c:f>
              <c:strCache>
                <c:ptCount val="1"/>
                <c:pt idx="0">
                  <c:v>VIN-min</c:v>
                </c:pt>
              </c:strCache>
            </c:strRef>
          </c:tx>
          <c:spPr>
            <a:ln w="28575" cap="rnd" cmpd="sng" algn="ctr">
              <a:solidFill>
                <a:srgbClr val="00B050"/>
              </a:solidFill>
              <a:prstDash val="sysDash"/>
              <a:round/>
            </a:ln>
          </c:spPr>
          <c:marker>
            <c:symbol val="none"/>
          </c:marker>
          <c:dLbls>
            <c:delete val="1"/>
          </c:dLbls>
          <c:val>
            <c:numRef>
              <c:f>'Calculations - Dual'!$AI$110:$AI$210</c:f>
              <c:numCache>
                <c:formatCode>0.000</c:formatCode>
                <c:ptCount val="101"/>
                <c:pt idx="0">
                  <c:v>0.3</c:v>
                </c:pt>
                <c:pt idx="1">
                  <c:v>0.3</c:v>
                </c:pt>
                <c:pt idx="2">
                  <c:v>0.3</c:v>
                </c:pt>
                <c:pt idx="3">
                  <c:v>0.3</c:v>
                </c:pt>
                <c:pt idx="4">
                  <c:v>0.317129986868837</c:v>
                </c:pt>
                <c:pt idx="5">
                  <c:v>0.354562104171167</c:v>
                </c:pt>
                <c:pt idx="6">
                  <c:v>0.38840332498209</c:v>
                </c:pt>
                <c:pt idx="7">
                  <c:v>0.419523539268061</c:v>
                </c:pt>
                <c:pt idx="8">
                  <c:v>0.44848952846511</c:v>
                </c:pt>
                <c:pt idx="9">
                  <c:v>0.475694980303255</c:v>
                </c:pt>
                <c:pt idx="10">
                  <c:v>0.501426536422407</c:v>
                </c:pt>
                <c:pt idx="11">
                  <c:v>0.525900588107133</c:v>
                </c:pt>
                <c:pt idx="12">
                  <c:v>0.549285249860476</c:v>
                </c:pt>
                <c:pt idx="13">
                  <c:v>0.571714214321406</c:v>
                </c:pt>
                <c:pt idx="14">
                  <c:v>0.593295878967653</c:v>
                </c:pt>
                <c:pt idx="15">
                  <c:v>0.614119578862991</c:v>
                </c:pt>
                <c:pt idx="16">
                  <c:v>0.709792350201711</c:v>
                </c:pt>
                <c:pt idx="17">
                  <c:v>0.754154372089318</c:v>
                </c:pt>
                <c:pt idx="18">
                  <c:v>0.798516393976925</c:v>
                </c:pt>
                <c:pt idx="19">
                  <c:v>0.842878415864531</c:v>
                </c:pt>
                <c:pt idx="20">
                  <c:v>0.887240437752139</c:v>
                </c:pt>
                <c:pt idx="21">
                  <c:v>0.931602459639745</c:v>
                </c:pt>
                <c:pt idx="22">
                  <c:v>0.975964481527352</c:v>
                </c:pt>
                <c:pt idx="23">
                  <c:v>1.02032650341496</c:v>
                </c:pt>
                <c:pt idx="24">
                  <c:v>1.06468852530257</c:v>
                </c:pt>
                <c:pt idx="25">
                  <c:v>1.10905054719017</c:v>
                </c:pt>
                <c:pt idx="26">
                  <c:v>1.15341256907778</c:v>
                </c:pt>
                <c:pt idx="27">
                  <c:v>1.19777459096539</c:v>
                </c:pt>
                <c:pt idx="28">
                  <c:v>1.24213661285299</c:v>
                </c:pt>
                <c:pt idx="29">
                  <c:v>1.2864986347406</c:v>
                </c:pt>
                <c:pt idx="30">
                  <c:v>1.33086065662821</c:v>
                </c:pt>
                <c:pt idx="31">
                  <c:v>1.37522267851581</c:v>
                </c:pt>
                <c:pt idx="32">
                  <c:v>1.41958470040342</c:v>
                </c:pt>
                <c:pt idx="33">
                  <c:v>1.46394672229103</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numCache>
            </c:numRef>
          </c:val>
          <c:smooth val="0"/>
        </c:ser>
        <c:ser>
          <c:idx val="0"/>
          <c:order val="1"/>
          <c:tx>
            <c:strRef>
              <c:f>"VIN-nom"</c:f>
              <c:strCache>
                <c:ptCount val="1"/>
                <c:pt idx="0">
                  <c:v>VIN-nom</c:v>
                </c:pt>
              </c:strCache>
            </c:strRef>
          </c:tx>
          <c:spPr>
            <a:ln w="28575" cap="rnd" cmpd="sng" algn="ctr">
              <a:solidFill>
                <a:srgbClr val="0000FF"/>
              </a:solidFill>
              <a:prstDash val="lgDash"/>
              <a:round/>
            </a:ln>
          </c:spPr>
          <c:marker>
            <c:symbol val="none"/>
          </c:marker>
          <c:dLbls>
            <c:delete val="1"/>
          </c:dLbls>
          <c:cat>
            <c:numRef>
              <c:f>'Calculations - Dual'!$AL$5:$AL$105</c:f>
              <c:numCache>
                <c:formatCode>0</c:formatCode>
                <c:ptCount val="101"/>
                <c:pt idx="0" c:formatCode="0">
                  <c:v>1e-6</c:v>
                </c:pt>
                <c:pt idx="1" c:formatCode="0">
                  <c:v>5</c:v>
                </c:pt>
                <c:pt idx="2" c:formatCode="0">
                  <c:v>10</c:v>
                </c:pt>
                <c:pt idx="3" c:formatCode="0">
                  <c:v>15</c:v>
                </c:pt>
                <c:pt idx="4" c:formatCode="0">
                  <c:v>20</c:v>
                </c:pt>
                <c:pt idx="5" c:formatCode="0">
                  <c:v>25</c:v>
                </c:pt>
                <c:pt idx="6" c:formatCode="0">
                  <c:v>30</c:v>
                </c:pt>
                <c:pt idx="7" c:formatCode="0">
                  <c:v>35</c:v>
                </c:pt>
                <c:pt idx="8" c:formatCode="0">
                  <c:v>40</c:v>
                </c:pt>
                <c:pt idx="9" c:formatCode="0">
                  <c:v>45</c:v>
                </c:pt>
                <c:pt idx="10" c:formatCode="0">
                  <c:v>50</c:v>
                </c:pt>
                <c:pt idx="11" c:formatCode="0">
                  <c:v>55</c:v>
                </c:pt>
                <c:pt idx="12" c:formatCode="0">
                  <c:v>60</c:v>
                </c:pt>
                <c:pt idx="13" c:formatCode="0">
                  <c:v>65</c:v>
                </c:pt>
                <c:pt idx="14" c:formatCode="0">
                  <c:v>70</c:v>
                </c:pt>
                <c:pt idx="15" c:formatCode="0">
                  <c:v>75</c:v>
                </c:pt>
                <c:pt idx="16" c:formatCode="0">
                  <c:v>80</c:v>
                </c:pt>
                <c:pt idx="17" c:formatCode="0">
                  <c:v>85</c:v>
                </c:pt>
                <c:pt idx="18" c:formatCode="0">
                  <c:v>90</c:v>
                </c:pt>
                <c:pt idx="19" c:formatCode="0">
                  <c:v>95</c:v>
                </c:pt>
                <c:pt idx="20" c:formatCode="0">
                  <c:v>100</c:v>
                </c:pt>
                <c:pt idx="21" c:formatCode="0">
                  <c:v>105</c:v>
                </c:pt>
                <c:pt idx="22" c:formatCode="0">
                  <c:v>110</c:v>
                </c:pt>
                <c:pt idx="23" c:formatCode="0">
                  <c:v>115</c:v>
                </c:pt>
                <c:pt idx="24" c:formatCode="0">
                  <c:v>120</c:v>
                </c:pt>
                <c:pt idx="25" c:formatCode="0">
                  <c:v>125</c:v>
                </c:pt>
                <c:pt idx="26" c:formatCode="0">
                  <c:v>130</c:v>
                </c:pt>
                <c:pt idx="27" c:formatCode="0">
                  <c:v>135</c:v>
                </c:pt>
                <c:pt idx="28" c:formatCode="0">
                  <c:v>140</c:v>
                </c:pt>
                <c:pt idx="29" c:formatCode="0">
                  <c:v>145</c:v>
                </c:pt>
                <c:pt idx="30" c:formatCode="0">
                  <c:v>150</c:v>
                </c:pt>
                <c:pt idx="31" c:formatCode="0">
                  <c:v>155</c:v>
                </c:pt>
                <c:pt idx="32" c:formatCode="0">
                  <c:v>160</c:v>
                </c:pt>
                <c:pt idx="33" c:formatCode="0">
                  <c:v>165</c:v>
                </c:pt>
                <c:pt idx="34" c:formatCode="0">
                  <c:v>170</c:v>
                </c:pt>
                <c:pt idx="35" c:formatCode="0">
                  <c:v>175</c:v>
                </c:pt>
                <c:pt idx="36" c:formatCode="0">
                  <c:v>180</c:v>
                </c:pt>
                <c:pt idx="37" c:formatCode="0">
                  <c:v>185</c:v>
                </c:pt>
                <c:pt idx="38" c:formatCode="0">
                  <c:v>190</c:v>
                </c:pt>
                <c:pt idx="39" c:formatCode="0">
                  <c:v>195</c:v>
                </c:pt>
                <c:pt idx="40" c:formatCode="0">
                  <c:v>200</c:v>
                </c:pt>
                <c:pt idx="41" c:formatCode="0">
                  <c:v>205</c:v>
                </c:pt>
                <c:pt idx="42" c:formatCode="0">
                  <c:v>210</c:v>
                </c:pt>
                <c:pt idx="43" c:formatCode="0">
                  <c:v>215</c:v>
                </c:pt>
                <c:pt idx="44" c:formatCode="0">
                  <c:v>220</c:v>
                </c:pt>
                <c:pt idx="45" c:formatCode="0">
                  <c:v>225</c:v>
                </c:pt>
                <c:pt idx="46" c:formatCode="0">
                  <c:v>230</c:v>
                </c:pt>
                <c:pt idx="47" c:formatCode="0">
                  <c:v>235</c:v>
                </c:pt>
                <c:pt idx="48" c:formatCode="0">
                  <c:v>240</c:v>
                </c:pt>
                <c:pt idx="49" c:formatCode="0">
                  <c:v>245</c:v>
                </c:pt>
                <c:pt idx="50" c:formatCode="0">
                  <c:v>250</c:v>
                </c:pt>
                <c:pt idx="51" c:formatCode="0">
                  <c:v>255</c:v>
                </c:pt>
                <c:pt idx="52" c:formatCode="0">
                  <c:v>260</c:v>
                </c:pt>
                <c:pt idx="53" c:formatCode="0">
                  <c:v>265</c:v>
                </c:pt>
                <c:pt idx="54" c:formatCode="0">
                  <c:v>270</c:v>
                </c:pt>
                <c:pt idx="55" c:formatCode="0">
                  <c:v>275</c:v>
                </c:pt>
                <c:pt idx="56" c:formatCode="0">
                  <c:v>280</c:v>
                </c:pt>
                <c:pt idx="57" c:formatCode="0">
                  <c:v>285</c:v>
                </c:pt>
                <c:pt idx="58" c:formatCode="0">
                  <c:v>290</c:v>
                </c:pt>
                <c:pt idx="59" c:formatCode="0">
                  <c:v>295</c:v>
                </c:pt>
                <c:pt idx="60" c:formatCode="0">
                  <c:v>300</c:v>
                </c:pt>
                <c:pt idx="61" c:formatCode="0">
                  <c:v>305</c:v>
                </c:pt>
                <c:pt idx="62" c:formatCode="0">
                  <c:v>310</c:v>
                </c:pt>
                <c:pt idx="63" c:formatCode="0">
                  <c:v>315</c:v>
                </c:pt>
                <c:pt idx="64" c:formatCode="0">
                  <c:v>320</c:v>
                </c:pt>
                <c:pt idx="65" c:formatCode="0">
                  <c:v>325</c:v>
                </c:pt>
                <c:pt idx="66" c:formatCode="0">
                  <c:v>330</c:v>
                </c:pt>
                <c:pt idx="67" c:formatCode="0">
                  <c:v>335</c:v>
                </c:pt>
                <c:pt idx="68" c:formatCode="0">
                  <c:v>340</c:v>
                </c:pt>
                <c:pt idx="69" c:formatCode="0">
                  <c:v>345</c:v>
                </c:pt>
                <c:pt idx="70" c:formatCode="0">
                  <c:v>350</c:v>
                </c:pt>
                <c:pt idx="71" c:formatCode="0">
                  <c:v>355</c:v>
                </c:pt>
                <c:pt idx="72" c:formatCode="0">
                  <c:v>360</c:v>
                </c:pt>
                <c:pt idx="73" c:formatCode="0">
                  <c:v>365</c:v>
                </c:pt>
                <c:pt idx="74" c:formatCode="0">
                  <c:v>370</c:v>
                </c:pt>
                <c:pt idx="75" c:formatCode="0">
                  <c:v>375</c:v>
                </c:pt>
                <c:pt idx="76" c:formatCode="0">
                  <c:v>380</c:v>
                </c:pt>
                <c:pt idx="77" c:formatCode="0">
                  <c:v>385</c:v>
                </c:pt>
                <c:pt idx="78" c:formatCode="0">
                  <c:v>390</c:v>
                </c:pt>
                <c:pt idx="79" c:formatCode="0">
                  <c:v>395</c:v>
                </c:pt>
                <c:pt idx="80" c:formatCode="0">
                  <c:v>400</c:v>
                </c:pt>
                <c:pt idx="81" c:formatCode="0">
                  <c:v>405</c:v>
                </c:pt>
                <c:pt idx="82" c:formatCode="0">
                  <c:v>410</c:v>
                </c:pt>
                <c:pt idx="83" c:formatCode="0">
                  <c:v>415</c:v>
                </c:pt>
                <c:pt idx="84" c:formatCode="0">
                  <c:v>420</c:v>
                </c:pt>
                <c:pt idx="85" c:formatCode="0">
                  <c:v>425</c:v>
                </c:pt>
                <c:pt idx="86" c:formatCode="0">
                  <c:v>430</c:v>
                </c:pt>
                <c:pt idx="87" c:formatCode="0">
                  <c:v>435</c:v>
                </c:pt>
                <c:pt idx="88" c:formatCode="0">
                  <c:v>440</c:v>
                </c:pt>
                <c:pt idx="89" c:formatCode="0">
                  <c:v>445</c:v>
                </c:pt>
                <c:pt idx="90" c:formatCode="0">
                  <c:v>450</c:v>
                </c:pt>
                <c:pt idx="91" c:formatCode="0">
                  <c:v>455</c:v>
                </c:pt>
                <c:pt idx="92" c:formatCode="0">
                  <c:v>460</c:v>
                </c:pt>
                <c:pt idx="93" c:formatCode="0">
                  <c:v>465</c:v>
                </c:pt>
                <c:pt idx="94" c:formatCode="0">
                  <c:v>470</c:v>
                </c:pt>
                <c:pt idx="95" c:formatCode="0">
                  <c:v>475</c:v>
                </c:pt>
                <c:pt idx="96" c:formatCode="0">
                  <c:v>480</c:v>
                </c:pt>
                <c:pt idx="97" c:formatCode="0">
                  <c:v>485</c:v>
                </c:pt>
                <c:pt idx="98" c:formatCode="0">
                  <c:v>490</c:v>
                </c:pt>
                <c:pt idx="99" c:formatCode="0">
                  <c:v>495</c:v>
                </c:pt>
                <c:pt idx="100" c:formatCode="0">
                  <c:v>500</c:v>
                </c:pt>
              </c:numCache>
            </c:numRef>
          </c:cat>
          <c:val>
            <c:numRef>
              <c:f>'Calculations - Dual'!$AI$5:$AI$105</c:f>
              <c:numCache>
                <c:formatCode>0.000</c:formatCode>
                <c:ptCount val="101"/>
                <c:pt idx="0">
                  <c:v>0.3</c:v>
                </c:pt>
                <c:pt idx="1">
                  <c:v>0.3</c:v>
                </c:pt>
                <c:pt idx="2">
                  <c:v>0.3</c:v>
                </c:pt>
                <c:pt idx="3">
                  <c:v>0.3</c:v>
                </c:pt>
                <c:pt idx="4">
                  <c:v>0.317129986868837</c:v>
                </c:pt>
                <c:pt idx="5">
                  <c:v>0.354562104171167</c:v>
                </c:pt>
                <c:pt idx="6">
                  <c:v>0.38840332498209</c:v>
                </c:pt>
                <c:pt idx="7">
                  <c:v>0.419523539268061</c:v>
                </c:pt>
                <c:pt idx="8">
                  <c:v>0.44848952846511</c:v>
                </c:pt>
                <c:pt idx="9">
                  <c:v>0.475694980303255</c:v>
                </c:pt>
                <c:pt idx="10">
                  <c:v>0.501426536422407</c:v>
                </c:pt>
                <c:pt idx="11">
                  <c:v>0.525900588107133</c:v>
                </c:pt>
                <c:pt idx="12">
                  <c:v>0.549285249860476</c:v>
                </c:pt>
                <c:pt idx="13">
                  <c:v>0.571714214321406</c:v>
                </c:pt>
                <c:pt idx="14">
                  <c:v>0.593295878967653</c:v>
                </c:pt>
                <c:pt idx="15">
                  <c:v>0.614119578862991</c:v>
                </c:pt>
                <c:pt idx="16">
                  <c:v>0.634259973737674</c:v>
                </c:pt>
                <c:pt idx="17">
                  <c:v>0.653780216455478</c:v>
                </c:pt>
                <c:pt idx="18">
                  <c:v>0.672734292697666</c:v>
                </c:pt>
                <c:pt idx="19">
                  <c:v>0.765471008457124</c:v>
                </c:pt>
                <c:pt idx="20">
                  <c:v>0.805758956270657</c:v>
                </c:pt>
                <c:pt idx="21">
                  <c:v>0.84604690408419</c:v>
                </c:pt>
                <c:pt idx="22">
                  <c:v>0.886334851897723</c:v>
                </c:pt>
                <c:pt idx="23">
                  <c:v>0.926622799711256</c:v>
                </c:pt>
                <c:pt idx="24">
                  <c:v>0.966910747524788</c:v>
                </c:pt>
                <c:pt idx="25">
                  <c:v>1.00719869533832</c:v>
                </c:pt>
                <c:pt idx="26">
                  <c:v>1.04748664315185</c:v>
                </c:pt>
                <c:pt idx="27">
                  <c:v>1.08777459096539</c:v>
                </c:pt>
                <c:pt idx="28">
                  <c:v>1.12806253877892</c:v>
                </c:pt>
                <c:pt idx="29">
                  <c:v>1.16835048659245</c:v>
                </c:pt>
                <c:pt idx="30">
                  <c:v>1.20863843440599</c:v>
                </c:pt>
                <c:pt idx="31">
                  <c:v>1.24892638221952</c:v>
                </c:pt>
                <c:pt idx="32">
                  <c:v>1.28921433003305</c:v>
                </c:pt>
                <c:pt idx="33">
                  <c:v>1.32950227784658</c:v>
                </c:pt>
                <c:pt idx="34">
                  <c:v>1.36979022566012</c:v>
                </c:pt>
                <c:pt idx="35">
                  <c:v>1.41007817347365</c:v>
                </c:pt>
                <c:pt idx="36">
                  <c:v>1.45036612128718</c:v>
                </c:pt>
                <c:pt idx="37">
                  <c:v>1.49065406910072</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numCache>
            </c:numRef>
          </c:val>
          <c:smooth val="0"/>
        </c:ser>
        <c:ser>
          <c:idx val="2"/>
          <c:order val="2"/>
          <c:tx>
            <c:strRef>
              <c:f>"VIN-max"</c:f>
              <c:strCache>
                <c:ptCount val="1"/>
                <c:pt idx="0">
                  <c:v>VIN-max</c:v>
                </c:pt>
              </c:strCache>
            </c:strRef>
          </c:tx>
          <c:spPr>
            <a:ln w="28575" cap="rnd" cmpd="sng" algn="ctr">
              <a:solidFill>
                <a:srgbClr val="FF0000"/>
              </a:solidFill>
              <a:prstDash val="solid"/>
              <a:round/>
            </a:ln>
          </c:spPr>
          <c:marker>
            <c:symbol val="none"/>
          </c:marker>
          <c:dLbls>
            <c:delete val="1"/>
          </c:dLbls>
          <c:val>
            <c:numRef>
              <c:f>'Calculations - Dual'!$AI$216:$AI$316</c:f>
              <c:numCache>
                <c:formatCode>0.000</c:formatCode>
                <c:ptCount val="101"/>
                <c:pt idx="0">
                  <c:v>0.3</c:v>
                </c:pt>
                <c:pt idx="1">
                  <c:v>0.3</c:v>
                </c:pt>
                <c:pt idx="2">
                  <c:v>0.3</c:v>
                </c:pt>
                <c:pt idx="3">
                  <c:v>0.3</c:v>
                </c:pt>
                <c:pt idx="4">
                  <c:v>0.317129986868837</c:v>
                </c:pt>
                <c:pt idx="5">
                  <c:v>0.354562104171167</c:v>
                </c:pt>
                <c:pt idx="6">
                  <c:v>0.38840332498209</c:v>
                </c:pt>
                <c:pt idx="7">
                  <c:v>0.419523539268061</c:v>
                </c:pt>
                <c:pt idx="8">
                  <c:v>0.44848952846511</c:v>
                </c:pt>
                <c:pt idx="9">
                  <c:v>0.475694980303255</c:v>
                </c:pt>
                <c:pt idx="10">
                  <c:v>0.501426536422407</c:v>
                </c:pt>
                <c:pt idx="11">
                  <c:v>0.525900588107133</c:v>
                </c:pt>
                <c:pt idx="12">
                  <c:v>0.549285249860476</c:v>
                </c:pt>
                <c:pt idx="13">
                  <c:v>0.571714214321406</c:v>
                </c:pt>
                <c:pt idx="14">
                  <c:v>0.593295878967653</c:v>
                </c:pt>
                <c:pt idx="15">
                  <c:v>0.614119578862991</c:v>
                </c:pt>
                <c:pt idx="16">
                  <c:v>0.634259973737674</c:v>
                </c:pt>
                <c:pt idx="17">
                  <c:v>0.653780216455478</c:v>
                </c:pt>
                <c:pt idx="18">
                  <c:v>0.672734292697666</c:v>
                </c:pt>
                <c:pt idx="19">
                  <c:v>0.69116878236382</c:v>
                </c:pt>
                <c:pt idx="20">
                  <c:v>0.709124208342335</c:v>
                </c:pt>
                <c:pt idx="21">
                  <c:v>0.726636084983398</c:v>
                </c:pt>
                <c:pt idx="22">
                  <c:v>0.822313687876559</c:v>
                </c:pt>
                <c:pt idx="23">
                  <c:v>0.859691582780039</c:v>
                </c:pt>
                <c:pt idx="24">
                  <c:v>0.897069477683519</c:v>
                </c:pt>
                <c:pt idx="25">
                  <c:v>0.934447372586999</c:v>
                </c:pt>
                <c:pt idx="26">
                  <c:v>0.971825267490478</c:v>
                </c:pt>
                <c:pt idx="27">
                  <c:v>1.00920316239396</c:v>
                </c:pt>
                <c:pt idx="28">
                  <c:v>1.04658105729744</c:v>
                </c:pt>
                <c:pt idx="29">
                  <c:v>1.08395895220092</c:v>
                </c:pt>
                <c:pt idx="30">
                  <c:v>1.1213368471044</c:v>
                </c:pt>
                <c:pt idx="31">
                  <c:v>1.15871474200788</c:v>
                </c:pt>
                <c:pt idx="32">
                  <c:v>1.19609263691136</c:v>
                </c:pt>
                <c:pt idx="33">
                  <c:v>1.23347053181484</c:v>
                </c:pt>
                <c:pt idx="34">
                  <c:v>1.27084842671832</c:v>
                </c:pt>
                <c:pt idx="35">
                  <c:v>1.3082263216218</c:v>
                </c:pt>
                <c:pt idx="36">
                  <c:v>1.34560421652528</c:v>
                </c:pt>
                <c:pt idx="37">
                  <c:v>1.38298211142876</c:v>
                </c:pt>
                <c:pt idx="38">
                  <c:v>1.42036000633224</c:v>
                </c:pt>
                <c:pt idx="39">
                  <c:v>1.45773790123572</c:v>
                </c:pt>
                <c:pt idx="40">
                  <c:v>1.4951157961392</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numCache>
            </c:numRef>
          </c:val>
          <c:smooth val="0"/>
        </c:ser>
        <c:dLbls>
          <c:showLegendKey val="0"/>
          <c:showVal val="0"/>
          <c:showCatName val="0"/>
          <c:showSerName val="0"/>
          <c:showPercent val="0"/>
          <c:showBubbleSize val="0"/>
        </c:dLbls>
        <c:marker val="0"/>
        <c:smooth val="0"/>
        <c:axId val="180543488"/>
        <c:axId val="180545408"/>
      </c:lineChart>
      <c:catAx>
        <c:axId val="180543488"/>
        <c:scaling>
          <c:orientation val="minMax"/>
        </c:scaling>
        <c:delete val="0"/>
        <c:axPos val="b"/>
        <c:majorGridlines>
          <c:spPr>
            <a:ln w="15875" cap="flat" cmpd="sng" algn="ctr">
              <a:solidFill>
                <a:srgbClr val="969696"/>
              </a:solidFill>
              <a:prstDash val="sysDash"/>
              <a:round/>
            </a:ln>
          </c:spPr>
        </c:majorGridlines>
        <c:title>
          <c:tx>
            <c:rich>
              <a:bodyPr rot="0" spcFirstLastPara="0" vertOverflow="ellipsis" vert="horz" wrap="square" anchor="ctr" anchorCtr="1"/>
              <a:lstStyle/>
              <a:p>
                <a:pPr>
                  <a:defRPr lang="zh-CN" sz="12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200">
                    <a:solidFill>
                      <a:schemeClr val="tx1"/>
                    </a:solidFill>
                    <a:latin typeface="Arial" panose="020B0604020202020204" pitchFamily="7" charset="0"/>
                    <a:cs typeface="Arial" panose="020B0604020202020204" pitchFamily="7" charset="0"/>
                  </a:rPr>
                  <a:t>Load Current (mA)</a:t>
                </a:r>
                <a:endParaRPr lang="en-US" sz="1200">
                  <a:solidFill>
                    <a:schemeClr val="tx1"/>
                  </a:solidFill>
                  <a:latin typeface="Arial" panose="020B0604020202020204" pitchFamily="7" charset="0"/>
                  <a:cs typeface="Arial" panose="020B0604020202020204" pitchFamily="7" charset="0"/>
                </a:endParaRPr>
              </a:p>
            </c:rich>
          </c:tx>
          <c:layout>
            <c:manualLayout>
              <c:xMode val="edge"/>
              <c:yMode val="edge"/>
              <c:x val="0.454241359364963"/>
              <c:y val="0.941066916105386"/>
            </c:manualLayout>
          </c:layout>
          <c:overlay val="0"/>
          <c:spPr>
            <a:noFill/>
            <a:ln w="25400">
              <a:noFill/>
            </a:ln>
          </c:spPr>
        </c:title>
        <c:numFmt formatCode="0" sourceLinked="1"/>
        <c:majorTickMark val="in"/>
        <c:minorTickMark val="in"/>
        <c:tickLblPos val="nextTo"/>
        <c:spPr>
          <a:ln w="3175" cap="flat" cmpd="sng" algn="ctr">
            <a:solidFill>
              <a:schemeClr val="tx1"/>
            </a:solidFill>
            <a:prstDash val="solid"/>
            <a:round/>
          </a:ln>
        </c:spPr>
        <c:txPr>
          <a:bodyPr rot="0" spcFirstLastPara="0" vertOverflow="ellipsis" vert="horz" wrap="square" anchor="ctr" anchorCtr="1"/>
          <a:lstStyle/>
          <a:p>
            <a:pPr>
              <a:defRPr lang="zh-CN" sz="11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80545408"/>
        <c:crosses val="autoZero"/>
        <c:auto val="1"/>
        <c:lblAlgn val="ctr"/>
        <c:lblOffset val="100"/>
        <c:tickLblSkip val="20"/>
        <c:tickMarkSkip val="10"/>
        <c:noMultiLvlLbl val="0"/>
      </c:catAx>
      <c:valAx>
        <c:axId val="180545408"/>
        <c:scaling>
          <c:orientation val="minMax"/>
          <c:max val="1.4"/>
          <c:min val="0"/>
        </c:scaling>
        <c:delete val="0"/>
        <c:axPos val="l"/>
        <c:majorGridlines>
          <c:spPr>
            <a:ln w="15875" cap="flat" cmpd="sng" algn="ctr">
              <a:solidFill>
                <a:srgbClr val="808080"/>
              </a:solidFill>
              <a:prstDash val="solid"/>
              <a:round/>
            </a:ln>
          </c:spPr>
        </c:majorGridlines>
        <c:title>
          <c:tx>
            <c:rich>
              <a:bodyPr rot="-5400000" spcFirstLastPara="0" vertOverflow="ellipsis" vert="horz" wrap="square" anchor="ctr" anchorCtr="1"/>
              <a:lstStyle/>
              <a:p>
                <a:pPr>
                  <a:defRPr lang="zh-CN" sz="14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r>
                  <a:rPr lang="en-US" sz="1200" b="1">
                    <a:solidFill>
                      <a:schemeClr val="tx1"/>
                    </a:solidFill>
                    <a:latin typeface="Arial" panose="020B0604020202020204" pitchFamily="7" charset="0"/>
                    <a:cs typeface="Arial" panose="020B0604020202020204" pitchFamily="7" charset="0"/>
                  </a:rPr>
                  <a:t>Peak</a:t>
                </a:r>
                <a:r>
                  <a:rPr lang="en-US" sz="1200" b="1" baseline="0">
                    <a:solidFill>
                      <a:schemeClr val="tx1"/>
                    </a:solidFill>
                    <a:latin typeface="Arial" panose="020B0604020202020204" pitchFamily="7" charset="0"/>
                    <a:cs typeface="Arial" panose="020B0604020202020204" pitchFamily="7" charset="0"/>
                  </a:rPr>
                  <a:t> Primary Current (A)</a:t>
                </a:r>
                <a:endParaRPr lang="en-US" sz="1200" b="1">
                  <a:solidFill>
                    <a:schemeClr val="tx1"/>
                  </a:solidFill>
                  <a:latin typeface="Arial" panose="020B0604020202020204" pitchFamily="7" charset="0"/>
                  <a:cs typeface="Arial" panose="020B0604020202020204" pitchFamily="7" charset="0"/>
                </a:endParaRPr>
              </a:p>
            </c:rich>
          </c:tx>
          <c:layout>
            <c:manualLayout>
              <c:xMode val="edge"/>
              <c:yMode val="edge"/>
              <c:x val="0.0188927546847342"/>
              <c:y val="0.303035782600375"/>
            </c:manualLayout>
          </c:layout>
          <c:overlay val="0"/>
          <c:spPr>
            <a:noFill/>
            <a:ln w="25400">
              <a:noFill/>
            </a:ln>
          </c:spPr>
        </c:title>
        <c:numFmt formatCode="#,##0.0" sourceLinked="0"/>
        <c:majorTickMark val="out"/>
        <c:minorTickMark val="in"/>
        <c:tickLblPos val="nextTo"/>
        <c:spPr>
          <a:ln w="3175" cap="flat" cmpd="sng" algn="ctr">
            <a:solidFill>
              <a:srgbClr val="000000"/>
            </a:solidFill>
            <a:prstDash val="solid"/>
            <a:round/>
          </a:ln>
        </c:spPr>
        <c:txPr>
          <a:bodyPr rot="0" spcFirstLastPara="0" vertOverflow="ellipsis" vert="horz" wrap="square" anchor="ctr" anchorCtr="1"/>
          <a:lstStyle/>
          <a:p>
            <a:pPr>
              <a:defRPr lang="zh-CN" sz="1100" b="1" i="0" u="none" strike="noStrike" kern="1200" baseline="0">
                <a:solidFill>
                  <a:schemeClr val="tx1"/>
                </a:solidFill>
                <a:latin typeface="Arial" panose="020B0604020202020204" pitchFamily="7" charset="0"/>
                <a:ea typeface="Calibri" panose="020F0502020204030204"/>
                <a:cs typeface="Arial" panose="020B0604020202020204" pitchFamily="7" charset="0"/>
              </a:defRPr>
            </a:pPr>
          </a:p>
        </c:txPr>
        <c:crossAx val="180543488"/>
        <c:crossesAt val="0"/>
        <c:crossBetween val="between"/>
      </c:valAx>
      <c:spPr>
        <a:solidFill>
          <a:srgbClr val="FFFFFF"/>
        </a:solidFill>
        <a:ln w="25400">
          <a:noFill/>
        </a:ln>
      </c:spPr>
    </c:plotArea>
    <c:legend>
      <c:legendPos val="t"/>
      <c:layout>
        <c:manualLayout>
          <c:xMode val="edge"/>
          <c:yMode val="edge"/>
          <c:x val="0.502793429891031"/>
          <c:y val="0.0169510258778068"/>
          <c:w val="0.444179477565304"/>
          <c:h val="0.0897950493206176"/>
        </c:manualLayout>
      </c:layout>
      <c:overlay val="0"/>
      <c:spPr>
        <a:solidFill>
          <a:srgbClr val="FFFFFF"/>
        </a:solidFill>
        <a:ln w="25400">
          <a:noFill/>
        </a:ln>
      </c:spPr>
      <c:txPr>
        <a:bodyPr rot="0" spcFirstLastPara="0" vertOverflow="ellipsis" vert="horz" wrap="square" anchor="ctr" anchorCtr="1"/>
        <a:lstStyle/>
        <a:p>
          <a:pPr>
            <a:defRPr lang="zh-CN" sz="1400" b="0" i="0" u="none" strike="noStrike" kern="1200" baseline="0">
              <a:solidFill>
                <a:srgbClr val="000000"/>
              </a:solidFill>
              <a:latin typeface="Arial" panose="020B0604020202020204" pitchFamily="7" charset="0"/>
              <a:ea typeface="Calibri" panose="020F0502020204030204"/>
              <a:cs typeface="Arial" panose="020B0604020202020204" pitchFamily="7" charset="0"/>
            </a:defRPr>
          </a:pPr>
        </a:p>
      </c:txPr>
    </c:legend>
    <c:plotVisOnly val="1"/>
    <c:dispBlanksAs val="gap"/>
    <c:showDLblsOverMax val="0"/>
    <c:extLst>
      <c:ext uri="{0b15fc19-7d7d-44ad-8c2d-2c3a37ce22c3}">
        <chartProps xmlns="https://web.wps.cn/et/2018/main" chartId="{27705cf7-b1c0-49f6-b107-01ab0c64b674}"/>
      </c:ext>
    </c:extLst>
  </c:chart>
  <c:spPr>
    <a:solidFill>
      <a:srgbClr val="FFFFFF"/>
    </a:solidFill>
    <a:ln w="9525" cap="flat" cmpd="sng" algn="ctr">
      <a:solidFill>
        <a:srgbClr val="808080"/>
      </a:solidFill>
      <a:prstDash val="solid"/>
      <a:round/>
    </a:ln>
  </c:spPr>
  <c:txPr>
    <a:bodyPr/>
    <a:lstStyle/>
    <a:p>
      <a:pPr>
        <a:defRPr lang="zh-CN" sz="850" b="0" i="0" u="none" strike="noStrike" baseline="0">
          <a:solidFill>
            <a:srgbClr val="000000"/>
          </a:solidFill>
          <a:latin typeface="Arial" panose="020B0604020202020204"/>
          <a:ea typeface="Arial" panose="020B0604020202020204"/>
          <a:cs typeface="Arial" panose="020B0604020202020204"/>
        </a:defRPr>
      </a:pPr>
    </a:p>
  </c:txPr>
  <c:printSettings>
    <c:headerFooter/>
    <c:pageMargins b="0.75" l="0.7" r="0.7" t="0.75" header="0.3" footer="0.3"/>
    <c:pageSetup/>
  </c:printSettings>
</c:chartSpace>
</file>

<file path=xl/ctrlProps/ctrlProp1.xml><?xml version="1.0" encoding="utf-8"?>
<formControlPr xmlns="http://schemas.microsoft.com/office/spreadsheetml/2009/9/main" objectType="Drop" dx="22" fmlaRange="$1:$1048576" max="32759" noThreeD="1" page="1" val="0"/>
</file>

<file path=xl/ctrlProps/ctrlProp10.xml><?xml version="1.0" encoding="utf-8"?>
<formControlPr xmlns="http://schemas.microsoft.com/office/spreadsheetml/2009/9/main" objectType="Drop" dx="22" fmlaLink="$Q$32" fmlaRange="'Variable Mgmt'!$R$64:$R$68" noThreeD="1" page="5" sel="5" val="0"/>
</file>

<file path=xl/ctrlProps/ctrlProp11.xml><?xml version="1.0" encoding="utf-8"?>
<formControlPr xmlns="http://schemas.microsoft.com/office/spreadsheetml/2009/9/main" objectType="Drop" dx="22" fmlaLink="$Q$36" fmlaRange="'Variable Mgmt'!$W$73:$W$76" noThreeD="1" page="4" sel="3" val="0"/>
</file>

<file path=xl/ctrlProps/ctrlProp12.xml><?xml version="1.0" encoding="utf-8"?>
<formControlPr xmlns="http://schemas.microsoft.com/office/spreadsheetml/2009/9/main" objectType="Drop" dx="22" fmlaLink="$Q$41" fmlaRange="'Variable Mgmt'!$R$64:$R$66" noThreeD="1" page="3" sel="1" val="0"/>
</file>

<file path=xl/ctrlProps/ctrlProp13.xml><?xml version="1.0" encoding="utf-8"?>
<formControlPr xmlns="http://schemas.microsoft.com/office/spreadsheetml/2009/9/main" objectType="Drop" dx="22" fmlaLink="$Q$38" fmlaRange="'Variable Mgmt'!$W$73:$W$76" noThreeD="1" page="4" sel="3" val="0"/>
</file>

<file path=xl/ctrlProps/ctrlProp14.xml><?xml version="1.0" encoding="utf-8"?>
<formControlPr xmlns="http://schemas.microsoft.com/office/spreadsheetml/2009/9/main" objectType="Drop" dx="22" fmlaLink="$Q$37" fmlaRange="'Variable Mgmt'!$W$73:$W$76" noThreeD="1" page="4" sel="3" val="0"/>
</file>

<file path=xl/ctrlProps/ctrlProp15.xml><?xml version="1.0" encoding="utf-8"?>
<formControlPr xmlns="http://schemas.microsoft.com/office/spreadsheetml/2009/9/main" objectType="Drop" dx="22" fmlaLink="$Q$40" fmlaRange="'Variable Mgmt'!$R$64:$R$66" noThreeD="1" page="3" sel="1" val="0"/>
</file>

<file path=xl/ctrlProps/ctrlProp16.xml><?xml version="1.0" encoding="utf-8"?>
<formControlPr xmlns="http://schemas.microsoft.com/office/spreadsheetml/2009/9/main" objectType="Drop" dx="22" fmlaLink="$Q$42" fmlaRange="'Variable Mgmt'!$R$64:$R$66" noThreeD="1" page="3" sel="1" val="0"/>
</file>

<file path=xl/ctrlProps/ctrlProp17.xml><?xml version="1.0" encoding="utf-8"?>
<formControlPr xmlns="http://schemas.microsoft.com/office/spreadsheetml/2009/9/main" objectType="Drop" dx="22" fmlaLink="$Q$43" fmlaRange="'Variable Mgmt'!$R$64:$R$66" noThreeD="1" page="3" sel="1" val="0"/>
</file>

<file path=xl/ctrlProps/ctrlProp18.xml><?xml version="1.0" encoding="utf-8"?>
<formControlPr xmlns="http://schemas.microsoft.com/office/spreadsheetml/2009/9/main" objectType="Drop" dx="22" fmlaLink="$Q$44" fmlaRange="'Variable Mgmt'!$R$64:$R$66" noThreeD="1" page="3" sel="1" val="0"/>
</file>

<file path=xl/ctrlProps/ctrlProp19.xml><?xml version="1.0" encoding="utf-8"?>
<formControlPr xmlns="http://schemas.microsoft.com/office/spreadsheetml/2009/9/main" objectType="Drop" dx="22" fmlaLink="$Q$35" fmlaRange="'Variable Mgmt'!$W$73:$W$77" noThreeD="1" page="5" sel="4" val="0"/>
</file>

<file path=xl/ctrlProps/ctrlProp2.xml><?xml version="1.0" encoding="utf-8"?>
<formControlPr xmlns="http://schemas.microsoft.com/office/spreadsheetml/2009/9/main" objectType="Spin" dx="16" fmlaLink="$E$7" max="65" min="3" page="10" val="12"/>
</file>

<file path=xl/ctrlProps/ctrlProp20.xml><?xml version="1.0" encoding="utf-8"?>
<formControlPr xmlns="http://schemas.microsoft.com/office/spreadsheetml/2009/9/main" objectType="Drop" dx="22" fmlaLink="$Q$45" fmlaRange="'Variable Mgmt'!$R$73:$R$79" noThreeD="1" page="7" sel="4" val="0"/>
</file>

<file path=xl/ctrlProps/ctrlProp21.xml><?xml version="1.0" encoding="utf-8"?>
<formControlPr xmlns="http://schemas.microsoft.com/office/spreadsheetml/2009/9/main" objectType="Drop" dx="22" fmlaLink="$Q$34" fmlaRange="'Variable Mgmt'!$R$64:$R$66" noThreeD="1" page="3" sel="1" val="0"/>
</file>

<file path=xl/ctrlProps/ctrlProp22.xml><?xml version="1.0" encoding="utf-8"?>
<formControlPr xmlns="http://schemas.microsoft.com/office/spreadsheetml/2009/9/main" objectType="Drop" dx="22" fmlaLink="$Q$33" fmlaRange="'Variable Mgmt'!$R$64:$R$68" noThreeD="1" page="5" sel="5" val="0"/>
</file>

<file path=xl/ctrlProps/ctrlProp23.xml><?xml version="1.0" encoding="utf-8"?>
<formControlPr xmlns="http://schemas.microsoft.com/office/spreadsheetml/2009/9/main" objectType="Drop" dx="22" fmlaLink="$Q$39" fmlaRange="'Variable Mgmt'!$W$73:$W$75" noThreeD="1" page="3" sel="1" val="0"/>
</file>

<file path=xl/ctrlProps/ctrlProp24.xml><?xml version="1.0" encoding="utf-8"?>
<formControlPr xmlns="http://schemas.microsoft.com/office/spreadsheetml/2009/9/main" objectType="Drop" dropLines="2" dx="22" fmlaLink="'Variable Mgmt'!$Q$22" fmlaRange="'Variable Mgmt'!$P$20:$P$21" noThreeD="1" page="2" sel="2" val="0"/>
</file>

<file path=xl/ctrlProps/ctrlProp3.xml><?xml version="1.0" encoding="utf-8"?>
<formControlPr xmlns="http://schemas.microsoft.com/office/spreadsheetml/2009/9/main" objectType="Drop" dx="22" fmlaLink="'Variable Mgmt'!$J$64" fmlaRange="'Variable Mgmt'!$I$62:$I$63" noThreeD="1" page="2" sel="2" val="0"/>
</file>

<file path=xl/ctrlProps/ctrlProp4.xml><?xml version="1.0" encoding="utf-8"?>
<formControlPr xmlns="http://schemas.microsoft.com/office/spreadsheetml/2009/9/main" objectType="Drop" dropLines="2" dx="22" fmlaLink="'Variable Mgmt'!$G$64" fmlaRange="'Variable Mgmt'!$F$62:$F$63" noThreeD="1" page="2" sel="1" val="0"/>
</file>

<file path=xl/ctrlProps/ctrlProp5.xml><?xml version="1.0" encoding="utf-8"?>
<formControlPr xmlns="http://schemas.microsoft.com/office/spreadsheetml/2009/9/main" objectType="Drop" dropLines="10" dx="22" fmlaLink="'Variable Mgmt'!$S$45" fmlaRange="'Variable Mgmt'!$R$28:$R$43" max="6" noThreeD="1" page="10" sel="11" val="6"/>
</file>

<file path=xl/ctrlProps/ctrlProp6.xml><?xml version="1.0" encoding="utf-8"?>
<formControlPr xmlns="http://schemas.microsoft.com/office/spreadsheetml/2009/9/main" objectType="Drop" dx="22" fmlaLink="'Variable Mgmt'!$G$58" fmlaRange="'Variable Mgmt'!$F$56:$F$57" noThreeD="1" page="2" sel="1" val="0"/>
</file>

<file path=xl/ctrlProps/ctrlProp7.xml><?xml version="1.0" encoding="utf-8"?>
<formControlPr xmlns="http://schemas.microsoft.com/office/spreadsheetml/2009/9/main" objectType="Drop" dropLines="10" dx="22" fmlaLink="'Variable Mgmt'!$C$59" fmlaRange="'Variable Mgmt'!$B$56:$B$57" noThreeD="1" page="2" sel="2" val="0"/>
</file>

<file path=xl/ctrlProps/ctrlProp8.xml><?xml version="1.0" encoding="utf-8"?>
<formControlPr xmlns="http://schemas.microsoft.com/office/spreadsheetml/2009/9/main" objectType="Drop" dropLines="5" dx="22" fmlaLink="'Variable Mgmt'!$Q$15" fmlaRange="'Variable Mgmt'!$P$10:$P$14" noThreeD="1" page="5" sel="1" val="0"/>
</file>

<file path=xl/ctrlProps/ctrlProp9.xml><?xml version="1.0" encoding="utf-8"?>
<formControlPr xmlns="http://schemas.microsoft.com/office/spreadsheetml/2009/9/main" objectType="Drop" dx="22" fmlaLink="'BOM &amp; Schematic'!$Q$31" fmlaRange="'Variable Mgmt'!$R$64:$R$68" noThreeD="1" page="5" sel="5" val="0"/>
</file>

<file path=xl/drawings/_rels/drawing1.xml.rels><?xml version="1.0" encoding="UTF-8" standalone="yes"?>
<Relationships xmlns="http://schemas.openxmlformats.org/package/2006/relationships"><Relationship Id="rId9" Type="http://schemas.openxmlformats.org/officeDocument/2006/relationships/image" Target="../media/image6.emf"/><Relationship Id="rId8" Type="http://schemas.openxmlformats.org/officeDocument/2006/relationships/image" Target="../media/image5.jpeg"/><Relationship Id="rId7" Type="http://schemas.openxmlformats.org/officeDocument/2006/relationships/hyperlink" Target="http://www.ti.com/automotive" TargetMode="External"/><Relationship Id="rId6" Type="http://schemas.openxmlformats.org/officeDocument/2006/relationships/image" Target="../media/image4.jpeg"/><Relationship Id="rId5" Type="http://schemas.openxmlformats.org/officeDocument/2006/relationships/hyperlink" Target="http://www.ti.com/industrial" TargetMode="External"/><Relationship Id="rId4" Type="http://schemas.openxmlformats.org/officeDocument/2006/relationships/image" Target="../media/image3.jpeg"/><Relationship Id="rId3" Type="http://schemas.openxmlformats.org/officeDocument/2006/relationships/hyperlink" Target="http://www.ti.com/widevin" TargetMode="External"/><Relationship Id="rId2" Type="http://schemas.openxmlformats.org/officeDocument/2006/relationships/image" Target="../media/image2.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chart" Target="../charts/chart21.xml"/><Relationship Id="rId1"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chart" Target="../charts/chart23.xml"/><Relationship Id="rId1"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9" Type="http://schemas.openxmlformats.org/officeDocument/2006/relationships/image" Target="../media/image25.png"/><Relationship Id="rId8" Type="http://schemas.openxmlformats.org/officeDocument/2006/relationships/image" Target="../media/image24.png"/><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4" Type="http://schemas.openxmlformats.org/officeDocument/2006/relationships/image" Target="../media/image40.png"/><Relationship Id="rId23" Type="http://schemas.openxmlformats.org/officeDocument/2006/relationships/image" Target="../media/image39.png"/><Relationship Id="rId22" Type="http://schemas.openxmlformats.org/officeDocument/2006/relationships/image" Target="../media/image38.png"/><Relationship Id="rId21" Type="http://schemas.openxmlformats.org/officeDocument/2006/relationships/image" Target="../media/image37.png"/><Relationship Id="rId20" Type="http://schemas.openxmlformats.org/officeDocument/2006/relationships/image" Target="../media/image36.png"/><Relationship Id="rId2" Type="http://schemas.openxmlformats.org/officeDocument/2006/relationships/image" Target="../media/image18.png"/><Relationship Id="rId19" Type="http://schemas.openxmlformats.org/officeDocument/2006/relationships/image" Target="../media/image35.png"/><Relationship Id="rId18" Type="http://schemas.openxmlformats.org/officeDocument/2006/relationships/image" Target="../media/image34.png"/><Relationship Id="rId17" Type="http://schemas.openxmlformats.org/officeDocument/2006/relationships/image" Target="../media/image33.png"/><Relationship Id="rId16" Type="http://schemas.openxmlformats.org/officeDocument/2006/relationships/image" Target="../media/image32.png"/><Relationship Id="rId15" Type="http://schemas.openxmlformats.org/officeDocument/2006/relationships/image" Target="../media/image31.png"/><Relationship Id="rId14" Type="http://schemas.openxmlformats.org/officeDocument/2006/relationships/image" Target="../media/image30.png"/><Relationship Id="rId13" Type="http://schemas.openxmlformats.org/officeDocument/2006/relationships/image" Target="../media/image29.png"/><Relationship Id="rId12" Type="http://schemas.openxmlformats.org/officeDocument/2006/relationships/image" Target="../media/image28.png"/><Relationship Id="rId11" Type="http://schemas.openxmlformats.org/officeDocument/2006/relationships/image" Target="../media/image27.png"/><Relationship Id="rId10" Type="http://schemas.openxmlformats.org/officeDocument/2006/relationships/image" Target="../media/image26.png"/><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8.emf"/></Relationships>
</file>

<file path=xl/drawings/_rels/drawing3.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emf"/><Relationship Id="rId1" Type="http://schemas.openxmlformats.org/officeDocument/2006/relationships/image" Target="../media/image9.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5" Type="http://schemas.openxmlformats.org/officeDocument/2006/relationships/chart" Target="../charts/chart12.xml"/><Relationship Id="rId4" Type="http://schemas.openxmlformats.org/officeDocument/2006/relationships/chart" Target="../charts/chart11.xml"/><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7" Type="http://schemas.openxmlformats.org/officeDocument/2006/relationships/image" Target="../media/image13.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6.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24</xdr:col>
          <xdr:colOff>146050</xdr:colOff>
          <xdr:row>0</xdr:row>
          <xdr:rowOff>381000</xdr:rowOff>
        </xdr:from>
        <xdr:to>
          <xdr:col>24</xdr:col>
          <xdr:colOff>527050</xdr:colOff>
          <xdr:row>1</xdr:row>
          <xdr:rowOff>0</xdr:rowOff>
        </xdr:to>
        <xdr:sp>
          <xdr:nvSpPr>
            <xdr:cNvPr id="750825" name="Drop Down 5353" hidden="1">
              <a:extLst>
                <a:ext uri="{63B3BB69-23CF-44E3-9099-C40C66FF867C}">
                  <a14:compatExt spid="_x0000_s750825"/>
                </a:ext>
              </a:extLst>
            </xdr:cNvPr>
            <xdr:cNvSpPr/>
          </xdr:nvSpPr>
          <xdr:spPr>
            <a:xfrm>
              <a:off x="15777210" y="381000"/>
              <a:ext cx="381000"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25</xdr:row>
          <xdr:rowOff>243409</xdr:rowOff>
        </xdr:from>
        <xdr:to>
          <xdr:col>25</xdr:col>
          <xdr:colOff>1895036</xdr:colOff>
          <xdr:row>46</xdr:row>
          <xdr:rowOff>84879</xdr:rowOff>
        </xdr:to>
        <xdr:pic>
          <xdr:nvPicPr>
            <xdr:cNvPr id="59" name="Picture 8888"/>
            <xdr:cNvPicPr>
              <a:picLocks noChangeAspect="1" noChangeArrowheads="1"/>
              <a:extLst>
                <a:ext uri="{84589F7E-364E-4C9E-8A38-B11213B215E9}">
                  <a14:cameraTool cellRange="PICTURE3" spid="_x0000_s776601"/>
                </a:ext>
              </a:extLst>
            </xdr:cNvPicPr>
          </xdr:nvPicPr>
          <xdr:blipFill>
            <a:blip r:embed="rId1"/>
            <a:srcRect/>
            <a:stretch>
              <a:fillRect/>
            </a:stretch>
          </xdr:blipFill>
          <xdr:spPr>
            <a:xfrm>
              <a:off x="11224260" y="5625465"/>
              <a:ext cx="6943090" cy="4116705"/>
            </a:xfrm>
            <a:prstGeom prst="rect">
              <a:avLst/>
            </a:prstGeom>
            <a:noFill/>
            <a:ln w="15875">
              <a:noFill/>
              <a:miter lim="800000"/>
              <a:headEnd/>
              <a:tailEnd/>
            </a:ln>
            <a:extLst>
              <a:ext uri="{909E8E84-426E-40DD-AFC4-6F175D3DCCD1}">
                <a14:hiddenFill xmlns:a14="http://schemas.microsoft.com/office/drawing/2010/main">
                  <a:solidFill>
                    <a:srgbClr xmlns:mc="http://schemas.openxmlformats.org/markup-compatibility/2006" xmlns:a14="http://schemas.microsoft.com/office/drawing/2010/main"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314546</xdr:colOff>
          <xdr:row>4</xdr:row>
          <xdr:rowOff>103292</xdr:rowOff>
        </xdr:from>
        <xdr:to>
          <xdr:col>25</xdr:col>
          <xdr:colOff>55789</xdr:colOff>
          <xdr:row>25</xdr:row>
          <xdr:rowOff>55217</xdr:rowOff>
        </xdr:to>
        <xdr:pic>
          <xdr:nvPicPr>
            <xdr:cNvPr id="45" name="Picture 8888"/>
            <xdr:cNvPicPr>
              <a:picLocks noChangeAspect="1" noChangeArrowheads="1"/>
              <a:extLst>
                <a:ext uri="{84589F7E-364E-4C9E-8A38-B11213B215E9}">
                  <a14:cameraTool cellRange="PICTURE1" spid="_x0000_s776602"/>
                </a:ext>
              </a:extLst>
            </xdr:cNvPicPr>
          </xdr:nvPicPr>
          <xdr:blipFill>
            <a:blip r:embed="rId2"/>
            <a:srcRect/>
            <a:stretch>
              <a:fillRect/>
            </a:stretch>
          </xdr:blipFill>
          <xdr:spPr>
            <a:xfrm>
              <a:off x="8623935" y="1265555"/>
              <a:ext cx="7703820" cy="4171315"/>
            </a:xfrm>
            <a:prstGeom prst="rect">
              <a:avLst/>
            </a:prstGeom>
            <a:noFill/>
            <a:ln w="15875">
              <a:noFill/>
              <a:miter lim="800000"/>
              <a:headEnd/>
              <a:tailEnd/>
            </a:ln>
            <a:extLst>
              <a:ext uri="{909E8E84-426E-40DD-AFC4-6F175D3DCCD1}">
                <a14:hiddenFill xmlns:a14="http://schemas.microsoft.com/office/drawing/2010/main">
                  <a:solidFill>
                    <a:srgbClr xmlns:mc="http://schemas.openxmlformats.org/markup-compatibility/2006" xmlns:a14="http://schemas.microsoft.com/office/drawing/2010/main" val="FFFFFF" mc:Ignorable="a14" a14:legacySpreadsheetColorIndex="65"/>
                  </a:solidFill>
                </a14:hiddenFill>
              </a:ext>
            </a:extLst>
          </xdr:spPr>
        </xdr:pic>
        <xdr:clientData/>
      </xdr:twoCellAnchor>
    </mc:Choice>
    <mc:Fallback/>
  </mc:AlternateContent>
  <xdr:twoCellAnchor>
    <xdr:from>
      <xdr:col>14</xdr:col>
      <xdr:colOff>365412</xdr:colOff>
      <xdr:row>12</xdr:row>
      <xdr:rowOff>22661</xdr:rowOff>
    </xdr:from>
    <xdr:to>
      <xdr:col>15</xdr:col>
      <xdr:colOff>82735</xdr:colOff>
      <xdr:row>14</xdr:row>
      <xdr:rowOff>45789</xdr:rowOff>
    </xdr:to>
    <xdr:sp>
      <xdr:nvSpPr>
        <xdr:cNvPr id="2292" name="Text Box 244"/>
        <xdr:cNvSpPr txBox="1">
          <a:spLocks noChangeArrowheads="1"/>
        </xdr:cNvSpPr>
      </xdr:nvSpPr>
      <xdr:spPr>
        <a:xfrm>
          <a:off x="9316085" y="2813685"/>
          <a:ext cx="358775" cy="423545"/>
        </a:xfrm>
        <a:prstGeom prst="rect">
          <a:avLst/>
        </a:prstGeom>
        <a:noFill/>
        <a:ln w="9525">
          <a:noFill/>
          <a:miter lim="800000"/>
        </a:ln>
      </xdr:spPr>
      <xdr:txBody>
        <a:bodyPr vertOverflow="clip" wrap="square" lIns="27432" tIns="27432" rIns="0" bIns="0" anchor="t" upright="1"/>
        <a:lstStyle/>
        <a:p>
          <a:pPr algn="l" rtl="0">
            <a:defRPr sz="1000"/>
          </a:pPr>
          <a:r>
            <a:rPr lang="en-US" sz="1100" b="0" i="0" strike="noStrike">
              <a:solidFill>
                <a:srgbClr val="000000"/>
              </a:solidFill>
              <a:latin typeface="Arial" panose="020B0604020202020204" pitchFamily="7" charset="0"/>
              <a:cs typeface="Arial" panose="020B0604020202020204" pitchFamily="7" charset="0"/>
            </a:rPr>
            <a:t>C</a:t>
          </a:r>
          <a:r>
            <a:rPr lang="en-US" sz="1100" b="0" i="0" strike="noStrike" baseline="-25000">
              <a:solidFill>
                <a:srgbClr val="000000"/>
              </a:solidFill>
              <a:latin typeface="Arial" panose="020B0604020202020204" pitchFamily="7" charset="0"/>
              <a:cs typeface="Arial" panose="020B0604020202020204" pitchFamily="7" charset="0"/>
            </a:rPr>
            <a:t>IN</a:t>
          </a:r>
          <a:endParaRPr lang="en-US" sz="1100" b="0" i="0" strike="noStrike" baseline="-25000">
            <a:solidFill>
              <a:srgbClr val="000000"/>
            </a:solidFill>
            <a:latin typeface="Arial" panose="020B0604020202020204" pitchFamily="7" charset="0"/>
            <a:cs typeface="Arial" panose="020B0604020202020204" pitchFamily="7" charset="0"/>
          </a:endParaRPr>
        </a:p>
      </xdr:txBody>
    </xdr:sp>
    <xdr:clientData/>
  </xdr:twoCellAnchor>
  <xdr:twoCellAnchor>
    <xdr:from>
      <xdr:col>20</xdr:col>
      <xdr:colOff>552518</xdr:colOff>
      <xdr:row>11</xdr:row>
      <xdr:rowOff>93066</xdr:rowOff>
    </xdr:from>
    <xdr:to>
      <xdr:col>21</xdr:col>
      <xdr:colOff>410683</xdr:colOff>
      <xdr:row>12</xdr:row>
      <xdr:rowOff>93428</xdr:rowOff>
    </xdr:to>
    <xdr:sp textlink="'Variable Mgmt'!B221">
      <xdr:nvSpPr>
        <xdr:cNvPr id="2315" name="Text Box 267"/>
        <xdr:cNvSpPr txBox="1">
          <a:spLocks noChangeArrowheads="1" noTextEdit="1"/>
        </xdr:cNvSpPr>
      </xdr:nvSpPr>
      <xdr:spPr>
        <a:xfrm>
          <a:off x="13618210" y="2684145"/>
          <a:ext cx="499110" cy="200660"/>
        </a:xfrm>
        <a:prstGeom prst="rect">
          <a:avLst/>
        </a:prstGeom>
        <a:noFill/>
        <a:ln w="9525">
          <a:noFill/>
          <a:miter lim="800000"/>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anose="020B0604020202020204" pitchFamily="7" charset="0"/>
              <a:cs typeface="Arial" panose="020B0604020202020204" pitchFamily="7" charset="0"/>
            </a:rPr>
          </a:fld>
          <a:endParaRPr lang="en-US" sz="800" b="0" i="0" u="none" strike="noStrike" baseline="0">
            <a:solidFill>
              <a:srgbClr val="000000"/>
            </a:solidFill>
            <a:latin typeface="Arial" panose="020B0604020202020204" pitchFamily="7" charset="0"/>
            <a:cs typeface="Arial" panose="020B0604020202020204" pitchFamily="7" charset="0"/>
          </a:endParaRPr>
        </a:p>
      </xdr:txBody>
    </xdr:sp>
    <xdr:clientData/>
  </xdr:twoCellAnchor>
  <xdr:twoCellAnchor>
    <xdr:from>
      <xdr:col>19</xdr:col>
      <xdr:colOff>59495</xdr:colOff>
      <xdr:row>7</xdr:row>
      <xdr:rowOff>183783</xdr:rowOff>
    </xdr:from>
    <xdr:to>
      <xdr:col>19</xdr:col>
      <xdr:colOff>539302</xdr:colOff>
      <xdr:row>9</xdr:row>
      <xdr:rowOff>28110</xdr:rowOff>
    </xdr:to>
    <xdr:sp textlink="'Variable Mgmt'!B207">
      <xdr:nvSpPr>
        <xdr:cNvPr id="2323" name="Text Box 275"/>
        <xdr:cNvSpPr txBox="1">
          <a:spLocks noChangeArrowheads="1" noTextEdit="1"/>
        </xdr:cNvSpPr>
      </xdr:nvSpPr>
      <xdr:spPr>
        <a:xfrm>
          <a:off x="12483465" y="1974850"/>
          <a:ext cx="480060" cy="244475"/>
        </a:xfrm>
        <a:prstGeom prst="rect">
          <a:avLst/>
        </a:prstGeom>
        <a:noFill/>
        <a:ln w="9525">
          <a:noFill/>
          <a:miter lim="800000"/>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anose="020B0604020202020204" pitchFamily="7" charset="0"/>
              <a:cs typeface="Arial" panose="020B0604020202020204" pitchFamily="7" charset="0"/>
            </a:rPr>
          </a:fld>
          <a:endParaRPr lang="en-US" sz="800" b="0" i="0" u="none" strike="noStrike" baseline="0">
            <a:solidFill>
              <a:srgbClr val="000000"/>
            </a:solidFill>
            <a:latin typeface="Arial" panose="020B0604020202020204" pitchFamily="7" charset="0"/>
            <a:cs typeface="Arial" panose="020B0604020202020204" pitchFamily="7" charset="0"/>
          </a:endParaRPr>
        </a:p>
      </xdr:txBody>
    </xdr:sp>
    <xdr:clientData/>
  </xdr:twoCellAnchor>
  <xdr:twoCellAnchor>
    <xdr:from>
      <xdr:col>14</xdr:col>
      <xdr:colOff>246890</xdr:colOff>
      <xdr:row>13</xdr:row>
      <xdr:rowOff>84918</xdr:rowOff>
    </xdr:from>
    <xdr:to>
      <xdr:col>15</xdr:col>
      <xdr:colOff>111122</xdr:colOff>
      <xdr:row>14</xdr:row>
      <xdr:rowOff>77523</xdr:rowOff>
    </xdr:to>
    <xdr:sp textlink="'Variable Mgmt'!B226">
      <xdr:nvSpPr>
        <xdr:cNvPr id="2324" name="Text Box 276"/>
        <xdr:cNvSpPr txBox="1">
          <a:spLocks noChangeArrowheads="1" noTextEdit="1"/>
        </xdr:cNvSpPr>
      </xdr:nvSpPr>
      <xdr:spPr>
        <a:xfrm>
          <a:off x="9197340" y="3075940"/>
          <a:ext cx="505460" cy="193040"/>
        </a:xfrm>
        <a:prstGeom prst="rect">
          <a:avLst/>
        </a:prstGeom>
        <a:noFill/>
        <a:ln w="9525">
          <a:noFill/>
          <a:miter lim="800000"/>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anose="020B0604020202020204" pitchFamily="7" charset="0"/>
              <a:cs typeface="Arial" panose="020B0604020202020204" pitchFamily="7" charset="0"/>
            </a:rPr>
          </a:fld>
          <a:endParaRPr lang="en-US" sz="800" b="0" i="0" u="none" strike="noStrike" baseline="0">
            <a:solidFill>
              <a:srgbClr val="000000"/>
            </a:solidFill>
            <a:latin typeface="Arial" panose="020B0604020202020204" pitchFamily="7" charset="0"/>
            <a:cs typeface="Arial" panose="020B0604020202020204" pitchFamily="7" charset="0"/>
          </a:endParaRPr>
        </a:p>
      </xdr:txBody>
    </xdr:sp>
    <xdr:clientData/>
  </xdr:twoCellAnchor>
  <xdr:twoCellAnchor>
    <xdr:from>
      <xdr:col>15</xdr:col>
      <xdr:colOff>35435</xdr:colOff>
      <xdr:row>21</xdr:row>
      <xdr:rowOff>723</xdr:rowOff>
    </xdr:from>
    <xdr:to>
      <xdr:col>15</xdr:col>
      <xdr:colOff>512834</xdr:colOff>
      <xdr:row>22</xdr:row>
      <xdr:rowOff>92006</xdr:rowOff>
    </xdr:to>
    <xdr:sp textlink="'Variable Mgmt'!D253">
      <xdr:nvSpPr>
        <xdr:cNvPr id="2329" name="Text Box 281"/>
        <xdr:cNvSpPr txBox="1">
          <a:spLocks noChangeArrowheads="1" noTextEdit="1"/>
        </xdr:cNvSpPr>
      </xdr:nvSpPr>
      <xdr:spPr>
        <a:xfrm>
          <a:off x="9627235" y="4601845"/>
          <a:ext cx="477520" cy="290830"/>
        </a:xfrm>
        <a:prstGeom prst="rect">
          <a:avLst/>
        </a:prstGeom>
        <a:noFill/>
        <a:ln w="9525">
          <a:noFill/>
          <a:miter lim="800000"/>
        </a:ln>
      </xdr:spPr>
      <xdr:txBody>
        <a:bodyPr vertOverflow="clip" wrap="square" lIns="27432" tIns="22860" rIns="0" bIns="0" anchor="ctr" upright="1"/>
        <a:lstStyle/>
        <a:p>
          <a:pPr algn="ctr" rtl="0">
            <a:defRPr sz="1000"/>
          </a:pPr>
          <a:fld id="{F2115F91-8BFD-4C9B-9969-8B2C04ADF4C5}" type="TxLink">
            <a:rPr lang="en-US" sz="800" b="0" i="0" u="none" strike="noStrike">
              <a:solidFill>
                <a:srgbClr val="000000"/>
              </a:solidFill>
              <a:latin typeface="Arial" panose="020B0604020202020204"/>
              <a:cs typeface="Arial" panose="020B0604020202020204"/>
            </a:rPr>
          </a:fld>
          <a:endParaRPr lang="en-US" sz="800" b="0" i="0" u="none" strike="noStrike">
            <a:solidFill>
              <a:srgbClr val="000000"/>
            </a:solidFill>
            <a:latin typeface="Arial" panose="020B0604020202020204"/>
            <a:cs typeface="Arial" panose="020B0604020202020204"/>
          </a:endParaRPr>
        </a:p>
      </xdr:txBody>
    </xdr:sp>
    <xdr:clientData/>
  </xdr:twoCellAnchor>
  <xdr:twoCellAnchor>
    <xdr:from>
      <xdr:col>14</xdr:col>
      <xdr:colOff>162241</xdr:colOff>
      <xdr:row>5</xdr:row>
      <xdr:rowOff>142357</xdr:rowOff>
    </xdr:from>
    <xdr:to>
      <xdr:col>15</xdr:col>
      <xdr:colOff>63806</xdr:colOff>
      <xdr:row>8</xdr:row>
      <xdr:rowOff>20978</xdr:rowOff>
    </xdr:to>
    <xdr:sp textlink="'Variable Mgmt'!B213">
      <xdr:nvSpPr>
        <xdr:cNvPr id="2331" name="Text Box 283"/>
        <xdr:cNvSpPr txBox="1">
          <a:spLocks noChangeArrowheads="1" noTextEdit="1"/>
        </xdr:cNvSpPr>
      </xdr:nvSpPr>
      <xdr:spPr>
        <a:xfrm>
          <a:off x="9112885" y="1552575"/>
          <a:ext cx="542925" cy="459740"/>
        </a:xfrm>
        <a:prstGeom prst="rect">
          <a:avLst/>
        </a:prstGeom>
        <a:noFill/>
        <a:ln w="9525">
          <a:noFill/>
          <a:miter lim="800000"/>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anose="020B0604020202020204" pitchFamily="7" charset="0"/>
              <a:cs typeface="Arial" panose="020B0604020202020204" pitchFamily="7" charset="0"/>
            </a:rPr>
          </a:fld>
          <a:endParaRPr lang="en-US" sz="1400" b="1" i="0" u="none" strike="noStrike">
            <a:solidFill>
              <a:srgbClr val="FF0000"/>
            </a:solidFill>
            <a:latin typeface="Arial" panose="020B0604020202020204" pitchFamily="7" charset="0"/>
            <a:cs typeface="Arial" panose="020B0604020202020204" pitchFamily="7" charset="0"/>
          </a:endParaRPr>
        </a:p>
      </xdr:txBody>
    </xdr:sp>
    <xdr:clientData/>
  </xdr:twoCellAnchor>
  <xdr:twoCellAnchor>
    <xdr:from>
      <xdr:col>23</xdr:col>
      <xdr:colOff>101857</xdr:colOff>
      <xdr:row>6</xdr:row>
      <xdr:rowOff>43378</xdr:rowOff>
    </xdr:from>
    <xdr:to>
      <xdr:col>24</xdr:col>
      <xdr:colOff>157289</xdr:colOff>
      <xdr:row>8</xdr:row>
      <xdr:rowOff>13542</xdr:rowOff>
    </xdr:to>
    <xdr:sp textlink="'Variable Mgmt'!B216">
      <xdr:nvSpPr>
        <xdr:cNvPr id="2333" name="Text Box 285"/>
        <xdr:cNvSpPr txBox="1">
          <a:spLocks noChangeArrowheads="1" noTextEdit="1"/>
        </xdr:cNvSpPr>
      </xdr:nvSpPr>
      <xdr:spPr>
        <a:xfrm>
          <a:off x="15091410" y="1653540"/>
          <a:ext cx="696595" cy="351155"/>
        </a:xfrm>
        <a:prstGeom prst="rect">
          <a:avLst/>
        </a:prstGeom>
        <a:noFill/>
        <a:ln w="9525">
          <a:noFill/>
          <a:miter lim="800000"/>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anose="020B0604020202020204" pitchFamily="7" charset="0"/>
              <a:cs typeface="Arial" panose="020B0604020202020204" pitchFamily="7" charset="0"/>
            </a:rPr>
          </a:fld>
          <a:endParaRPr lang="en-US" sz="1400" b="1" i="0" u="none" strike="noStrike" baseline="0">
            <a:solidFill>
              <a:srgbClr val="FF0000"/>
            </a:solidFill>
            <a:latin typeface="Arial" panose="020B0604020202020204" pitchFamily="7" charset="0"/>
            <a:cs typeface="Arial" panose="020B0604020202020204" pitchFamily="7" charset="0"/>
          </a:endParaRPr>
        </a:p>
      </xdr:txBody>
    </xdr:sp>
    <xdr:clientData/>
  </xdr:twoCellAnchor>
  <xdr:twoCellAnchor>
    <xdr:from>
      <xdr:col>22</xdr:col>
      <xdr:colOff>611798</xdr:colOff>
      <xdr:row>7</xdr:row>
      <xdr:rowOff>95753</xdr:rowOff>
    </xdr:from>
    <xdr:to>
      <xdr:col>23</xdr:col>
      <xdr:colOff>555236</xdr:colOff>
      <xdr:row>9</xdr:row>
      <xdr:rowOff>3961</xdr:rowOff>
    </xdr:to>
    <xdr:sp textlink="'Variable Mgmt'!B271">
      <xdr:nvSpPr>
        <xdr:cNvPr id="2334" name="Text Box 286"/>
        <xdr:cNvSpPr txBox="1">
          <a:spLocks noChangeArrowheads="1" noTextEdit="1"/>
        </xdr:cNvSpPr>
      </xdr:nvSpPr>
      <xdr:spPr>
        <a:xfrm>
          <a:off x="14959965" y="1886585"/>
          <a:ext cx="584835" cy="308610"/>
        </a:xfrm>
        <a:prstGeom prst="rect">
          <a:avLst/>
        </a:prstGeom>
        <a:noFill/>
        <a:ln w="9525">
          <a:noFill/>
          <a:miter lim="800000"/>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anose="020B0604020202020204" pitchFamily="7" charset="0"/>
              <a:cs typeface="Arial" panose="020B0604020202020204" pitchFamily="7" charset="0"/>
            </a:rPr>
          </a:fld>
          <a:endParaRPr lang="en-US" sz="1000" b="1" i="0" u="none" strike="noStrike">
            <a:solidFill>
              <a:srgbClr val="FF0000"/>
            </a:solidFill>
            <a:latin typeface="Arial" panose="020B0604020202020204" pitchFamily="7" charset="0"/>
            <a:cs typeface="Arial" panose="020B0604020202020204" pitchFamily="7" charset="0"/>
          </a:endParaRPr>
        </a:p>
      </xdr:txBody>
    </xdr:sp>
    <xdr:clientData/>
  </xdr:twoCellAnchor>
  <mc:AlternateContent xmlns:mc="http://schemas.openxmlformats.org/markup-compatibility/2006">
    <mc:Choice xmlns:a14="http://schemas.microsoft.com/office/drawing/2010/main" Requires="a14">
      <xdr:twoCellAnchor>
        <xdr:from>
          <xdr:col>5</xdr:col>
          <xdr:colOff>127000</xdr:colOff>
          <xdr:row>6</xdr:row>
          <xdr:rowOff>12700</xdr:rowOff>
        </xdr:from>
        <xdr:to>
          <xdr:col>5</xdr:col>
          <xdr:colOff>304800</xdr:colOff>
          <xdr:row>7</xdr:row>
          <xdr:rowOff>31750</xdr:rowOff>
        </xdr:to>
        <xdr:sp>
          <xdr:nvSpPr>
            <xdr:cNvPr id="672895" name="Spinner 127" hidden="1">
              <a:extLst>
                <a:ext uri="{63B3BB69-23CF-44E3-9099-C40C66FF867C}">
                  <a14:compatExt spid="_x0000_s672895"/>
                </a:ext>
              </a:extLst>
            </xdr:cNvPr>
            <xdr:cNvSpPr/>
          </xdr:nvSpPr>
          <xdr:spPr>
            <a:xfrm>
              <a:off x="3554730" y="1623060"/>
              <a:ext cx="177800" cy="200025"/>
            </a:xfrm>
            <a:prstGeom prst="rect">
              <a:avLst/>
            </a:prstGeom>
          </xdr:spPr>
        </xdr:sp>
        <xdr:clientData/>
      </xdr:twoCellAnchor>
    </mc:Choice>
    <mc:Fallback/>
  </mc:AlternateContent>
  <xdr:twoCellAnchor>
    <xdr:from>
      <xdr:col>16</xdr:col>
      <xdr:colOff>77776</xdr:colOff>
      <xdr:row>10</xdr:row>
      <xdr:rowOff>190439</xdr:rowOff>
    </xdr:from>
    <xdr:to>
      <xdr:col>16</xdr:col>
      <xdr:colOff>602802</xdr:colOff>
      <xdr:row>12</xdr:row>
      <xdr:rowOff>38709</xdr:rowOff>
    </xdr:to>
    <xdr:sp textlink="'Variable Mgmt'!C245">
      <xdr:nvSpPr>
        <xdr:cNvPr id="71" name="Text Box 268"/>
        <xdr:cNvSpPr txBox="1">
          <a:spLocks noChangeArrowheads="1" noTextEdit="1"/>
        </xdr:cNvSpPr>
      </xdr:nvSpPr>
      <xdr:spPr>
        <a:xfrm>
          <a:off x="10380980" y="2581275"/>
          <a:ext cx="525145" cy="248285"/>
        </a:xfrm>
        <a:prstGeom prst="rect">
          <a:avLst/>
        </a:prstGeom>
        <a:noFill/>
        <a:ln w="9525">
          <a:noFill/>
          <a:miter lim="800000"/>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panose="020B0604020202020204"/>
              <a:cs typeface="Arial" panose="020B0604020202020204"/>
            </a:rPr>
          </a:fld>
          <a:endParaRPr lang="en-US" sz="800" b="0" i="0" u="none" strike="noStrike">
            <a:solidFill>
              <a:srgbClr val="000000"/>
            </a:solidFill>
            <a:latin typeface="Arial" panose="020B0604020202020204"/>
            <a:cs typeface="Arial" panose="020B0604020202020204"/>
          </a:endParaRPr>
        </a:p>
      </xdr:txBody>
    </xdr:sp>
    <xdr:clientData/>
  </xdr:twoCellAnchor>
  <xdr:twoCellAnchor>
    <xdr:from>
      <xdr:col>15</xdr:col>
      <xdr:colOff>249701</xdr:colOff>
      <xdr:row>15</xdr:row>
      <xdr:rowOff>180303</xdr:rowOff>
    </xdr:from>
    <xdr:to>
      <xdr:col>16</xdr:col>
      <xdr:colOff>98124</xdr:colOff>
      <xdr:row>16</xdr:row>
      <xdr:rowOff>149394</xdr:rowOff>
    </xdr:to>
    <xdr:sp textlink="'Variable Mgmt'!C246">
      <xdr:nvSpPr>
        <xdr:cNvPr id="73" name="Text Box 268"/>
        <xdr:cNvSpPr txBox="1">
          <a:spLocks noChangeArrowheads="1" noTextEdit="1"/>
        </xdr:cNvSpPr>
      </xdr:nvSpPr>
      <xdr:spPr>
        <a:xfrm>
          <a:off x="9841865" y="3571240"/>
          <a:ext cx="559435" cy="179070"/>
        </a:xfrm>
        <a:prstGeom prst="rect">
          <a:avLst/>
        </a:prstGeom>
        <a:noFill/>
        <a:ln w="9525">
          <a:noFill/>
          <a:miter lim="800000"/>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panose="020B0604020202020204"/>
              <a:cs typeface="Arial" panose="020B0604020202020204"/>
            </a:rPr>
          </a:fld>
          <a:endParaRPr lang="en-US" sz="800" b="0" i="0" u="none" strike="noStrike">
            <a:solidFill>
              <a:srgbClr val="000000"/>
            </a:solidFill>
            <a:latin typeface="Arial" panose="020B0604020202020204"/>
            <a:cs typeface="Arial" panose="020B0604020202020204"/>
          </a:endParaRPr>
        </a:p>
      </xdr:txBody>
    </xdr:sp>
    <xdr:clientData/>
  </xdr:twoCellAnchor>
  <xdr:twoCellAnchor>
    <xdr:from>
      <xdr:col>18</xdr:col>
      <xdr:colOff>241916</xdr:colOff>
      <xdr:row>16</xdr:row>
      <xdr:rowOff>44671</xdr:rowOff>
    </xdr:from>
    <xdr:to>
      <xdr:col>19</xdr:col>
      <xdr:colOff>91795</xdr:colOff>
      <xdr:row>17</xdr:row>
      <xdr:rowOff>82452</xdr:rowOff>
    </xdr:to>
    <xdr:sp textlink="'Variable Mgmt'!C235">
      <xdr:nvSpPr>
        <xdr:cNvPr id="89" name="Text Box 268"/>
        <xdr:cNvSpPr txBox="1">
          <a:spLocks noChangeArrowheads="1" noTextEdit="1"/>
        </xdr:cNvSpPr>
      </xdr:nvSpPr>
      <xdr:spPr>
        <a:xfrm>
          <a:off x="11967210" y="3645535"/>
          <a:ext cx="548640" cy="237490"/>
        </a:xfrm>
        <a:prstGeom prst="rect">
          <a:avLst/>
        </a:prstGeom>
        <a:noFill/>
        <a:ln w="9525">
          <a:noFill/>
          <a:miter lim="800000"/>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panose="020B0604020202020204"/>
              <a:cs typeface="Arial" panose="020B0604020202020204"/>
            </a:rPr>
          </a:fld>
          <a:endParaRPr lang="en-US" sz="800" b="0" i="0" u="none" strike="noStrike">
            <a:solidFill>
              <a:srgbClr val="000000"/>
            </a:solidFill>
            <a:latin typeface="Arial" panose="020B0604020202020204"/>
            <a:cs typeface="Arial" panose="020B0604020202020204"/>
          </a:endParaRPr>
        </a:p>
      </xdr:txBody>
    </xdr:sp>
    <xdr:clientData/>
  </xdr:twoCellAnchor>
  <xdr:twoCellAnchor>
    <xdr:from>
      <xdr:col>19</xdr:col>
      <xdr:colOff>65265</xdr:colOff>
      <xdr:row>20</xdr:row>
      <xdr:rowOff>38483</xdr:rowOff>
    </xdr:from>
    <xdr:to>
      <xdr:col>20</xdr:col>
      <xdr:colOff>3387</xdr:colOff>
      <xdr:row>21</xdr:row>
      <xdr:rowOff>39879</xdr:rowOff>
    </xdr:to>
    <xdr:sp textlink="'Variable Mgmt'!C249">
      <xdr:nvSpPr>
        <xdr:cNvPr id="91" name="Text Box 265"/>
        <xdr:cNvSpPr txBox="1">
          <a:spLocks noChangeArrowheads="1" noTextEdit="1"/>
        </xdr:cNvSpPr>
      </xdr:nvSpPr>
      <xdr:spPr>
        <a:xfrm>
          <a:off x="12489180" y="4439285"/>
          <a:ext cx="579755" cy="201295"/>
        </a:xfrm>
        <a:prstGeom prst="rect">
          <a:avLst/>
        </a:prstGeom>
        <a:noFill/>
        <a:ln w="9525">
          <a:noFill/>
          <a:miter lim="800000"/>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panose="020B0604020202020204"/>
              <a:cs typeface="Arial" panose="020B0604020202020204"/>
            </a:rPr>
          </a:fld>
          <a:endParaRPr lang="en-US" sz="800" b="0" i="0" u="none" strike="noStrike" baseline="0">
            <a:solidFill>
              <a:srgbClr val="000000"/>
            </a:solidFill>
            <a:latin typeface="Arial" panose="020B0604020202020204"/>
            <a:cs typeface="Arial" panose="020B0604020202020204"/>
          </a:endParaRPr>
        </a:p>
      </xdr:txBody>
    </xdr:sp>
    <xdr:clientData/>
  </xdr:twoCellAnchor>
  <xdr:twoCellAnchor>
    <xdr:from>
      <xdr:col>14</xdr:col>
      <xdr:colOff>194174</xdr:colOff>
      <xdr:row>7</xdr:row>
      <xdr:rowOff>137451</xdr:rowOff>
    </xdr:from>
    <xdr:to>
      <xdr:col>15</xdr:col>
      <xdr:colOff>646144</xdr:colOff>
      <xdr:row>9</xdr:row>
      <xdr:rowOff>26245</xdr:rowOff>
    </xdr:to>
    <xdr:sp textlink="'Variable Mgmt'!B214">
      <xdr:nvSpPr>
        <xdr:cNvPr id="35" name="Text Box 283"/>
        <xdr:cNvSpPr txBox="1">
          <a:spLocks noChangeArrowheads="1" noTextEdit="1"/>
        </xdr:cNvSpPr>
      </xdr:nvSpPr>
      <xdr:spPr>
        <a:xfrm>
          <a:off x="9144635" y="1928495"/>
          <a:ext cx="1093470" cy="288925"/>
        </a:xfrm>
        <a:prstGeom prst="rect">
          <a:avLst/>
        </a:prstGeom>
        <a:noFill/>
        <a:ln w="9525">
          <a:noFill/>
          <a:miter lim="800000"/>
        </a:ln>
      </xdr:spPr>
      <xdr:txBody>
        <a:bodyPr vertOverflow="clip" wrap="square" lIns="27432" tIns="22860" rIns="0" bIns="0" anchor="t" upright="1"/>
        <a:lstStyle/>
        <a:p>
          <a:pPr algn="l" rtl="0">
            <a:defRPr sz="1000"/>
          </a:pPr>
          <a:fld id="{47315316-35F3-49E7-A4CE-EA42773D1FAE}" type="TxLink">
            <a:rPr lang="en-US" sz="1050" b="1" i="0" u="none" strike="noStrike">
              <a:solidFill>
                <a:srgbClr val="000000"/>
              </a:solidFill>
              <a:latin typeface="Arial" panose="020B0604020202020204"/>
              <a:cs typeface="Arial" panose="020B0604020202020204"/>
            </a:rPr>
          </a:fld>
          <a:endParaRPr lang="en-US" sz="1050" b="1" i="0" u="none" strike="noStrike">
            <a:solidFill>
              <a:srgbClr val="000000"/>
            </a:solidFill>
            <a:latin typeface="Arial" panose="020B0604020202020204"/>
            <a:cs typeface="Arial" panose="020B0604020202020204"/>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28</xdr:row>
          <xdr:rowOff>0</xdr:rowOff>
        </xdr:from>
        <xdr:to>
          <xdr:col>5</xdr:col>
          <xdr:colOff>279400</xdr:colOff>
          <xdr:row>29</xdr:row>
          <xdr:rowOff>31750</xdr:rowOff>
        </xdr:to>
        <xdr:sp>
          <xdr:nvSpPr>
            <xdr:cNvPr id="672935" name="Drop Down 167" hidden="1">
              <a:extLst>
                <a:ext uri="{63B3BB69-23CF-44E3-9099-C40C66FF867C}">
                  <a14:compatExt spid="_x0000_s672935"/>
                </a:ext>
              </a:extLst>
            </xdr:cNvPr>
            <xdr:cNvSpPr/>
          </xdr:nvSpPr>
          <xdr:spPr>
            <a:xfrm>
              <a:off x="2799080" y="6029960"/>
              <a:ext cx="908050" cy="211455"/>
            </a:xfrm>
            <a:prstGeom prst="rect">
              <a:avLst/>
            </a:prstGeom>
          </xdr:spPr>
        </xdr:sp>
        <xdr:clientData/>
      </xdr:twoCellAnchor>
    </mc:Choice>
    <mc:Fallback/>
  </mc:AlternateContent>
  <xdr:twoCellAnchor>
    <xdr:from>
      <xdr:col>18</xdr:col>
      <xdr:colOff>199508</xdr:colOff>
      <xdr:row>19</xdr:row>
      <xdr:rowOff>171424</xdr:rowOff>
    </xdr:from>
    <xdr:to>
      <xdr:col>18</xdr:col>
      <xdr:colOff>587566</xdr:colOff>
      <xdr:row>21</xdr:row>
      <xdr:rowOff>20431</xdr:rowOff>
    </xdr:to>
    <xdr:sp textlink="'Variable Mgmt'!C241">
      <xdr:nvSpPr>
        <xdr:cNvPr id="43" name="Text Box 225"/>
        <xdr:cNvSpPr txBox="1">
          <a:spLocks noChangeArrowheads="1"/>
        </xdr:cNvSpPr>
      </xdr:nvSpPr>
      <xdr:spPr>
        <a:xfrm>
          <a:off x="11925300" y="4371975"/>
          <a:ext cx="387985" cy="249555"/>
        </a:xfrm>
        <a:prstGeom prst="rect">
          <a:avLst/>
        </a:prstGeom>
        <a:noFill/>
        <a:ln w="9525">
          <a:noFill/>
          <a:miter lim="800000"/>
        </a:ln>
      </xdr:spPr>
      <xdr:txBody>
        <a:bodyPr vertOverflow="clip" wrap="square" lIns="27432" tIns="27432" rIns="0" bIns="0" anchor="ctr" upright="1"/>
        <a:lstStyle/>
        <a:p>
          <a:pPr algn="l" rtl="0">
            <a:defRPr sz="1000"/>
          </a:pPr>
          <a:fld id="{C394427D-AAFB-4910-BFD4-26E4AF094E1D}" type="TxLink">
            <a:rPr lang="en-US" sz="1050" b="0" i="0" u="none" strike="noStrike" baseline="-25000">
              <a:solidFill>
                <a:srgbClr val="000000"/>
              </a:solidFill>
              <a:latin typeface="Arial" panose="020B0604020202020204"/>
              <a:cs typeface="Arial" panose="020B0604020202020204"/>
            </a:rPr>
          </a:fld>
          <a:endParaRPr lang="en-US" sz="1050" b="0" i="0" u="none" strike="noStrike" baseline="-25000">
            <a:solidFill>
              <a:srgbClr val="000000"/>
            </a:solidFill>
            <a:latin typeface="Arial" panose="020B0604020202020204"/>
            <a:cs typeface="Arial" panose="020B0604020202020204"/>
          </a:endParaRPr>
        </a:p>
      </xdr:txBody>
    </xdr:sp>
    <xdr:clientData/>
  </xdr:twoCellAnchor>
  <xdr:twoCellAnchor>
    <xdr:from>
      <xdr:col>18</xdr:col>
      <xdr:colOff>143877</xdr:colOff>
      <xdr:row>20</xdr:row>
      <xdr:rowOff>142589</xdr:rowOff>
    </xdr:from>
    <xdr:to>
      <xdr:col>18</xdr:col>
      <xdr:colOff>687868</xdr:colOff>
      <xdr:row>21</xdr:row>
      <xdr:rowOff>181646</xdr:rowOff>
    </xdr:to>
    <xdr:sp textlink="'Variable Mgmt'!B241">
      <xdr:nvSpPr>
        <xdr:cNvPr id="44" name="Text Box 268"/>
        <xdr:cNvSpPr txBox="1">
          <a:spLocks noChangeArrowheads="1" noTextEdit="1"/>
        </xdr:cNvSpPr>
      </xdr:nvSpPr>
      <xdr:spPr>
        <a:xfrm>
          <a:off x="11869420" y="4543425"/>
          <a:ext cx="544195" cy="239395"/>
        </a:xfrm>
        <a:prstGeom prst="rect">
          <a:avLst/>
        </a:prstGeom>
        <a:noFill/>
        <a:ln w="9525">
          <a:noFill/>
          <a:miter lim="800000"/>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panose="020B0604020202020204"/>
              <a:cs typeface="Arial" panose="020B0604020202020204"/>
            </a:rPr>
          </a:fld>
          <a:endParaRPr lang="en-US" sz="800" b="0" i="0" u="none" strike="noStrike">
            <a:solidFill>
              <a:srgbClr val="000000"/>
            </a:solidFill>
            <a:latin typeface="Arial" panose="020B0604020202020204"/>
            <a:cs typeface="Arial" panose="020B0604020202020204"/>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34</xdr:row>
          <xdr:rowOff>0</xdr:rowOff>
        </xdr:from>
        <xdr:to>
          <xdr:col>5</xdr:col>
          <xdr:colOff>260350</xdr:colOff>
          <xdr:row>34</xdr:row>
          <xdr:rowOff>203200</xdr:rowOff>
        </xdr:to>
        <xdr:sp>
          <xdr:nvSpPr>
            <xdr:cNvPr id="673043" name="Drop Down 275" hidden="1">
              <a:extLst>
                <a:ext uri="{63B3BB69-23CF-44E3-9099-C40C66FF867C}">
                  <a14:compatExt spid="_x0000_s673043"/>
                </a:ext>
              </a:extLst>
            </xdr:cNvPr>
            <xdr:cNvSpPr/>
          </xdr:nvSpPr>
          <xdr:spPr>
            <a:xfrm>
              <a:off x="2799080" y="7228840"/>
              <a:ext cx="889000" cy="203200"/>
            </a:xfrm>
            <a:prstGeom prst="rect">
              <a:avLst/>
            </a:prstGeom>
          </xdr:spPr>
        </xdr:sp>
        <xdr:clientData/>
      </xdr:twoCellAnchor>
    </mc:Choice>
    <mc:Fallback/>
  </mc:AlternateContent>
  <xdr:twoCellAnchor>
    <xdr:from>
      <xdr:col>16</xdr:col>
      <xdr:colOff>81155</xdr:colOff>
      <xdr:row>10</xdr:row>
      <xdr:rowOff>17374</xdr:rowOff>
    </xdr:from>
    <xdr:to>
      <xdr:col>16</xdr:col>
      <xdr:colOff>483533</xdr:colOff>
      <xdr:row>11</xdr:row>
      <xdr:rowOff>47391</xdr:rowOff>
    </xdr:to>
    <xdr:sp textlink="'Variable Mgmt'!C244">
      <xdr:nvSpPr>
        <xdr:cNvPr id="48" name="Text Box 264"/>
        <xdr:cNvSpPr txBox="1">
          <a:spLocks noChangeArrowheads="1" noTextEdit="1"/>
        </xdr:cNvSpPr>
      </xdr:nvSpPr>
      <xdr:spPr>
        <a:xfrm>
          <a:off x="10384155" y="2408555"/>
          <a:ext cx="402590" cy="229870"/>
        </a:xfrm>
        <a:prstGeom prst="rect">
          <a:avLst/>
        </a:prstGeom>
        <a:noFill/>
        <a:ln w="9525">
          <a:noFill/>
          <a:miter lim="800000"/>
        </a:ln>
      </xdr:spPr>
      <xdr:txBody>
        <a:bodyPr vertOverflow="clip" wrap="square" lIns="27432" tIns="22860" rIns="0" bIns="0" anchor="ctr" upright="1"/>
        <a:lstStyle/>
        <a:p>
          <a:pPr algn="l" rtl="0">
            <a:defRPr sz="1000"/>
          </a:pPr>
          <a:fld id="{31380AD2-7EE8-49DF-ADF3-9022D781233D}" type="TxLink">
            <a:rPr lang="en-US" sz="1050" b="0" i="0" u="none" strike="noStrike" baseline="0">
              <a:solidFill>
                <a:srgbClr val="000000"/>
              </a:solidFill>
              <a:latin typeface="Arial" panose="020B0604020202020204"/>
              <a:cs typeface="Arial" panose="020B0604020202020204"/>
            </a:rPr>
          </a:fld>
          <a:endParaRPr lang="en-US" sz="1050" b="0" i="0" u="none" strike="noStrike" baseline="0">
            <a:solidFill>
              <a:srgbClr val="000000"/>
            </a:solidFill>
            <a:latin typeface="Arial" panose="020B0604020202020204"/>
            <a:cs typeface="Arial" panose="020B0604020202020204"/>
          </a:endParaRPr>
        </a:p>
      </xdr:txBody>
    </xdr:sp>
    <xdr:clientData/>
  </xdr:twoCellAnchor>
  <xdr:twoCellAnchor>
    <xdr:from>
      <xdr:col>15</xdr:col>
      <xdr:colOff>254048</xdr:colOff>
      <xdr:row>14</xdr:row>
      <xdr:rowOff>143439</xdr:rowOff>
    </xdr:from>
    <xdr:to>
      <xdr:col>16</xdr:col>
      <xdr:colOff>37505</xdr:colOff>
      <xdr:row>15</xdr:row>
      <xdr:rowOff>130295</xdr:rowOff>
    </xdr:to>
    <xdr:sp textlink="'Variable Mgmt'!D244">
      <xdr:nvSpPr>
        <xdr:cNvPr id="50" name="Text Box 264"/>
        <xdr:cNvSpPr txBox="1">
          <a:spLocks noChangeArrowheads="1" noTextEdit="1"/>
        </xdr:cNvSpPr>
      </xdr:nvSpPr>
      <xdr:spPr>
        <a:xfrm>
          <a:off x="9846310" y="3334385"/>
          <a:ext cx="494665" cy="187325"/>
        </a:xfrm>
        <a:prstGeom prst="rect">
          <a:avLst/>
        </a:prstGeom>
        <a:noFill/>
        <a:ln w="9525">
          <a:noFill/>
          <a:miter lim="800000"/>
        </a:ln>
      </xdr:spPr>
      <xdr:txBody>
        <a:bodyPr vertOverflow="clip" wrap="square" lIns="27432" tIns="22860" rIns="0" bIns="0" anchor="ctr" upright="1"/>
        <a:lstStyle/>
        <a:p>
          <a:pPr algn="l" rtl="0">
            <a:defRPr sz="1000"/>
          </a:pPr>
          <a:fld id="{873432C6-E14A-45C8-BEDA-C8EFF8641C5C}" type="TxLink">
            <a:rPr lang="en-US" sz="1050" b="0" i="0" u="none" strike="noStrike" baseline="0">
              <a:solidFill>
                <a:srgbClr val="000000"/>
              </a:solidFill>
              <a:latin typeface="Arial" panose="020B0604020202020204"/>
              <a:cs typeface="Arial" panose="020B0604020202020204"/>
            </a:rPr>
          </a:fld>
          <a:endParaRPr lang="en-US" sz="1050" b="0" i="0" u="none" strike="noStrike" baseline="0">
            <a:solidFill>
              <a:srgbClr val="000000"/>
            </a:solidFill>
            <a:latin typeface="Arial" panose="020B0604020202020204"/>
            <a:cs typeface="Arial" panose="020B0604020202020204"/>
          </a:endParaRPr>
        </a:p>
      </xdr:txBody>
    </xdr:sp>
    <xdr:clientData/>
  </xdr:twoCellAnchor>
  <xdr:twoCellAnchor>
    <xdr:from>
      <xdr:col>15</xdr:col>
      <xdr:colOff>142299</xdr:colOff>
      <xdr:row>19</xdr:row>
      <xdr:rowOff>181577</xdr:rowOff>
    </xdr:from>
    <xdr:to>
      <xdr:col>15</xdr:col>
      <xdr:colOff>622297</xdr:colOff>
      <xdr:row>21</xdr:row>
      <xdr:rowOff>123082</xdr:rowOff>
    </xdr:to>
    <xdr:sp textlink="'Variable Mgmt'!C254">
      <xdr:nvSpPr>
        <xdr:cNvPr id="49" name="Text Box 281"/>
        <xdr:cNvSpPr txBox="1">
          <a:spLocks noChangeArrowheads="1" noTextEdit="1"/>
        </xdr:cNvSpPr>
      </xdr:nvSpPr>
      <xdr:spPr>
        <a:xfrm>
          <a:off x="9734550" y="4382135"/>
          <a:ext cx="479425" cy="341630"/>
        </a:xfrm>
        <a:prstGeom prst="rect">
          <a:avLst/>
        </a:prstGeom>
        <a:noFill/>
        <a:ln w="9525">
          <a:noFill/>
          <a:miter lim="800000"/>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panose="020B0604020202020204"/>
              <a:cs typeface="Arial" panose="020B0604020202020204"/>
            </a:rPr>
          </a:fld>
          <a:endParaRPr lang="en-US" sz="1100" b="0" i="0" u="none" strike="noStrike">
            <a:solidFill>
              <a:srgbClr val="000000"/>
            </a:solidFill>
            <a:latin typeface="Arial" panose="020B0604020202020204"/>
            <a:cs typeface="Arial" panose="020B0604020202020204"/>
          </a:endParaRPr>
        </a:p>
      </xdr:txBody>
    </xdr:sp>
    <xdr:clientData/>
  </xdr:twoCellAnchor>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3"/>
        </xdr:cNvPr>
        <xdr:cNvPicPr>
          <a:picLocks noChangeAspect="1"/>
        </xdr:cNvPicPr>
      </xdr:nvPicPr>
      <xdr:blipFill>
        <a:blip r:embed="rId4">
          <a:extLst>
            <a:ext uri="{28A0092B-C50C-407E-A947-70E740481C1C}">
              <a14:useLocalDpi xmlns:a14="http://schemas.microsoft.com/office/drawing/2010/main" val="0"/>
            </a:ext>
          </a:extLst>
        </a:blip>
        <a:srcRect t="4896" b="8304"/>
        <a:stretch>
          <a:fillRect/>
        </a:stretch>
      </xdr:blipFill>
      <xdr:spPr>
        <a:xfrm>
          <a:off x="78105" y="32385"/>
          <a:ext cx="2373630" cy="539115"/>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5"/>
        </xdr:cNvPr>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14107160" y="123825"/>
          <a:ext cx="1317625" cy="98933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130483</xdr:rowOff>
    </xdr:to>
    <xdr:pic macro="[0]!OpenLM27403ProductFolder">
      <xdr:nvPicPr>
        <xdr:cNvPr id="54" name="Picture 53">
          <a:hlinkClick xmlns:r="http://schemas.openxmlformats.org/officeDocument/2006/relationships" r:id="rId7"/>
        </xdr:cNvPr>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a:xfrm>
          <a:off x="15504160" y="117475"/>
          <a:ext cx="1310005" cy="9956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11</xdr:row>
          <xdr:rowOff>0</xdr:rowOff>
        </xdr:from>
        <xdr:to>
          <xdr:col>12</xdr:col>
          <xdr:colOff>69850</xdr:colOff>
          <xdr:row>12</xdr:row>
          <xdr:rowOff>12700</xdr:rowOff>
        </xdr:to>
        <xdr:sp>
          <xdr:nvSpPr>
            <xdr:cNvPr id="697343" name="Drop Down 3071" hidden="1">
              <a:extLst>
                <a:ext uri="{63B3BB69-23CF-44E3-9099-C40C66FF867C}">
                  <a14:compatExt spid="_x0000_s697343"/>
                </a:ext>
              </a:extLst>
            </xdr:cNvPr>
            <xdr:cNvSpPr/>
          </xdr:nvSpPr>
          <xdr:spPr>
            <a:xfrm>
              <a:off x="7052310" y="2591435"/>
              <a:ext cx="717550" cy="212725"/>
            </a:xfrm>
            <a:prstGeom prst="rect">
              <a:avLst/>
            </a:prstGeom>
          </xdr:spPr>
        </xdr:sp>
        <xdr:clientData/>
      </xdr:twoCellAnchor>
    </mc:Choice>
    <mc:Fallback/>
  </mc:AlternateContent>
  <xdr:twoCellAnchor>
    <xdr:from>
      <xdr:col>18</xdr:col>
      <xdr:colOff>255337</xdr:colOff>
      <xdr:row>15</xdr:row>
      <xdr:rowOff>51681</xdr:rowOff>
    </xdr:from>
    <xdr:to>
      <xdr:col>18</xdr:col>
      <xdr:colOff>638538</xdr:colOff>
      <xdr:row>16</xdr:row>
      <xdr:rowOff>43409</xdr:rowOff>
    </xdr:to>
    <xdr:sp>
      <xdr:nvSpPr>
        <xdr:cNvPr id="57" name="Text Box 244"/>
        <xdr:cNvSpPr txBox="1">
          <a:spLocks noChangeArrowheads="1"/>
        </xdr:cNvSpPr>
      </xdr:nvSpPr>
      <xdr:spPr>
        <a:xfrm>
          <a:off x="11981180" y="3442970"/>
          <a:ext cx="382905" cy="201295"/>
        </a:xfrm>
        <a:prstGeom prst="rect">
          <a:avLst/>
        </a:prstGeom>
        <a:noFill/>
        <a:ln w="9525">
          <a:noFill/>
          <a:miter lim="800000"/>
        </a:ln>
      </xdr:spPr>
      <xdr:txBody>
        <a:bodyPr vertOverflow="clip" wrap="square" lIns="27432" tIns="27432" rIns="0" bIns="0" anchor="t" upright="1"/>
        <a:lstStyle/>
        <a:p>
          <a:pPr algn="l" rtl="0">
            <a:defRPr sz="1000"/>
          </a:pPr>
          <a:r>
            <a:rPr lang="en-US" sz="1100" b="0" i="0" strike="noStrike">
              <a:solidFill>
                <a:srgbClr val="000000"/>
              </a:solidFill>
              <a:latin typeface="Arial" panose="020B0604020202020204" pitchFamily="7" charset="0"/>
              <a:cs typeface="Arial" panose="020B0604020202020204" pitchFamily="7" charset="0"/>
            </a:rPr>
            <a:t>R</a:t>
          </a:r>
          <a:r>
            <a:rPr lang="en-US" sz="1100" b="0" i="0" strike="noStrike" baseline="-25000">
              <a:solidFill>
                <a:srgbClr val="000000"/>
              </a:solidFill>
              <a:latin typeface="Arial" panose="020B0604020202020204" pitchFamily="7" charset="0"/>
              <a:cs typeface="Arial" panose="020B0604020202020204" pitchFamily="7" charset="0"/>
            </a:rPr>
            <a:t>FB</a:t>
          </a:r>
          <a:endParaRPr lang="en-US" sz="1100" b="0" i="0" strike="noStrike" baseline="-25000">
            <a:solidFill>
              <a:srgbClr val="000000"/>
            </a:solidFill>
            <a:latin typeface="Arial" panose="020B0604020202020204" pitchFamily="7" charset="0"/>
            <a:cs typeface="Arial" panose="020B0604020202020204" pitchFamily="7" charset="0"/>
          </a:endParaRPr>
        </a:p>
      </xdr:txBody>
    </xdr:sp>
    <xdr:clientData/>
  </xdr:twoCellAnchor>
  <xdr:twoCellAnchor>
    <xdr:from>
      <xdr:col>19</xdr:col>
      <xdr:colOff>84163</xdr:colOff>
      <xdr:row>19</xdr:row>
      <xdr:rowOff>709</xdr:rowOff>
    </xdr:from>
    <xdr:to>
      <xdr:col>19</xdr:col>
      <xdr:colOff>480856</xdr:colOff>
      <xdr:row>20</xdr:row>
      <xdr:rowOff>34066</xdr:rowOff>
    </xdr:to>
    <xdr:sp>
      <xdr:nvSpPr>
        <xdr:cNvPr id="58" name="Text Box 244"/>
        <xdr:cNvSpPr txBox="1">
          <a:spLocks noChangeArrowheads="1"/>
        </xdr:cNvSpPr>
      </xdr:nvSpPr>
      <xdr:spPr>
        <a:xfrm>
          <a:off x="12508230" y="4201795"/>
          <a:ext cx="396875" cy="233045"/>
        </a:xfrm>
        <a:prstGeom prst="rect">
          <a:avLst/>
        </a:prstGeom>
        <a:noFill/>
        <a:ln w="9525">
          <a:noFill/>
          <a:miter lim="800000"/>
        </a:ln>
      </xdr:spPr>
      <xdr:txBody>
        <a:bodyPr vertOverflow="clip" wrap="square" lIns="27432" tIns="27432" rIns="0" bIns="0" anchor="t" upright="1"/>
        <a:lstStyle/>
        <a:p>
          <a:pPr algn="l" rtl="0">
            <a:defRPr sz="1000"/>
          </a:pPr>
          <a:r>
            <a:rPr lang="en-US" sz="1100" b="0" i="0" strike="noStrike">
              <a:solidFill>
                <a:srgbClr val="000000"/>
              </a:solidFill>
              <a:latin typeface="Arial" panose="020B0604020202020204" pitchFamily="7" charset="0"/>
              <a:cs typeface="Arial" panose="020B0604020202020204" pitchFamily="7" charset="0"/>
            </a:rPr>
            <a:t>R</a:t>
          </a:r>
          <a:r>
            <a:rPr lang="en-US" sz="1100" b="0" i="0" strike="noStrike" baseline="-25000">
              <a:solidFill>
                <a:srgbClr val="000000"/>
              </a:solidFill>
              <a:latin typeface="Arial" panose="020B0604020202020204" pitchFamily="7" charset="0"/>
              <a:cs typeface="Arial" panose="020B0604020202020204" pitchFamily="7" charset="0"/>
            </a:rPr>
            <a:t>SET</a:t>
          </a:r>
          <a:endParaRPr lang="en-US" sz="1100" b="0" i="0" strike="noStrike" baseline="-25000">
            <a:solidFill>
              <a:srgbClr val="000000"/>
            </a:solidFill>
            <a:latin typeface="Arial" panose="020B0604020202020204" pitchFamily="7" charset="0"/>
            <a:cs typeface="Arial" panose="020B0604020202020204" pitchFamily="7" charset="0"/>
          </a:endParaRPr>
        </a:p>
      </xdr:txBody>
    </xdr:sp>
    <xdr:clientData/>
  </xdr:twoCellAnchor>
  <xdr:twoCellAnchor>
    <xdr:from>
      <xdr:col>17</xdr:col>
      <xdr:colOff>574837</xdr:colOff>
      <xdr:row>9</xdr:row>
      <xdr:rowOff>94900</xdr:rowOff>
    </xdr:from>
    <xdr:to>
      <xdr:col>18</xdr:col>
      <xdr:colOff>363264</xdr:colOff>
      <xdr:row>10</xdr:row>
      <xdr:rowOff>155248</xdr:rowOff>
    </xdr:to>
    <xdr:sp>
      <xdr:nvSpPr>
        <xdr:cNvPr id="60" name="Text Box 235"/>
        <xdr:cNvSpPr txBox="1">
          <a:spLocks noChangeArrowheads="1"/>
        </xdr:cNvSpPr>
      </xdr:nvSpPr>
      <xdr:spPr>
        <a:xfrm>
          <a:off x="11589385" y="2286000"/>
          <a:ext cx="499745" cy="260350"/>
        </a:xfrm>
        <a:prstGeom prst="rect">
          <a:avLst/>
        </a:prstGeom>
        <a:noFill/>
        <a:ln w="9525">
          <a:noFill/>
          <a:miter lim="800000"/>
        </a:ln>
      </xdr:spPr>
      <xdr:txBody>
        <a:bodyPr vertOverflow="clip" wrap="square" lIns="27432" tIns="27432" rIns="0" bIns="0" anchor="ctr" upright="1"/>
        <a:lstStyle/>
        <a:p>
          <a:pPr algn="l" rtl="0">
            <a:defRPr sz="1000"/>
          </a:pPr>
          <a:r>
            <a:rPr lang="en-US" sz="1100" b="0" i="0" strike="noStrike">
              <a:solidFill>
                <a:srgbClr val="000000"/>
              </a:solidFill>
              <a:latin typeface="Arial" panose="020B0604020202020204" pitchFamily="7" charset="0"/>
              <a:cs typeface="Arial" panose="020B0604020202020204" pitchFamily="7" charset="0"/>
            </a:rPr>
            <a:t>D</a:t>
          </a:r>
          <a:r>
            <a:rPr lang="en-US" sz="1100" b="0" i="0" strike="noStrike" baseline="-25000">
              <a:solidFill>
                <a:srgbClr val="000000"/>
              </a:solidFill>
              <a:latin typeface="Arial" panose="020B0604020202020204" pitchFamily="7" charset="0"/>
              <a:cs typeface="Arial" panose="020B0604020202020204" pitchFamily="7" charset="0"/>
            </a:rPr>
            <a:t>CLAMP</a:t>
          </a:r>
          <a:endParaRPr lang="en-US" sz="1100" b="0" i="0" strike="noStrike" baseline="-25000">
            <a:solidFill>
              <a:srgbClr val="000000"/>
            </a:solidFill>
            <a:latin typeface="Arial" panose="020B0604020202020204" pitchFamily="7" charset="0"/>
            <a:cs typeface="Arial" panose="020B0604020202020204" pitchFamily="7" charset="0"/>
          </a:endParaRPr>
        </a:p>
      </xdr:txBody>
    </xdr:sp>
    <xdr:clientData/>
  </xdr:twoCellAnchor>
  <xdr:twoCellAnchor>
    <xdr:from>
      <xdr:col>18</xdr:col>
      <xdr:colOff>97292</xdr:colOff>
      <xdr:row>11</xdr:row>
      <xdr:rowOff>173452</xdr:rowOff>
    </xdr:from>
    <xdr:to>
      <xdr:col>18</xdr:col>
      <xdr:colOff>362964</xdr:colOff>
      <xdr:row>14</xdr:row>
      <xdr:rowOff>29855</xdr:rowOff>
    </xdr:to>
    <xdr:sp>
      <xdr:nvSpPr>
        <xdr:cNvPr id="61" name="Text Box 235"/>
        <xdr:cNvSpPr txBox="1">
          <a:spLocks noChangeArrowheads="1"/>
        </xdr:cNvSpPr>
      </xdr:nvSpPr>
      <xdr:spPr>
        <a:xfrm>
          <a:off x="11823065" y="2764790"/>
          <a:ext cx="265430" cy="456565"/>
        </a:xfrm>
        <a:prstGeom prst="rect">
          <a:avLst/>
        </a:prstGeom>
        <a:noFill/>
        <a:ln w="9525">
          <a:noFill/>
          <a:miter lim="800000"/>
        </a:ln>
      </xdr:spPr>
      <xdr:txBody>
        <a:bodyPr vertOverflow="clip" wrap="square" lIns="27432" tIns="27432" rIns="0" bIns="0" anchor="ctr" upright="1"/>
        <a:lstStyle/>
        <a:p>
          <a:pPr algn="l" rtl="0">
            <a:defRPr sz="1000"/>
          </a:pPr>
          <a:r>
            <a:rPr lang="en-US" sz="1100" b="0" i="0" strike="noStrike">
              <a:solidFill>
                <a:srgbClr val="000000"/>
              </a:solidFill>
              <a:latin typeface="Arial" panose="020B0604020202020204" pitchFamily="7" charset="0"/>
              <a:cs typeface="Arial" panose="020B0604020202020204" pitchFamily="7" charset="0"/>
            </a:rPr>
            <a:t>D</a:t>
          </a:r>
          <a:r>
            <a:rPr lang="en-US" sz="1100" b="0" i="0" strike="noStrike" baseline="-25000">
              <a:solidFill>
                <a:srgbClr val="000000"/>
              </a:solidFill>
              <a:latin typeface="Arial" panose="020B0604020202020204" pitchFamily="7" charset="0"/>
              <a:cs typeface="Arial" panose="020B0604020202020204" pitchFamily="7" charset="0"/>
            </a:rPr>
            <a:t>F</a:t>
          </a:r>
          <a:endParaRPr lang="en-US" sz="1100" b="0" i="0" strike="noStrike" baseline="-25000">
            <a:solidFill>
              <a:srgbClr val="000000"/>
            </a:solidFill>
            <a:latin typeface="Arial" panose="020B0604020202020204" pitchFamily="7" charset="0"/>
            <a:cs typeface="Arial" panose="020B0604020202020204" pitchFamily="7"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31</xdr:row>
          <xdr:rowOff>12700</xdr:rowOff>
        </xdr:from>
        <xdr:to>
          <xdr:col>5</xdr:col>
          <xdr:colOff>266700</xdr:colOff>
          <xdr:row>32</xdr:row>
          <xdr:rowOff>12700</xdr:rowOff>
        </xdr:to>
        <xdr:sp>
          <xdr:nvSpPr>
            <xdr:cNvPr id="714798" name="Drop Down 3118" hidden="1">
              <a:extLst>
                <a:ext uri="{63B3BB69-23CF-44E3-9099-C40C66FF867C}">
                  <a14:compatExt spid="_x0000_s714798"/>
                </a:ext>
              </a:extLst>
            </xdr:cNvPr>
            <xdr:cNvSpPr/>
          </xdr:nvSpPr>
          <xdr:spPr>
            <a:xfrm>
              <a:off x="2786380" y="6641465"/>
              <a:ext cx="908050" cy="200025"/>
            </a:xfrm>
            <a:prstGeom prst="rect">
              <a:avLst/>
            </a:prstGeom>
          </xdr:spPr>
        </xdr:sp>
        <xdr:clientData/>
      </xdr:twoCellAnchor>
    </mc:Choice>
    <mc:Fallback/>
  </mc:AlternateContent>
  <xdr:twoCellAnchor>
    <xdr:from>
      <xdr:col>18</xdr:col>
      <xdr:colOff>286651</xdr:colOff>
      <xdr:row>7</xdr:row>
      <xdr:rowOff>46711</xdr:rowOff>
    </xdr:from>
    <xdr:to>
      <xdr:col>20</xdr:col>
      <xdr:colOff>3517</xdr:colOff>
      <xdr:row>8</xdr:row>
      <xdr:rowOff>85952</xdr:rowOff>
    </xdr:to>
    <xdr:sp textlink="'Variable Mgmt'!B209">
      <xdr:nvSpPr>
        <xdr:cNvPr id="62" name="Text Box 265"/>
        <xdr:cNvSpPr txBox="1">
          <a:spLocks noChangeArrowheads="1" noTextEdit="1"/>
        </xdr:cNvSpPr>
      </xdr:nvSpPr>
      <xdr:spPr>
        <a:xfrm>
          <a:off x="12012295" y="1837690"/>
          <a:ext cx="1056640" cy="239395"/>
        </a:xfrm>
        <a:prstGeom prst="rect">
          <a:avLst/>
        </a:prstGeom>
        <a:noFill/>
        <a:ln w="9525">
          <a:noFill/>
          <a:miter lim="800000"/>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panose="020B0604020202020204"/>
              <a:cs typeface="Arial" panose="020B0604020202020204"/>
            </a:rPr>
          </a:fld>
          <a:endParaRPr lang="en-US" sz="800" b="0" i="0" u="none" strike="noStrike" baseline="0">
            <a:solidFill>
              <a:srgbClr val="000000"/>
            </a:solidFill>
            <a:latin typeface="Arial" panose="020B0604020202020204"/>
            <a:cs typeface="Arial" panose="020B0604020202020204"/>
          </a:endParaRPr>
        </a:p>
      </xdr:txBody>
    </xdr:sp>
    <xdr:clientData/>
  </xdr:twoCellAnchor>
  <xdr:twoCellAnchor>
    <xdr:from>
      <xdr:col>25</xdr:col>
      <xdr:colOff>571500</xdr:colOff>
      <xdr:row>28</xdr:row>
      <xdr:rowOff>113959</xdr:rowOff>
    </xdr:from>
    <xdr:to>
      <xdr:col>25</xdr:col>
      <xdr:colOff>1049263</xdr:colOff>
      <xdr:row>30</xdr:row>
      <xdr:rowOff>12359</xdr:rowOff>
    </xdr:to>
    <xdr:sp textlink="'Variable Mgmt'!$B$262">
      <xdr:nvSpPr>
        <xdr:cNvPr id="56" name="Text Box 24"/>
        <xdr:cNvSpPr txBox="1">
          <a:spLocks noChangeArrowheads="1" noTextEdit="1"/>
        </xdr:cNvSpPr>
      </xdr:nvSpPr>
      <xdr:spPr>
        <a:xfrm>
          <a:off x="16844010" y="6143625"/>
          <a:ext cx="477520" cy="287655"/>
        </a:xfrm>
        <a:prstGeom prst="rect">
          <a:avLst/>
        </a:prstGeom>
        <a:noFill/>
        <a:ln w="9525">
          <a:noFill/>
          <a:miter lim="800000"/>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panose="020B0604020202020204"/>
              <a:cs typeface="Arial" panose="020B0604020202020204"/>
            </a:rPr>
          </a:fld>
          <a:endParaRPr lang="en-US" sz="1000" b="0" i="0" u="none" strike="noStrike" baseline="0">
            <a:solidFill>
              <a:srgbClr val="000000"/>
            </a:solidFill>
            <a:latin typeface="Arial" panose="020B0604020202020204"/>
            <a:cs typeface="Arial" panose="020B0604020202020204"/>
          </a:endParaRPr>
        </a:p>
      </xdr:txBody>
    </xdr:sp>
    <xdr:clientData/>
  </xdr:twoCellAnchor>
  <xdr:twoCellAnchor>
    <xdr:from>
      <xdr:col>23</xdr:col>
      <xdr:colOff>209063</xdr:colOff>
      <xdr:row>12</xdr:row>
      <xdr:rowOff>173377</xdr:rowOff>
    </xdr:from>
    <xdr:to>
      <xdr:col>24</xdr:col>
      <xdr:colOff>264496</xdr:colOff>
      <xdr:row>14</xdr:row>
      <xdr:rowOff>97354</xdr:rowOff>
    </xdr:to>
    <xdr:sp textlink="'Variable Mgmt'!B217">
      <xdr:nvSpPr>
        <xdr:cNvPr id="42" name="Text Box 285"/>
        <xdr:cNvSpPr txBox="1">
          <a:spLocks noChangeArrowheads="1" noTextEdit="1"/>
        </xdr:cNvSpPr>
      </xdr:nvSpPr>
      <xdr:spPr>
        <a:xfrm>
          <a:off x="15198725" y="2964815"/>
          <a:ext cx="696595" cy="323850"/>
        </a:xfrm>
        <a:prstGeom prst="rect">
          <a:avLst/>
        </a:prstGeom>
        <a:noFill/>
        <a:ln w="9525">
          <a:noFill/>
          <a:miter lim="800000"/>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panose="020B0604020202020204"/>
              <a:cs typeface="Arial" panose="020B0604020202020204"/>
            </a:rPr>
          </a:fld>
          <a:endParaRPr lang="en-US" sz="1350" b="1" i="0" u="none" strike="noStrike" baseline="0">
            <a:solidFill>
              <a:srgbClr val="FF0000"/>
            </a:solidFill>
            <a:latin typeface="Arial" panose="020B0604020202020204"/>
            <a:cs typeface="Arial" panose="020B0604020202020204"/>
          </a:endParaRPr>
        </a:p>
      </xdr:txBody>
    </xdr:sp>
    <xdr:clientData/>
  </xdr:twoCellAnchor>
  <xdr:twoCellAnchor>
    <xdr:from>
      <xdr:col>23</xdr:col>
      <xdr:colOff>73152</xdr:colOff>
      <xdr:row>13</xdr:row>
      <xdr:rowOff>190612</xdr:rowOff>
    </xdr:from>
    <xdr:to>
      <xdr:col>23</xdr:col>
      <xdr:colOff>639803</xdr:colOff>
      <xdr:row>15</xdr:row>
      <xdr:rowOff>52827</xdr:rowOff>
    </xdr:to>
    <xdr:sp textlink="'Variable Mgmt'!B272">
      <xdr:nvSpPr>
        <xdr:cNvPr id="46" name="Text Box 286"/>
        <xdr:cNvSpPr txBox="1">
          <a:spLocks noChangeArrowheads="1" noTextEdit="1"/>
        </xdr:cNvSpPr>
      </xdr:nvSpPr>
      <xdr:spPr>
        <a:xfrm>
          <a:off x="15062835" y="3181985"/>
          <a:ext cx="566420" cy="262255"/>
        </a:xfrm>
        <a:prstGeom prst="rect">
          <a:avLst/>
        </a:prstGeom>
        <a:noFill/>
        <a:ln w="9525">
          <a:noFill/>
          <a:miter lim="800000"/>
        </a:ln>
      </xdr:spPr>
      <xdr:txBody>
        <a:bodyPr vertOverflow="clip" wrap="square" lIns="27432" tIns="22860" rIns="0" bIns="0" anchor="ctr" upright="1"/>
        <a:lstStyle/>
        <a:p>
          <a:pPr algn="ctr" rtl="0">
            <a:defRPr sz="1000"/>
          </a:pPr>
          <a:fld id="{F430775D-5566-4B2B-9D86-4FABD1E02F13}" type="TxLink">
            <a:rPr lang="en-US" sz="1050" b="1" i="0" u="none" strike="noStrike">
              <a:solidFill>
                <a:srgbClr val="FF0000"/>
              </a:solidFill>
              <a:latin typeface="Arial" panose="020B0604020202020204"/>
              <a:cs typeface="Arial" panose="020B0604020202020204"/>
            </a:rPr>
          </a:fld>
          <a:endParaRPr lang="en-US" sz="1050" b="1" i="0" u="none" strike="noStrike">
            <a:solidFill>
              <a:srgbClr val="FF0000"/>
            </a:solidFill>
            <a:latin typeface="Arial" panose="020B0604020202020204"/>
            <a:cs typeface="Arial" panose="020B0604020202020204"/>
          </a:endParaRPr>
        </a:p>
      </xdr:txBody>
    </xdr:sp>
    <xdr:clientData/>
  </xdr:twoCellAnchor>
  <xdr:twoCellAnchor>
    <xdr:from>
      <xdr:col>23</xdr:col>
      <xdr:colOff>168935</xdr:colOff>
      <xdr:row>16</xdr:row>
      <xdr:rowOff>85406</xdr:rowOff>
    </xdr:from>
    <xdr:to>
      <xdr:col>24</xdr:col>
      <xdr:colOff>218017</xdr:colOff>
      <xdr:row>18</xdr:row>
      <xdr:rowOff>27349</xdr:rowOff>
    </xdr:to>
    <xdr:sp textlink="'Variable Mgmt'!B218">
      <xdr:nvSpPr>
        <xdr:cNvPr id="47" name="Text Box 285"/>
        <xdr:cNvSpPr txBox="1">
          <a:spLocks noChangeArrowheads="1" noTextEdit="1"/>
        </xdr:cNvSpPr>
      </xdr:nvSpPr>
      <xdr:spPr>
        <a:xfrm>
          <a:off x="15158720" y="3686175"/>
          <a:ext cx="690245" cy="342265"/>
        </a:xfrm>
        <a:prstGeom prst="rect">
          <a:avLst/>
        </a:prstGeom>
        <a:noFill/>
        <a:ln w="9525">
          <a:noFill/>
          <a:miter lim="800000"/>
        </a:ln>
      </xdr:spPr>
      <xdr:txBody>
        <a:bodyPr vertOverflow="clip" wrap="square" lIns="27432" tIns="22860" rIns="0" bIns="0" anchor="ctr" upright="1"/>
        <a:lstStyle/>
        <a:p>
          <a:pPr algn="l" rtl="0">
            <a:defRPr sz="1000"/>
          </a:pPr>
          <a:fld id="{6CC6AC32-C574-4CE6-AE26-39476DAD0777}" type="TxLink">
            <a:rPr lang="en-US" sz="1400" b="1" i="0" u="none" strike="noStrike" baseline="0">
              <a:solidFill>
                <a:srgbClr val="FF0000"/>
              </a:solidFill>
              <a:latin typeface="Arial" panose="020B0604020202020204"/>
              <a:cs typeface="Arial" panose="020B0604020202020204"/>
            </a:rPr>
          </a:fld>
          <a:endParaRPr lang="en-US" sz="1400" b="1" i="0" u="none" strike="noStrike" baseline="0">
            <a:solidFill>
              <a:srgbClr val="FF0000"/>
            </a:solidFill>
            <a:latin typeface="Arial" panose="020B0604020202020204"/>
            <a:cs typeface="Arial" panose="020B0604020202020204"/>
          </a:endParaRPr>
        </a:p>
      </xdr:txBody>
    </xdr:sp>
    <xdr:clientData/>
  </xdr:twoCellAnchor>
  <xdr:twoCellAnchor>
    <xdr:from>
      <xdr:col>22</xdr:col>
      <xdr:colOff>608886</xdr:colOff>
      <xdr:row>17</xdr:row>
      <xdr:rowOff>114257</xdr:rowOff>
    </xdr:from>
    <xdr:to>
      <xdr:col>24</xdr:col>
      <xdr:colOff>75357</xdr:colOff>
      <xdr:row>19</xdr:row>
      <xdr:rowOff>16128</xdr:rowOff>
    </xdr:to>
    <xdr:sp textlink="'Variable Mgmt'!B273">
      <xdr:nvSpPr>
        <xdr:cNvPr id="51" name="Text Box 286"/>
        <xdr:cNvSpPr txBox="1">
          <a:spLocks noChangeArrowheads="1" noTextEdit="1"/>
        </xdr:cNvSpPr>
      </xdr:nvSpPr>
      <xdr:spPr>
        <a:xfrm>
          <a:off x="14956790" y="3914775"/>
          <a:ext cx="749300" cy="302260"/>
        </a:xfrm>
        <a:prstGeom prst="rect">
          <a:avLst/>
        </a:prstGeom>
        <a:noFill/>
        <a:ln w="9525">
          <a:noFill/>
          <a:miter lim="800000"/>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panose="020B0604020202020204"/>
              <a:cs typeface="Arial" panose="020B0604020202020204"/>
            </a:rPr>
          </a:fld>
          <a:endParaRPr lang="en-US" sz="1000" b="1" i="0" u="none" strike="noStrike">
            <a:solidFill>
              <a:srgbClr val="FF0000"/>
            </a:solidFill>
            <a:latin typeface="Arial" panose="020B0604020202020204"/>
            <a:cs typeface="Arial" panose="020B0604020202020204"/>
          </a:endParaRPr>
        </a:p>
      </xdr:txBody>
    </xdr:sp>
    <xdr:clientData/>
  </xdr:twoCellAnchor>
  <xdr:twoCellAnchor>
    <xdr:from>
      <xdr:col>21</xdr:col>
      <xdr:colOff>333361</xdr:colOff>
      <xdr:row>15</xdr:row>
      <xdr:rowOff>74265</xdr:rowOff>
    </xdr:from>
    <xdr:to>
      <xdr:col>22</xdr:col>
      <xdr:colOff>218789</xdr:colOff>
      <xdr:row>16</xdr:row>
      <xdr:rowOff>2497</xdr:rowOff>
    </xdr:to>
    <xdr:sp textlink="'Variable Mgmt'!D221">
      <xdr:nvSpPr>
        <xdr:cNvPr id="55" name="Text Box 267"/>
        <xdr:cNvSpPr txBox="1">
          <a:spLocks noChangeArrowheads="1" noTextEdit="1"/>
        </xdr:cNvSpPr>
      </xdr:nvSpPr>
      <xdr:spPr>
        <a:xfrm>
          <a:off x="14039850" y="3465195"/>
          <a:ext cx="527050" cy="137795"/>
        </a:xfrm>
        <a:prstGeom prst="rect">
          <a:avLst/>
        </a:prstGeom>
        <a:noFill/>
        <a:ln w="9525">
          <a:noFill/>
          <a:miter lim="800000"/>
        </a:ln>
      </xdr:spPr>
      <xdr:txBody>
        <a:bodyPr vertOverflow="clip" wrap="square" lIns="27432" tIns="22860" rIns="0" bIns="0" anchor="ctr" upright="1"/>
        <a:lstStyle/>
        <a:p>
          <a:pPr algn="l" rtl="0">
            <a:defRPr sz="1000"/>
          </a:pPr>
          <a:fld id="{2B13305E-FBF9-43A5-B29E-67B7B248F534}" type="TxLink">
            <a:rPr lang="en-US" sz="800" b="0" i="0" u="none" strike="noStrike" baseline="0">
              <a:solidFill>
                <a:srgbClr val="000000"/>
              </a:solidFill>
              <a:latin typeface="Arial" panose="020B0604020202020204"/>
              <a:cs typeface="Arial" panose="020B0604020202020204"/>
            </a:rPr>
          </a:fld>
          <a:endParaRPr lang="en-US" sz="800" b="0" i="0" u="none" strike="noStrike" baseline="0">
            <a:solidFill>
              <a:srgbClr val="000000"/>
            </a:solidFill>
            <a:latin typeface="Arial" panose="020B0604020202020204"/>
            <a:cs typeface="Arial" panose="020B0604020202020204"/>
          </a:endParaRPr>
        </a:p>
      </xdr:txBody>
    </xdr:sp>
    <xdr:clientData/>
  </xdr:twoCellAnchor>
  <xdr:twoCellAnchor>
    <xdr:from>
      <xdr:col>21</xdr:col>
      <xdr:colOff>314755</xdr:colOff>
      <xdr:row>17</xdr:row>
      <xdr:rowOff>180746</xdr:rowOff>
    </xdr:from>
    <xdr:to>
      <xdr:col>22</xdr:col>
      <xdr:colOff>198234</xdr:colOff>
      <xdr:row>18</xdr:row>
      <xdr:rowOff>163887</xdr:rowOff>
    </xdr:to>
    <xdr:sp textlink="'Variable Mgmt'!C221">
      <xdr:nvSpPr>
        <xdr:cNvPr id="67" name="Text Box 267"/>
        <xdr:cNvSpPr txBox="1">
          <a:spLocks noChangeArrowheads="1" noTextEdit="1"/>
        </xdr:cNvSpPr>
      </xdr:nvSpPr>
      <xdr:spPr>
        <a:xfrm>
          <a:off x="14021435" y="3981450"/>
          <a:ext cx="525145" cy="183515"/>
        </a:xfrm>
        <a:prstGeom prst="rect">
          <a:avLst/>
        </a:prstGeom>
        <a:noFill/>
        <a:ln w="9525">
          <a:noFill/>
          <a:miter lim="800000"/>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panose="020B0604020202020204"/>
              <a:cs typeface="Arial" panose="020B0604020202020204"/>
            </a:rPr>
          </a:fld>
          <a:endParaRPr lang="en-US" sz="800" b="0" i="0" u="none" strike="noStrike" baseline="0">
            <a:solidFill>
              <a:srgbClr val="000000"/>
            </a:solidFill>
            <a:latin typeface="Arial" panose="020B0604020202020204"/>
            <a:cs typeface="Arial" panose="020B0604020202020204"/>
          </a:endParaRPr>
        </a:p>
      </xdr:txBody>
    </xdr:sp>
    <xdr:clientData/>
  </xdr:twoCellAnchor>
  <xdr:twoCellAnchor>
    <xdr:from>
      <xdr:col>18</xdr:col>
      <xdr:colOff>501419</xdr:colOff>
      <xdr:row>7</xdr:row>
      <xdr:rowOff>191064</xdr:rowOff>
    </xdr:from>
    <xdr:to>
      <xdr:col>19</xdr:col>
      <xdr:colOff>153148</xdr:colOff>
      <xdr:row>9</xdr:row>
      <xdr:rowOff>38222</xdr:rowOff>
    </xdr:to>
    <xdr:sp>
      <xdr:nvSpPr>
        <xdr:cNvPr id="52" name="Text Box 244"/>
        <xdr:cNvSpPr txBox="1">
          <a:spLocks noChangeArrowheads="1"/>
        </xdr:cNvSpPr>
      </xdr:nvSpPr>
      <xdr:spPr>
        <a:xfrm>
          <a:off x="12226925" y="1981835"/>
          <a:ext cx="350520" cy="247650"/>
        </a:xfrm>
        <a:prstGeom prst="rect">
          <a:avLst/>
        </a:prstGeom>
        <a:noFill/>
        <a:ln w="9525">
          <a:noFill/>
          <a:miter lim="800000"/>
        </a:ln>
      </xdr:spPr>
      <xdr:txBody>
        <a:bodyPr vertOverflow="clip" wrap="square" lIns="27432" tIns="27432" rIns="0" bIns="0" anchor="t" upright="1"/>
        <a:lstStyle/>
        <a:p>
          <a:pPr algn="ctr" rtl="0">
            <a:defRPr sz="1000"/>
          </a:pPr>
          <a:r>
            <a:rPr lang="en-US" sz="1100" b="0" i="0" strike="noStrike">
              <a:solidFill>
                <a:srgbClr val="000000"/>
              </a:solidFill>
              <a:latin typeface="Arial" panose="020B0604020202020204" pitchFamily="7" charset="0"/>
              <a:cs typeface="Arial" panose="020B0604020202020204" pitchFamily="7" charset="0"/>
            </a:rPr>
            <a:t>T</a:t>
          </a:r>
          <a:r>
            <a:rPr lang="en-US" sz="1100" b="0" i="0" strike="noStrike" baseline="-25000">
              <a:solidFill>
                <a:srgbClr val="000000"/>
              </a:solidFill>
              <a:latin typeface="Arial" panose="020B0604020202020204" pitchFamily="7" charset="0"/>
              <a:cs typeface="Arial" panose="020B0604020202020204" pitchFamily="7" charset="0"/>
            </a:rPr>
            <a:t>1</a:t>
          </a:r>
          <a:endParaRPr lang="en-US" sz="1100" b="0" i="0" strike="noStrike" baseline="-25000">
            <a:solidFill>
              <a:srgbClr val="000000"/>
            </a:solidFill>
            <a:latin typeface="Arial" panose="020B0604020202020204" pitchFamily="7" charset="0"/>
            <a:cs typeface="Arial" panose="020B0604020202020204" pitchFamily="7"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xdr:nvSpPr>
            <xdr:cNvPr id="715085" name="Drop Down 3405" hidden="1">
              <a:extLst>
                <a:ext uri="{63B3BB69-23CF-44E3-9099-C40C66FF867C}">
                  <a14:compatExt spid="_x0000_s715085"/>
                </a:ext>
              </a:extLst>
            </xdr:cNvPr>
            <xdr:cNvSpPr/>
          </xdr:nvSpPr>
          <xdr:spPr>
            <a:xfrm>
              <a:off x="2786380" y="1981835"/>
              <a:ext cx="717550" cy="200025"/>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179481</xdr:colOff>
          <xdr:row>25</xdr:row>
          <xdr:rowOff>240179</xdr:rowOff>
        </xdr:from>
        <xdr:to>
          <xdr:col>17</xdr:col>
          <xdr:colOff>216064</xdr:colOff>
          <xdr:row>46</xdr:row>
          <xdr:rowOff>103655</xdr:rowOff>
        </xdr:to>
        <xdr:pic>
          <xdr:nvPicPr>
            <xdr:cNvPr id="65" name="Picture 8888"/>
            <xdr:cNvPicPr>
              <a:picLocks noChangeAspect="1" noChangeArrowheads="1"/>
              <a:extLst>
                <a:ext uri="{84589F7E-364E-4C9E-8A38-B11213B215E9}">
                  <a14:cameraTool cellRange="PICTURE2" spid="_x0000_s776603"/>
                </a:ext>
              </a:extLst>
            </xdr:cNvPicPr>
          </xdr:nvPicPr>
          <xdr:blipFill>
            <a:blip r:embed="rId9"/>
            <a:srcRect/>
            <a:stretch>
              <a:fillRect/>
            </a:stretch>
          </xdr:blipFill>
          <xdr:spPr>
            <a:xfrm>
              <a:off x="4216400" y="5622290"/>
              <a:ext cx="7014210" cy="4138930"/>
            </a:xfrm>
            <a:prstGeom prst="rect">
              <a:avLst/>
            </a:prstGeom>
            <a:noFill/>
            <a:ln w="15875">
              <a:noFill/>
              <a:miter lim="800000"/>
              <a:headEnd/>
              <a:tailEnd/>
            </a:ln>
            <a:extLst>
              <a:ext uri="{909E8E84-426E-40DD-AFC4-6F175D3DCCD1}">
                <a14:hiddenFill xmlns:a14="http://schemas.microsoft.com/office/drawing/2010/main">
                  <a:solidFill>
                    <a:srgbClr xmlns:mc="http://schemas.openxmlformats.org/markup-compatibility/2006" xmlns:a14="http://schemas.microsoft.com/office/drawing/2010/main"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4</xdr:row>
          <xdr:rowOff>12700</xdr:rowOff>
        </xdr:from>
        <xdr:to>
          <xdr:col>5</xdr:col>
          <xdr:colOff>400050</xdr:colOff>
          <xdr:row>4</xdr:row>
          <xdr:rowOff>241300</xdr:rowOff>
        </xdr:to>
        <xdr:sp>
          <xdr:nvSpPr>
            <xdr:cNvPr id="750660" name="Drop Down 5188" hidden="1">
              <a:extLst>
                <a:ext uri="{63B3BB69-23CF-44E3-9099-C40C66FF867C}">
                  <a14:compatExt spid="_x0000_s750660"/>
                </a:ext>
              </a:extLst>
            </xdr:cNvPr>
            <xdr:cNvSpPr/>
          </xdr:nvSpPr>
          <xdr:spPr>
            <a:xfrm>
              <a:off x="2818130" y="1175385"/>
              <a:ext cx="1009650" cy="228600"/>
            </a:xfrm>
            <a:prstGeom prst="rect">
              <a:avLst/>
            </a:prstGeom>
          </xdr:spPr>
        </xdr:sp>
        <xdr:clientData fLocksWithSheet="0"/>
      </xdr:twoCellAnchor>
    </mc:Choice>
    <mc:Fallback/>
  </mc:AlternateContent>
  <xdr:twoCellAnchor>
    <xdr:from>
      <xdr:col>16</xdr:col>
      <xdr:colOff>173154</xdr:colOff>
      <xdr:row>22</xdr:row>
      <xdr:rowOff>16361</xdr:rowOff>
    </xdr:from>
    <xdr:to>
      <xdr:col>17</xdr:col>
      <xdr:colOff>426831</xdr:colOff>
      <xdr:row>23</xdr:row>
      <xdr:rowOff>154091</xdr:rowOff>
    </xdr:to>
    <xdr:sp textlink="'Variable Mgmt'!$P$15">
      <xdr:nvSpPr>
        <xdr:cNvPr id="63" name="Text Box 24"/>
        <xdr:cNvSpPr txBox="1">
          <a:spLocks noChangeArrowheads="1" noTextEdit="1"/>
        </xdr:cNvSpPr>
      </xdr:nvSpPr>
      <xdr:spPr>
        <a:xfrm>
          <a:off x="10476230" y="4817110"/>
          <a:ext cx="965200" cy="347345"/>
        </a:xfrm>
        <a:prstGeom prst="rect">
          <a:avLst/>
        </a:prstGeom>
        <a:solidFill>
          <a:srgbClr val="D1FFFF"/>
        </a:solidFill>
        <a:ln w="9525">
          <a:noFill/>
          <a:miter lim="800000"/>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panose="020B0604020202020204"/>
              <a:cs typeface="Arial" panose="020B0604020202020204"/>
            </a:rPr>
          </a:fld>
          <a:endParaRPr lang="en-US" sz="1200" b="1" i="0" u="none" strike="noStrike" baseline="0">
            <a:solidFill>
              <a:srgbClr val="FF0000"/>
            </a:solidFill>
            <a:latin typeface="Arial" panose="020B0604020202020204"/>
            <a:cs typeface="Arial" panose="020B0604020202020204"/>
          </a:endParaRPr>
        </a:p>
      </xdr:txBody>
    </xdr:sp>
    <xdr:clientData/>
  </xdr:twoCellAnchor>
  <xdr:twoCellAnchor>
    <xdr:from>
      <xdr:col>17</xdr:col>
      <xdr:colOff>617264</xdr:colOff>
      <xdr:row>10</xdr:row>
      <xdr:rowOff>114738</xdr:rowOff>
    </xdr:from>
    <xdr:to>
      <xdr:col>18</xdr:col>
      <xdr:colOff>454443</xdr:colOff>
      <xdr:row>11</xdr:row>
      <xdr:rowOff>152300</xdr:rowOff>
    </xdr:to>
    <xdr:sp textlink="'BOM &amp; Schematic'!C38">
      <xdr:nvSpPr>
        <xdr:cNvPr id="64" name="Text Box 268"/>
        <xdr:cNvSpPr txBox="1">
          <a:spLocks noChangeArrowheads="1" noTextEdit="1"/>
        </xdr:cNvSpPr>
      </xdr:nvSpPr>
      <xdr:spPr>
        <a:xfrm>
          <a:off x="11631930" y="2505710"/>
          <a:ext cx="548005" cy="237490"/>
        </a:xfrm>
        <a:prstGeom prst="rect">
          <a:avLst/>
        </a:prstGeom>
        <a:noFill/>
        <a:ln w="9525">
          <a:noFill/>
          <a:miter lim="800000"/>
        </a:ln>
      </xdr:spPr>
      <xdr:txBody>
        <a:bodyPr vertOverflow="clip" wrap="square" lIns="27432" tIns="22860" rIns="0" bIns="0" anchor="ctr" upright="1"/>
        <a:lstStyle/>
        <a:p>
          <a:pPr algn="l" rtl="0">
            <a:defRPr sz="1000"/>
          </a:pPr>
          <a:fld id="{E4C9747B-67D5-4EBE-B017-70669C20092A}" type="TxLink">
            <a:rPr lang="en-US" sz="900" b="0" i="0" u="none" strike="noStrike">
              <a:solidFill>
                <a:srgbClr val="000000"/>
              </a:solidFill>
              <a:latin typeface="Arial" panose="020B0604020202020204"/>
              <a:cs typeface="Arial" panose="020B0604020202020204"/>
            </a:rPr>
          </a:fld>
          <a:endParaRPr lang="en-US" sz="900" b="0" i="0" u="none" strike="noStrike">
            <a:solidFill>
              <a:srgbClr val="000000"/>
            </a:solidFill>
            <a:latin typeface="Arial" panose="020B0604020202020204"/>
            <a:cs typeface="Arial" panose="020B0604020202020204"/>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0.16877</cdr:x>
      <cdr:y>0.12917</cdr:y>
    </cdr:from>
    <cdr:to>
      <cdr:x>0.23482</cdr:x>
      <cdr:y>0.16636</cdr:y>
    </cdr:to>
    <cdr:sp textlink="'Variable Mgmt'!$B$264">
      <cdr:nvSpPr>
        <cdr:cNvPr id="2" name="矩形 1"/>
        <cdr:cNvSpPr/>
      </cdr:nvSpPr>
      <cdr:spPr xmlns:a="http://schemas.openxmlformats.org/drawingml/2006/main">
        <a:xfrm xmlns:a="http://schemas.openxmlformats.org/drawingml/2006/main">
          <a:off x="1403360" y="665601"/>
          <a:ext cx="549265" cy="191650"/>
        </a:xfrm>
        <a:prstGeom xmlns:a="http://schemas.openxmlformats.org/drawingml/2006/main" prst="rect">
          <a:avLst/>
        </a:prstGeom>
        <a:noFill/>
        <a:ln w="9525">
          <a:noFill/>
          <a:miter lim="800000"/>
        </a:ln>
      </cdr:spPr>
      <cdr:txBody xmlns:a="http://schemas.openxmlformats.org/drawingml/2006/main">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FB7B9190-533F-41A0-B9F6-41424F4E3D27}" type="TxLink">
            <a:rPr lang="en-US" sz="1100" b="0" i="0" u="none" strike="noStrike" baseline="0">
              <a:solidFill>
                <a:srgbClr val="000000"/>
              </a:solidFill>
              <a:latin typeface="Arial" panose="020B0604020202020204"/>
              <a:cs typeface="Arial" panose="020B0604020202020204"/>
            </a:rPr>
          </a:fld>
          <a:endParaRPr lang="en-US" sz="1100" b="0" i="0" u="none" strike="noStrike" baseline="0">
            <a:solidFill>
              <a:srgbClr val="000000"/>
            </a:solidFill>
            <a:latin typeface="Arial" panose="020B0604020202020204"/>
            <a:cs typeface="Arial" panose="020B0604020202020204"/>
          </a:endParaRPr>
        </a:p>
      </cdr:txBody>
    </cdr:sp>
  </cdr:relSizeAnchor>
</c:userShapes>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3</xdr:col>
      <xdr:colOff>38100</xdr:colOff>
      <xdr:row>6</xdr:row>
      <xdr:rowOff>819150</xdr:rowOff>
    </xdr:from>
    <xdr:to>
      <xdr:col>3</xdr:col>
      <xdr:colOff>561974</xdr:colOff>
      <xdr:row>6</xdr:row>
      <xdr:rowOff>1019175</xdr:rowOff>
    </xdr:to>
    <xdr:sp textlink="'Variable Mgmt'!$B$262">
      <xdr:nvSpPr>
        <xdr:cNvPr id="5" name="Text Box 24"/>
        <xdr:cNvSpPr txBox="1">
          <a:spLocks noChangeArrowheads="1" noTextEdit="1"/>
        </xdr:cNvSpPr>
      </xdr:nvSpPr>
      <xdr:spPr>
        <a:xfrm>
          <a:off x="10128250" y="6932930"/>
          <a:ext cx="523240" cy="200025"/>
        </a:xfrm>
        <a:prstGeom prst="rect">
          <a:avLst/>
        </a:prstGeom>
        <a:solidFill>
          <a:schemeClr val="bg1"/>
        </a:solidFill>
        <a:ln w="9525">
          <a:noFill/>
          <a:miter lim="800000"/>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panose="020B0604020202020204"/>
              <a:cs typeface="Arial" panose="020B0604020202020204"/>
            </a:rPr>
          </a:fld>
          <a:endParaRPr lang="en-US" sz="1100" b="0" i="0" u="none" strike="noStrike" baseline="0">
            <a:solidFill>
              <a:srgbClr val="000000"/>
            </a:solidFill>
            <a:latin typeface="Arial" panose="020B0604020202020204"/>
            <a:cs typeface="Arial" panose="020B0604020202020204"/>
          </a:endParaRPr>
        </a:p>
      </xdr:txBody>
    </xdr:sp>
    <xdr:clientData/>
  </xdr:twoCellAnchor>
  <xdr:twoCellAnchor>
    <xdr:from>
      <xdr:col>3</xdr:col>
      <xdr:colOff>19050</xdr:colOff>
      <xdr:row>4</xdr:row>
      <xdr:rowOff>704850</xdr:rowOff>
    </xdr:from>
    <xdr:to>
      <xdr:col>3</xdr:col>
      <xdr:colOff>542924</xdr:colOff>
      <xdr:row>4</xdr:row>
      <xdr:rowOff>904875</xdr:rowOff>
    </xdr:to>
    <xdr:sp textlink="'Variable Mgmt'!$B$262">
      <xdr:nvSpPr>
        <xdr:cNvPr id="6" name="Text Box 24"/>
        <xdr:cNvSpPr txBox="1">
          <a:spLocks noChangeArrowheads="1" noTextEdit="1"/>
        </xdr:cNvSpPr>
      </xdr:nvSpPr>
      <xdr:spPr>
        <a:xfrm>
          <a:off x="10109200" y="1400175"/>
          <a:ext cx="523240" cy="200025"/>
        </a:xfrm>
        <a:prstGeom prst="rect">
          <a:avLst/>
        </a:prstGeom>
        <a:noFill/>
        <a:ln w="9525">
          <a:noFill/>
          <a:miter lim="800000"/>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panose="020B0604020202020204"/>
              <a:cs typeface="Arial" panose="020B0604020202020204"/>
            </a:rPr>
          </a:fld>
          <a:endParaRPr lang="en-US" sz="1100" b="0" i="0" u="none" strike="noStrike" baseline="0">
            <a:solidFill>
              <a:srgbClr val="000000"/>
            </a:solidFill>
            <a:latin typeface="Arial" panose="020B0604020202020204"/>
            <a:cs typeface="Arial" panose="020B0604020202020204"/>
          </a:endParaRPr>
        </a:p>
      </xdr:txBody>
    </xdr:sp>
    <xdr:clientData/>
  </xdr:twoCellAnchor>
  <xdr:twoCellAnchor>
    <xdr:from>
      <xdr:col>1</xdr:col>
      <xdr:colOff>1</xdr:colOff>
      <xdr:row>4</xdr:row>
      <xdr:rowOff>0</xdr:rowOff>
    </xdr:from>
    <xdr:to>
      <xdr:col>1</xdr:col>
      <xdr:colOff>8275321</xdr:colOff>
      <xdr:row>4</xdr:row>
      <xdr:rowOff>5029200</xdr:rowOff>
    </xdr:to>
    <xdr:graphicFrame>
      <xdr:nvGraphicFramePr>
        <xdr:cNvPr id="8" name="Chart 253"/>
        <xdr:cNvGraphicFramePr/>
      </xdr:nvGraphicFramePr>
      <xdr:xfrm>
        <a:off x="628650" y="695325"/>
        <a:ext cx="8275320" cy="50292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xdr:nvGraphicFramePr>
        <xdr:cNvPr id="7" name="Chart 253"/>
        <xdr:cNvGraphicFramePr/>
      </xdr:nvGraphicFramePr>
      <xdr:xfrm>
        <a:off x="628650" y="6113780"/>
        <a:ext cx="8275320" cy="502920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xdr:cNvPicPr>
              <a:picLocks noChangeAspect="1" noChangeArrowheads="1"/>
              <a:extLst>
                <a:ext uri="{84589F7E-364E-4C9E-8A38-B11213B215E9}">
                  <a14:cameraTool cellRange="PICTURE3" spid="_x0000_s729090"/>
                </a:ext>
              </a:extLst>
            </xdr:cNvPicPr>
          </xdr:nvPicPr>
          <xdr:blipFill>
            <a:blip r:embed="rId3"/>
            <a:srcRect/>
            <a:stretch>
              <a:fillRect/>
            </a:stretch>
          </xdr:blipFill>
          <xdr:spPr>
            <a:xfrm>
              <a:off x="11347450" y="695325"/>
              <a:ext cx="6932930" cy="4137660"/>
            </a:xfrm>
            <a:prstGeom prst="rect">
              <a:avLst/>
            </a:prstGeom>
            <a:noFill/>
            <a:ln w="15875">
              <a:noFill/>
              <a:miter lim="800000"/>
              <a:headEnd/>
              <a:tailEnd/>
            </a:ln>
            <a:extLst>
              <a:ext uri="{909E8E84-426E-40DD-AFC4-6F175D3DCCD1}">
                <a14:hiddenFill xmlns:a14="http://schemas.microsoft.com/office/drawing/2010/main">
                  <a:solidFill>
                    <a:srgbClr xmlns:mc="http://schemas.openxmlformats.org/markup-compatibility/2006" xmlns:a14="http://schemas.microsoft.com/office/drawing/2010/main"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xdr:cNvPicPr>
              <a:picLocks noChangeAspect="1" noChangeArrowheads="1"/>
              <a:extLst>
                <a:ext uri="{84589F7E-364E-4C9E-8A38-B11213B215E9}">
                  <a14:cameraTool cellRange="PICTURE2" spid="_x0000_s733186"/>
                </a:ext>
              </a:extLst>
            </xdr:cNvPicPr>
          </xdr:nvPicPr>
          <xdr:blipFill>
            <a:blip r:embed="rId3"/>
            <a:srcRect/>
            <a:stretch>
              <a:fillRect/>
            </a:stretch>
          </xdr:blipFill>
          <xdr:spPr>
            <a:xfrm>
              <a:off x="11347450" y="695325"/>
              <a:ext cx="8677275" cy="5200650"/>
            </a:xfrm>
            <a:prstGeom prst="rect">
              <a:avLst/>
            </a:prstGeom>
            <a:noFill/>
            <a:ln w="15875">
              <a:noFill/>
              <a:miter lim="800000"/>
              <a:headEnd/>
              <a:tailEnd/>
            </a:ln>
            <a:extLst>
              <a:ext uri="{909E8E84-426E-40DD-AFC4-6F175D3DCCD1}">
                <a14:hiddenFill xmlns:a14="http://schemas.microsoft.com/office/drawing/2010/main">
                  <a:solidFill>
                    <a:srgbClr xmlns:mc="http://schemas.openxmlformats.org/markup-compatibility/2006" xmlns:a14="http://schemas.microsoft.com/office/drawing/2010/main"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xdr:nvGraphicFramePr>
        <xdr:cNvPr id="7" name="Chart 253"/>
        <xdr:cNvGraphicFramePr>
          <a:graphicFrameLocks noChangeAspect="1"/>
        </xdr:cNvGraphicFramePr>
      </xdr:nvGraphicFramePr>
      <xdr:xfrm>
        <a:off x="628650" y="695325"/>
        <a:ext cx="8275320" cy="50292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xdr:nvGraphicFramePr>
        <xdr:cNvPr id="8" name="Chart 253"/>
        <xdr:cNvGraphicFramePr>
          <a:graphicFrameLocks noChangeAspect="1"/>
        </xdr:cNvGraphicFramePr>
      </xdr:nvGraphicFramePr>
      <xdr:xfrm>
        <a:off x="628650" y="6132195"/>
        <a:ext cx="8277225" cy="502920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xdr:from>
      <xdr:col>15</xdr:col>
      <xdr:colOff>752475</xdr:colOff>
      <xdr:row>30</xdr:row>
      <xdr:rowOff>85725</xdr:rowOff>
    </xdr:from>
    <xdr:to>
      <xdr:col>15</xdr:col>
      <xdr:colOff>1200150</xdr:colOff>
      <xdr:row>31</xdr:row>
      <xdr:rowOff>133350</xdr:rowOff>
    </xdr:to>
    <xdr:sp>
      <xdr:nvSpPr>
        <xdr:cNvPr id="3" name="Text Box 2"/>
        <xdr:cNvSpPr txBox="1">
          <a:spLocks noChangeArrowheads="1"/>
        </xdr:cNvSpPr>
      </xdr:nvSpPr>
      <xdr:spPr>
        <a:xfrm>
          <a:off x="34594800" y="56377205"/>
          <a:ext cx="0" cy="4210050"/>
        </a:xfrm>
        <a:prstGeom prst="rect">
          <a:avLst/>
        </a:prstGeom>
        <a:noFill/>
        <a:ln w="9525">
          <a:noFill/>
          <a:miter lim="800000"/>
        </a:ln>
      </xdr:spPr>
      <xdr:txBody>
        <a:bodyPr vertOverflow="clip" wrap="square" lIns="27432" tIns="22860" rIns="0" bIns="0" anchor="t" upright="1"/>
        <a:lstStyle/>
        <a:p>
          <a:pPr algn="l" rtl="0">
            <a:defRPr sz="1000"/>
          </a:pPr>
          <a:r>
            <a:rPr lang="en-US" sz="1000" b="1" i="0" strike="noStrike">
              <a:solidFill>
                <a:srgbClr val="0000FF"/>
              </a:solidFill>
              <a:latin typeface="Arial" panose="020B0604020202020204"/>
              <a:cs typeface="Arial" panose="020B0604020202020204"/>
            </a:rPr>
            <a:t>V</a:t>
          </a:r>
          <a:r>
            <a:rPr lang="en-US" sz="1000" b="1" i="0" strike="noStrike" baseline="-25000">
              <a:solidFill>
                <a:srgbClr val="0000FF"/>
              </a:solidFill>
              <a:latin typeface="Arial" panose="020B0604020202020204"/>
              <a:cs typeface="Arial" panose="020B0604020202020204"/>
            </a:rPr>
            <a:t>OUT</a:t>
          </a:r>
          <a:endParaRPr lang="en-US" sz="1000" b="1" i="0" strike="noStrike" baseline="-25000">
            <a:solidFill>
              <a:srgbClr val="0000FF"/>
            </a:solidFill>
            <a:latin typeface="Arial" panose="020B0604020202020204"/>
            <a:cs typeface="Arial" panose="020B0604020202020204"/>
          </a:endParaRPr>
        </a:p>
      </xdr:txBody>
    </xdr:sp>
    <xdr:clientData/>
  </xdr:twoCellAnchor>
  <xdr:twoCellAnchor>
    <xdr:from>
      <xdr:col>15</xdr:col>
      <xdr:colOff>752475</xdr:colOff>
      <xdr:row>31</xdr:row>
      <xdr:rowOff>104775</xdr:rowOff>
    </xdr:from>
    <xdr:to>
      <xdr:col>15</xdr:col>
      <xdr:colOff>1181100</xdr:colOff>
      <xdr:row>32</xdr:row>
      <xdr:rowOff>152400</xdr:rowOff>
    </xdr:to>
    <xdr:sp>
      <xdr:nvSpPr>
        <xdr:cNvPr id="4" name="Text Box 3"/>
        <xdr:cNvSpPr txBox="1">
          <a:spLocks noChangeArrowheads="1" noTextEdit="1"/>
        </xdr:cNvSpPr>
      </xdr:nvSpPr>
      <xdr:spPr>
        <a:xfrm>
          <a:off x="34594800" y="60558680"/>
          <a:ext cx="0" cy="219075"/>
        </a:xfrm>
        <a:prstGeom prst="rect">
          <a:avLst/>
        </a:prstGeom>
        <a:noFill/>
        <a:ln w="9525">
          <a:noFill/>
          <a:miter lim="800000"/>
        </a:ln>
      </xdr:spPr>
      <xdr:txBody>
        <a:bodyPr vertOverflow="clip" wrap="square" lIns="27432" tIns="22860" rIns="0" bIns="0" anchor="t" upright="1"/>
        <a:lstStyle/>
        <a:p>
          <a:pPr algn="l" rtl="0">
            <a:defRPr sz="1000"/>
          </a:pPr>
          <a:endParaRPr lang="en-US" sz="1000" b="1" i="0" u="none" strike="noStrike">
            <a:solidFill>
              <a:srgbClr val="0000FF"/>
            </a:solidFill>
            <a:latin typeface="Arial" panose="020B0604020202020204"/>
            <a:cs typeface="Arial" panose="020B0604020202020204"/>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xdr:cNvGrpSpPr/>
      </xdr:nvGrpSpPr>
      <xdr:grpSpPr>
        <a:xfrm>
          <a:off x="34594800" y="65102105"/>
          <a:ext cx="0" cy="4342130"/>
          <a:chOff x="953" y="747"/>
          <a:chExt cx="76" cy="41"/>
        </a:xfrm>
      </xdr:grpSpPr>
      <xdr:sp>
        <xdr:nvSpPr>
          <xdr:cNvPr id="6" name="Text Box 26"/>
          <xdr:cNvSpPr txBox="1">
            <a:spLocks noChangeArrowheads="1"/>
          </xdr:cNvSpPr>
        </xdr:nvSpPr>
        <xdr:spPr>
          <a:xfrm>
            <a:off x="16906875" y="-6462072205698"/>
            <a:ext cx="0" cy="21"/>
          </a:xfrm>
          <a:prstGeom prst="rect">
            <a:avLst/>
          </a:prstGeom>
          <a:noFill/>
          <a:ln w="9525">
            <a:noFill/>
            <a:miter lim="800000"/>
          </a:ln>
        </xdr:spPr>
        <xdr:txBody>
          <a:bodyPr vertOverflow="clip" wrap="square" lIns="27432" tIns="22860" rIns="0" bIns="0" anchor="t" upright="1"/>
          <a:lstStyle/>
          <a:p>
            <a:pPr algn="l" rtl="0">
              <a:defRPr sz="1000"/>
            </a:pPr>
            <a:r>
              <a:rPr lang="en-US" sz="1000" b="1" i="0" strike="noStrike">
                <a:solidFill>
                  <a:srgbClr val="0000FF"/>
                </a:solidFill>
                <a:latin typeface="Arial" panose="020B0604020202020204"/>
                <a:cs typeface="Arial" panose="020B0604020202020204"/>
              </a:rPr>
              <a:t>C</a:t>
            </a:r>
            <a:r>
              <a:rPr lang="en-US" sz="1000" b="1" i="0" strike="noStrike" baseline="-25000">
                <a:solidFill>
                  <a:srgbClr val="0000FF"/>
                </a:solidFill>
                <a:latin typeface="Arial" panose="020B0604020202020204"/>
                <a:cs typeface="Arial" panose="020B0604020202020204"/>
              </a:rPr>
              <a:t>OUT</a:t>
            </a:r>
            <a:endParaRPr lang="en-US" sz="1000" b="1" i="0" strike="noStrike" baseline="-25000">
              <a:solidFill>
                <a:srgbClr val="0000FF"/>
              </a:solidFill>
              <a:latin typeface="Arial" panose="020B0604020202020204"/>
              <a:cs typeface="Arial" panose="020B0604020202020204"/>
            </a:endParaRPr>
          </a:p>
        </xdr:txBody>
      </xdr:sp>
      <xdr:sp>
        <xdr:nvSpPr>
          <xdr:cNvPr id="7" name="Text Box 27"/>
          <xdr:cNvSpPr txBox="1">
            <a:spLocks noChangeArrowheads="1" noTextEdit="1"/>
          </xdr:cNvSpPr>
        </xdr:nvSpPr>
        <xdr:spPr>
          <a:xfrm>
            <a:off x="16906875" y="-11225863852848"/>
            <a:ext cx="0" cy="21"/>
          </a:xfrm>
          <a:prstGeom prst="rect">
            <a:avLst/>
          </a:prstGeom>
          <a:noFill/>
          <a:ln w="9525">
            <a:noFill/>
            <a:miter lim="800000"/>
          </a:ln>
        </xdr:spPr>
        <xdr:txBody>
          <a:bodyPr vertOverflow="clip" wrap="square" lIns="27432" tIns="22860" rIns="0" bIns="0" anchor="t" upright="1"/>
          <a:lstStyle/>
          <a:p>
            <a:pPr algn="l" rtl="0">
              <a:defRPr sz="1000"/>
            </a:pPr>
            <a:endParaRPr lang="en-US" sz="1000" b="1" i="0" u="none" strike="noStrike">
              <a:solidFill>
                <a:srgbClr val="0000FF"/>
              </a:solidFill>
              <a:latin typeface="Arial" panose="020B0604020202020204"/>
              <a:cs typeface="Arial" panose="020B0604020202020204"/>
            </a:endParaRPr>
          </a:p>
        </xdr:txBody>
      </xdr:sp>
    </xdr:grpSp>
    <xdr:clientData/>
  </xdr:twoCellAnchor>
  <xdr:twoCellAnchor editAs="oneCell">
    <xdr:from>
      <xdr:col>4</xdr:col>
      <xdr:colOff>272419</xdr:colOff>
      <xdr:row>6</xdr:row>
      <xdr:rowOff>172336</xdr:rowOff>
    </xdr:from>
    <xdr:to>
      <xdr:col>4</xdr:col>
      <xdr:colOff>7931778</xdr:colOff>
      <xdr:row>6</xdr:row>
      <xdr:rowOff>4308390</xdr:rowOff>
    </xdr:to>
    <xdr:pic>
      <xdr:nvPicPr>
        <xdr:cNvPr id="82" name="Picture 81"/>
        <xdr:cNvPicPr>
          <a:picLocks noChangeAspect="1" noChangeArrowheads="1"/>
        </xdr:cNvPicPr>
      </xdr:nvPicPr>
      <xdr:blipFill>
        <a:blip r:embed="rId1"/>
        <a:stretch>
          <a:fillRect/>
        </a:stretch>
      </xdr:blipFill>
      <xdr:spPr>
        <a:xfrm>
          <a:off x="11156315" y="1188085"/>
          <a:ext cx="7658735" cy="413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6</xdr:row>
      <xdr:rowOff>174455</xdr:rowOff>
    </xdr:from>
    <xdr:to>
      <xdr:col>7</xdr:col>
      <xdr:colOff>7946440</xdr:colOff>
      <xdr:row>6</xdr:row>
      <xdr:rowOff>4306271</xdr:rowOff>
    </xdr:to>
    <xdr:pic>
      <xdr:nvPicPr>
        <xdr:cNvPr id="84" name="Picture 83"/>
        <xdr:cNvPicPr>
          <a:picLocks noChangeAspect="1" noChangeArrowheads="1"/>
        </xdr:cNvPicPr>
      </xdr:nvPicPr>
      <xdr:blipFill>
        <a:blip r:embed="rId2"/>
        <a:stretch>
          <a:fillRect/>
        </a:stretch>
      </xdr:blipFill>
      <xdr:spPr>
        <a:xfrm>
          <a:off x="21135975" y="1189990"/>
          <a:ext cx="7663815" cy="4131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8</xdr:row>
      <xdr:rowOff>172336</xdr:rowOff>
    </xdr:from>
    <xdr:to>
      <xdr:col>1</xdr:col>
      <xdr:colOff>7927481</xdr:colOff>
      <xdr:row>8</xdr:row>
      <xdr:rowOff>4308390</xdr:rowOff>
    </xdr:to>
    <xdr:pic>
      <xdr:nvPicPr>
        <xdr:cNvPr id="51" name="Picture 50"/>
        <xdr:cNvPicPr>
          <a:picLocks noChangeAspect="1" noChangeArrowheads="1"/>
        </xdr:cNvPicPr>
      </xdr:nvPicPr>
      <xdr:blipFill>
        <a:blip r:embed="rId3"/>
        <a:stretch>
          <a:fillRect/>
        </a:stretch>
      </xdr:blipFill>
      <xdr:spPr>
        <a:xfrm>
          <a:off x="1149350" y="5941060"/>
          <a:ext cx="7666990" cy="413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260841</xdr:colOff>
      <xdr:row>10</xdr:row>
      <xdr:rowOff>172336</xdr:rowOff>
    </xdr:from>
    <xdr:to>
      <xdr:col>1</xdr:col>
      <xdr:colOff>7927481</xdr:colOff>
      <xdr:row>10</xdr:row>
      <xdr:rowOff>4308390</xdr:rowOff>
    </xdr:to>
    <xdr:pic>
      <xdr:nvPicPr>
        <xdr:cNvPr id="52" name="Picture 51"/>
        <xdr:cNvPicPr>
          <a:picLocks noChangeAspect="1" noChangeArrowheads="1"/>
        </xdr:cNvPicPr>
      </xdr:nvPicPr>
      <xdr:blipFill>
        <a:blip r:embed="rId4"/>
        <a:stretch>
          <a:fillRect/>
        </a:stretch>
      </xdr:blipFill>
      <xdr:spPr>
        <a:xfrm>
          <a:off x="1149350" y="10633710"/>
          <a:ext cx="7666990" cy="413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12</xdr:row>
      <xdr:rowOff>172336</xdr:rowOff>
    </xdr:from>
    <xdr:to>
      <xdr:col>1</xdr:col>
      <xdr:colOff>7925440</xdr:colOff>
      <xdr:row>12</xdr:row>
      <xdr:rowOff>4308390</xdr:rowOff>
    </xdr:to>
    <xdr:pic>
      <xdr:nvPicPr>
        <xdr:cNvPr id="53" name="Picture 52"/>
        <xdr:cNvPicPr>
          <a:picLocks noChangeAspect="1" noChangeArrowheads="1"/>
        </xdr:cNvPicPr>
      </xdr:nvPicPr>
      <xdr:blipFill>
        <a:blip r:embed="rId5"/>
        <a:stretch>
          <a:fillRect/>
        </a:stretch>
      </xdr:blipFill>
      <xdr:spPr>
        <a:xfrm>
          <a:off x="1147445" y="15326360"/>
          <a:ext cx="7666990" cy="413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14</xdr:row>
      <xdr:rowOff>172335</xdr:rowOff>
    </xdr:from>
    <xdr:to>
      <xdr:col>1</xdr:col>
      <xdr:colOff>7925440</xdr:colOff>
      <xdr:row>14</xdr:row>
      <xdr:rowOff>4308389</xdr:rowOff>
    </xdr:to>
    <xdr:pic>
      <xdr:nvPicPr>
        <xdr:cNvPr id="73" name="Picture 72"/>
        <xdr:cNvPicPr>
          <a:picLocks noChangeAspect="1" noChangeArrowheads="1"/>
        </xdr:cNvPicPr>
      </xdr:nvPicPr>
      <xdr:blipFill>
        <a:blip r:embed="rId6"/>
        <a:stretch>
          <a:fillRect/>
        </a:stretch>
      </xdr:blipFill>
      <xdr:spPr>
        <a:xfrm>
          <a:off x="1147445" y="20019010"/>
          <a:ext cx="7666990" cy="413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6</xdr:row>
      <xdr:rowOff>172336</xdr:rowOff>
    </xdr:from>
    <xdr:to>
      <xdr:col>1</xdr:col>
      <xdr:colOff>7925440</xdr:colOff>
      <xdr:row>6</xdr:row>
      <xdr:rowOff>4308390</xdr:rowOff>
    </xdr:to>
    <xdr:pic>
      <xdr:nvPicPr>
        <xdr:cNvPr id="76" name="Picture 75"/>
        <xdr:cNvPicPr>
          <a:picLocks noChangeAspect="1" noChangeArrowheads="1"/>
        </xdr:cNvPicPr>
      </xdr:nvPicPr>
      <xdr:blipFill>
        <a:blip r:embed="rId7"/>
        <a:stretch>
          <a:fillRect/>
        </a:stretch>
      </xdr:blipFill>
      <xdr:spPr>
        <a:xfrm>
          <a:off x="1147445" y="1188085"/>
          <a:ext cx="7666990" cy="413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16</xdr:row>
      <xdr:rowOff>172336</xdr:rowOff>
    </xdr:from>
    <xdr:to>
      <xdr:col>1</xdr:col>
      <xdr:colOff>7925440</xdr:colOff>
      <xdr:row>16</xdr:row>
      <xdr:rowOff>4308390</xdr:rowOff>
    </xdr:to>
    <xdr:pic>
      <xdr:nvPicPr>
        <xdr:cNvPr id="77" name="Picture 76"/>
        <xdr:cNvPicPr>
          <a:picLocks noChangeAspect="1" noChangeArrowheads="1"/>
        </xdr:cNvPicPr>
      </xdr:nvPicPr>
      <xdr:blipFill>
        <a:blip r:embed="rId8"/>
        <a:stretch>
          <a:fillRect/>
        </a:stretch>
      </xdr:blipFill>
      <xdr:spPr>
        <a:xfrm>
          <a:off x="1147445" y="24711660"/>
          <a:ext cx="7666990" cy="413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18</xdr:row>
      <xdr:rowOff>172336</xdr:rowOff>
    </xdr:from>
    <xdr:to>
      <xdr:col>1</xdr:col>
      <xdr:colOff>7925440</xdr:colOff>
      <xdr:row>18</xdr:row>
      <xdr:rowOff>4308390</xdr:rowOff>
    </xdr:to>
    <xdr:pic>
      <xdr:nvPicPr>
        <xdr:cNvPr id="85" name="Picture 84"/>
        <xdr:cNvPicPr>
          <a:picLocks noChangeAspect="1" noChangeArrowheads="1"/>
        </xdr:cNvPicPr>
      </xdr:nvPicPr>
      <xdr:blipFill>
        <a:blip r:embed="rId9"/>
        <a:stretch>
          <a:fillRect/>
        </a:stretch>
      </xdr:blipFill>
      <xdr:spPr>
        <a:xfrm>
          <a:off x="1147445" y="29397960"/>
          <a:ext cx="7666990" cy="413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258800</xdr:colOff>
      <xdr:row>20</xdr:row>
      <xdr:rowOff>172336</xdr:rowOff>
    </xdr:from>
    <xdr:to>
      <xdr:col>1</xdr:col>
      <xdr:colOff>7925440</xdr:colOff>
      <xdr:row>20</xdr:row>
      <xdr:rowOff>4308390</xdr:rowOff>
    </xdr:to>
    <xdr:pic>
      <xdr:nvPicPr>
        <xdr:cNvPr id="86" name="Picture 85"/>
        <xdr:cNvPicPr>
          <a:picLocks noChangeAspect="1" noChangeArrowheads="1"/>
        </xdr:cNvPicPr>
      </xdr:nvPicPr>
      <xdr:blipFill>
        <a:blip r:embed="rId10"/>
        <a:stretch>
          <a:fillRect/>
        </a:stretch>
      </xdr:blipFill>
      <xdr:spPr>
        <a:xfrm>
          <a:off x="1147445" y="34103310"/>
          <a:ext cx="7666990" cy="413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8</xdr:row>
      <xdr:rowOff>172336</xdr:rowOff>
    </xdr:from>
    <xdr:to>
      <xdr:col>4</xdr:col>
      <xdr:colOff>7933138</xdr:colOff>
      <xdr:row>8</xdr:row>
      <xdr:rowOff>4308390</xdr:rowOff>
    </xdr:to>
    <xdr:pic>
      <xdr:nvPicPr>
        <xdr:cNvPr id="17" name="Picture 16"/>
        <xdr:cNvPicPr>
          <a:picLocks noChangeAspect="1" noChangeArrowheads="1"/>
        </xdr:cNvPicPr>
      </xdr:nvPicPr>
      <xdr:blipFill>
        <a:blip r:embed="rId11"/>
        <a:stretch>
          <a:fillRect/>
        </a:stretch>
      </xdr:blipFill>
      <xdr:spPr>
        <a:xfrm>
          <a:off x="11157585" y="5941060"/>
          <a:ext cx="7659370" cy="413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10</xdr:row>
      <xdr:rowOff>172336</xdr:rowOff>
    </xdr:from>
    <xdr:to>
      <xdr:col>4</xdr:col>
      <xdr:colOff>7933138</xdr:colOff>
      <xdr:row>10</xdr:row>
      <xdr:rowOff>4308390</xdr:rowOff>
    </xdr:to>
    <xdr:pic>
      <xdr:nvPicPr>
        <xdr:cNvPr id="19" name="Picture 18"/>
        <xdr:cNvPicPr>
          <a:picLocks noChangeAspect="1" noChangeArrowheads="1"/>
        </xdr:cNvPicPr>
      </xdr:nvPicPr>
      <xdr:blipFill>
        <a:blip r:embed="rId12"/>
        <a:stretch>
          <a:fillRect/>
        </a:stretch>
      </xdr:blipFill>
      <xdr:spPr>
        <a:xfrm>
          <a:off x="11157585" y="10633710"/>
          <a:ext cx="7659370" cy="413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12</xdr:row>
      <xdr:rowOff>172336</xdr:rowOff>
    </xdr:from>
    <xdr:to>
      <xdr:col>4</xdr:col>
      <xdr:colOff>7933138</xdr:colOff>
      <xdr:row>12</xdr:row>
      <xdr:rowOff>4308390</xdr:rowOff>
    </xdr:to>
    <xdr:pic>
      <xdr:nvPicPr>
        <xdr:cNvPr id="20" name="Picture 19"/>
        <xdr:cNvPicPr>
          <a:picLocks noChangeAspect="1" noChangeArrowheads="1"/>
        </xdr:cNvPicPr>
      </xdr:nvPicPr>
      <xdr:blipFill>
        <a:blip r:embed="rId13"/>
        <a:stretch>
          <a:fillRect/>
        </a:stretch>
      </xdr:blipFill>
      <xdr:spPr>
        <a:xfrm>
          <a:off x="11157585" y="15326360"/>
          <a:ext cx="7659370" cy="413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14</xdr:row>
      <xdr:rowOff>172336</xdr:rowOff>
    </xdr:from>
    <xdr:to>
      <xdr:col>4</xdr:col>
      <xdr:colOff>7933138</xdr:colOff>
      <xdr:row>14</xdr:row>
      <xdr:rowOff>4308390</xdr:rowOff>
    </xdr:to>
    <xdr:pic>
      <xdr:nvPicPr>
        <xdr:cNvPr id="21" name="Picture 20"/>
        <xdr:cNvPicPr>
          <a:picLocks noChangeAspect="1" noChangeArrowheads="1"/>
        </xdr:cNvPicPr>
      </xdr:nvPicPr>
      <xdr:blipFill>
        <a:blip r:embed="rId14"/>
        <a:stretch>
          <a:fillRect/>
        </a:stretch>
      </xdr:blipFill>
      <xdr:spPr>
        <a:xfrm>
          <a:off x="11157585" y="20019010"/>
          <a:ext cx="7659370" cy="413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16</xdr:row>
      <xdr:rowOff>172336</xdr:rowOff>
    </xdr:from>
    <xdr:to>
      <xdr:col>4</xdr:col>
      <xdr:colOff>7933138</xdr:colOff>
      <xdr:row>16</xdr:row>
      <xdr:rowOff>4308390</xdr:rowOff>
    </xdr:to>
    <xdr:pic>
      <xdr:nvPicPr>
        <xdr:cNvPr id="22" name="Picture 21"/>
        <xdr:cNvPicPr>
          <a:picLocks noChangeAspect="1" noChangeArrowheads="1"/>
        </xdr:cNvPicPr>
      </xdr:nvPicPr>
      <xdr:blipFill>
        <a:blip r:embed="rId15"/>
        <a:stretch>
          <a:fillRect/>
        </a:stretch>
      </xdr:blipFill>
      <xdr:spPr>
        <a:xfrm>
          <a:off x="11157585" y="24711660"/>
          <a:ext cx="7659370" cy="413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18</xdr:row>
      <xdr:rowOff>172336</xdr:rowOff>
    </xdr:from>
    <xdr:to>
      <xdr:col>4</xdr:col>
      <xdr:colOff>7933138</xdr:colOff>
      <xdr:row>18</xdr:row>
      <xdr:rowOff>4308390</xdr:rowOff>
    </xdr:to>
    <xdr:pic>
      <xdr:nvPicPr>
        <xdr:cNvPr id="23" name="Picture 22"/>
        <xdr:cNvPicPr>
          <a:picLocks noChangeAspect="1" noChangeArrowheads="1"/>
        </xdr:cNvPicPr>
      </xdr:nvPicPr>
      <xdr:blipFill>
        <a:blip r:embed="rId16"/>
        <a:stretch>
          <a:fillRect/>
        </a:stretch>
      </xdr:blipFill>
      <xdr:spPr>
        <a:xfrm>
          <a:off x="11157585" y="29397960"/>
          <a:ext cx="7659370" cy="413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273779</xdr:colOff>
      <xdr:row>20</xdr:row>
      <xdr:rowOff>172336</xdr:rowOff>
    </xdr:from>
    <xdr:to>
      <xdr:col>4</xdr:col>
      <xdr:colOff>7933138</xdr:colOff>
      <xdr:row>20</xdr:row>
      <xdr:rowOff>4308390</xdr:rowOff>
    </xdr:to>
    <xdr:pic>
      <xdr:nvPicPr>
        <xdr:cNvPr id="24" name="Picture 23"/>
        <xdr:cNvPicPr>
          <a:picLocks noChangeAspect="1" noChangeArrowheads="1"/>
        </xdr:cNvPicPr>
      </xdr:nvPicPr>
      <xdr:blipFill>
        <a:blip r:embed="rId17"/>
        <a:stretch>
          <a:fillRect/>
        </a:stretch>
      </xdr:blipFill>
      <xdr:spPr>
        <a:xfrm>
          <a:off x="11157585" y="34103310"/>
          <a:ext cx="7659370" cy="413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8</xdr:row>
      <xdr:rowOff>174455</xdr:rowOff>
    </xdr:from>
    <xdr:to>
      <xdr:col>7</xdr:col>
      <xdr:colOff>7946440</xdr:colOff>
      <xdr:row>8</xdr:row>
      <xdr:rowOff>4306271</xdr:rowOff>
    </xdr:to>
    <xdr:pic>
      <xdr:nvPicPr>
        <xdr:cNvPr id="25" name="Picture 24"/>
        <xdr:cNvPicPr>
          <a:picLocks noChangeAspect="1" noChangeArrowheads="1"/>
        </xdr:cNvPicPr>
      </xdr:nvPicPr>
      <xdr:blipFill>
        <a:blip r:embed="rId18"/>
        <a:stretch>
          <a:fillRect/>
        </a:stretch>
      </xdr:blipFill>
      <xdr:spPr>
        <a:xfrm>
          <a:off x="21135975" y="5942965"/>
          <a:ext cx="7663815" cy="4131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10</xdr:row>
      <xdr:rowOff>174455</xdr:rowOff>
    </xdr:from>
    <xdr:to>
      <xdr:col>7</xdr:col>
      <xdr:colOff>7946440</xdr:colOff>
      <xdr:row>10</xdr:row>
      <xdr:rowOff>4306271</xdr:rowOff>
    </xdr:to>
    <xdr:pic>
      <xdr:nvPicPr>
        <xdr:cNvPr id="27" name="Picture 26"/>
        <xdr:cNvPicPr>
          <a:picLocks noChangeAspect="1" noChangeArrowheads="1"/>
        </xdr:cNvPicPr>
      </xdr:nvPicPr>
      <xdr:blipFill>
        <a:blip r:embed="rId19"/>
        <a:stretch>
          <a:fillRect/>
        </a:stretch>
      </xdr:blipFill>
      <xdr:spPr>
        <a:xfrm>
          <a:off x="21135975" y="10635615"/>
          <a:ext cx="7663815" cy="4131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12</xdr:row>
      <xdr:rowOff>174455</xdr:rowOff>
    </xdr:from>
    <xdr:to>
      <xdr:col>7</xdr:col>
      <xdr:colOff>7946440</xdr:colOff>
      <xdr:row>12</xdr:row>
      <xdr:rowOff>4306271</xdr:rowOff>
    </xdr:to>
    <xdr:pic>
      <xdr:nvPicPr>
        <xdr:cNvPr id="28" name="Picture 27"/>
        <xdr:cNvPicPr>
          <a:picLocks noChangeAspect="1" noChangeArrowheads="1"/>
        </xdr:cNvPicPr>
      </xdr:nvPicPr>
      <xdr:blipFill>
        <a:blip r:embed="rId20"/>
        <a:stretch>
          <a:fillRect/>
        </a:stretch>
      </xdr:blipFill>
      <xdr:spPr>
        <a:xfrm>
          <a:off x="21135975" y="15328265"/>
          <a:ext cx="7663815" cy="4131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14</xdr:row>
      <xdr:rowOff>174455</xdr:rowOff>
    </xdr:from>
    <xdr:to>
      <xdr:col>7</xdr:col>
      <xdr:colOff>7946440</xdr:colOff>
      <xdr:row>14</xdr:row>
      <xdr:rowOff>4306271</xdr:rowOff>
    </xdr:to>
    <xdr:pic>
      <xdr:nvPicPr>
        <xdr:cNvPr id="29" name="Picture 28"/>
        <xdr:cNvPicPr>
          <a:picLocks noChangeAspect="1" noChangeArrowheads="1"/>
        </xdr:cNvPicPr>
      </xdr:nvPicPr>
      <xdr:blipFill>
        <a:blip r:embed="rId21"/>
        <a:stretch>
          <a:fillRect/>
        </a:stretch>
      </xdr:blipFill>
      <xdr:spPr>
        <a:xfrm>
          <a:off x="21135975" y="20020915"/>
          <a:ext cx="7663815" cy="4131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16</xdr:row>
      <xdr:rowOff>174455</xdr:rowOff>
    </xdr:from>
    <xdr:to>
      <xdr:col>7</xdr:col>
      <xdr:colOff>7946440</xdr:colOff>
      <xdr:row>16</xdr:row>
      <xdr:rowOff>4306271</xdr:rowOff>
    </xdr:to>
    <xdr:pic>
      <xdr:nvPicPr>
        <xdr:cNvPr id="31" name="Picture 30"/>
        <xdr:cNvPicPr>
          <a:picLocks noChangeAspect="1" noChangeArrowheads="1"/>
        </xdr:cNvPicPr>
      </xdr:nvPicPr>
      <xdr:blipFill>
        <a:blip r:embed="rId22"/>
        <a:stretch>
          <a:fillRect/>
        </a:stretch>
      </xdr:blipFill>
      <xdr:spPr>
        <a:xfrm>
          <a:off x="21135975" y="24713565"/>
          <a:ext cx="7663815" cy="4131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18</xdr:row>
      <xdr:rowOff>174455</xdr:rowOff>
    </xdr:from>
    <xdr:to>
      <xdr:col>7</xdr:col>
      <xdr:colOff>7946440</xdr:colOff>
      <xdr:row>18</xdr:row>
      <xdr:rowOff>4306271</xdr:rowOff>
    </xdr:to>
    <xdr:pic>
      <xdr:nvPicPr>
        <xdr:cNvPr id="33" name="Picture 32"/>
        <xdr:cNvPicPr>
          <a:picLocks noChangeAspect="1" noChangeArrowheads="1"/>
        </xdr:cNvPicPr>
      </xdr:nvPicPr>
      <xdr:blipFill>
        <a:blip r:embed="rId23"/>
        <a:stretch>
          <a:fillRect/>
        </a:stretch>
      </xdr:blipFill>
      <xdr:spPr>
        <a:xfrm>
          <a:off x="21135975" y="29399865"/>
          <a:ext cx="7663815" cy="4131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283158</xdr:colOff>
      <xdr:row>20</xdr:row>
      <xdr:rowOff>174455</xdr:rowOff>
    </xdr:from>
    <xdr:to>
      <xdr:col>7</xdr:col>
      <xdr:colOff>7946440</xdr:colOff>
      <xdr:row>20</xdr:row>
      <xdr:rowOff>4306271</xdr:rowOff>
    </xdr:to>
    <xdr:pic>
      <xdr:nvPicPr>
        <xdr:cNvPr id="34" name="Picture 33"/>
        <xdr:cNvPicPr>
          <a:picLocks noChangeAspect="1" noChangeArrowheads="1"/>
        </xdr:cNvPicPr>
      </xdr:nvPicPr>
      <xdr:blipFill>
        <a:blip r:embed="rId24"/>
        <a:stretch>
          <a:fillRect/>
        </a:stretch>
      </xdr:blipFill>
      <xdr:spPr>
        <a:xfrm>
          <a:off x="21135975" y="34105215"/>
          <a:ext cx="7663815" cy="4131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12700</xdr:rowOff>
        </xdr:from>
        <xdr:to>
          <xdr:col>6</xdr:col>
          <xdr:colOff>876300</xdr:colOff>
          <xdr:row>31</xdr:row>
          <xdr:rowOff>0</xdr:rowOff>
        </xdr:to>
        <xdr:sp>
          <xdr:nvSpPr>
            <xdr:cNvPr id="674505" name="Drop Down 713" hidden="1">
              <a:extLst>
                <a:ext uri="{63B3BB69-23CF-44E3-9099-C40C66FF867C}">
                  <a14:compatExt spid="_x0000_s674505"/>
                </a:ext>
              </a:extLst>
            </xdr:cNvPr>
            <xdr:cNvSpPr/>
          </xdr:nvSpPr>
          <xdr:spPr>
            <a:xfrm>
              <a:off x="5968365" y="5156200"/>
              <a:ext cx="876300" cy="20510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12700</xdr:rowOff>
        </xdr:from>
        <xdr:to>
          <xdr:col>6</xdr:col>
          <xdr:colOff>876300</xdr:colOff>
          <xdr:row>32</xdr:row>
          <xdr:rowOff>0</xdr:rowOff>
        </xdr:to>
        <xdr:sp>
          <xdr:nvSpPr>
            <xdr:cNvPr id="674508" name="Drop Down 716" hidden="1">
              <a:extLst>
                <a:ext uri="{63B3BB69-23CF-44E3-9099-C40C66FF867C}">
                  <a14:compatExt spid="_x0000_s674508"/>
                </a:ext>
              </a:extLst>
            </xdr:cNvPr>
            <xdr:cNvSpPr/>
          </xdr:nvSpPr>
          <xdr:spPr>
            <a:xfrm>
              <a:off x="5968365" y="5374005"/>
              <a:ext cx="876300" cy="20510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12700</xdr:rowOff>
        </xdr:from>
        <xdr:to>
          <xdr:col>6</xdr:col>
          <xdr:colOff>876300</xdr:colOff>
          <xdr:row>36</xdr:row>
          <xdr:rowOff>0</xdr:rowOff>
        </xdr:to>
        <xdr:sp>
          <xdr:nvSpPr>
            <xdr:cNvPr id="674527" name="Drop Down 735" hidden="1">
              <a:extLst>
                <a:ext uri="{63B3BB69-23CF-44E3-9099-C40C66FF867C}">
                  <a14:compatExt spid="_x0000_s674527"/>
                </a:ext>
              </a:extLst>
            </xdr:cNvPr>
            <xdr:cNvSpPr/>
          </xdr:nvSpPr>
          <xdr:spPr>
            <a:xfrm>
              <a:off x="5968365" y="6245225"/>
              <a:ext cx="876300" cy="20510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12700</xdr:rowOff>
        </xdr:from>
        <xdr:to>
          <xdr:col>6</xdr:col>
          <xdr:colOff>876300</xdr:colOff>
          <xdr:row>41</xdr:row>
          <xdr:rowOff>0</xdr:rowOff>
        </xdr:to>
        <xdr:sp>
          <xdr:nvSpPr>
            <xdr:cNvPr id="674534" name="Drop Down 742" hidden="1">
              <a:extLst>
                <a:ext uri="{63B3BB69-23CF-44E3-9099-C40C66FF867C}">
                  <a14:compatExt spid="_x0000_s674534"/>
                </a:ext>
              </a:extLst>
            </xdr:cNvPr>
            <xdr:cNvSpPr/>
          </xdr:nvSpPr>
          <xdr:spPr>
            <a:xfrm>
              <a:off x="5968365" y="7334250"/>
              <a:ext cx="876300" cy="20510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12700</xdr:rowOff>
        </xdr:from>
        <xdr:to>
          <xdr:col>6</xdr:col>
          <xdr:colOff>876300</xdr:colOff>
          <xdr:row>38</xdr:row>
          <xdr:rowOff>0</xdr:rowOff>
        </xdr:to>
        <xdr:sp>
          <xdr:nvSpPr>
            <xdr:cNvPr id="674536" name="Drop Down 744" hidden="1">
              <a:extLst>
                <a:ext uri="{63B3BB69-23CF-44E3-9099-C40C66FF867C}">
                  <a14:compatExt spid="_x0000_s674536"/>
                </a:ext>
              </a:extLst>
            </xdr:cNvPr>
            <xdr:cNvSpPr/>
          </xdr:nvSpPr>
          <xdr:spPr>
            <a:xfrm>
              <a:off x="5968365" y="6680835"/>
              <a:ext cx="876300" cy="20510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12700</xdr:rowOff>
        </xdr:from>
        <xdr:to>
          <xdr:col>6</xdr:col>
          <xdr:colOff>876300</xdr:colOff>
          <xdr:row>37</xdr:row>
          <xdr:rowOff>0</xdr:rowOff>
        </xdr:to>
        <xdr:sp>
          <xdr:nvSpPr>
            <xdr:cNvPr id="674539" name="Drop Down 747" hidden="1">
              <a:extLst>
                <a:ext uri="{63B3BB69-23CF-44E3-9099-C40C66FF867C}">
                  <a14:compatExt spid="_x0000_s674539"/>
                </a:ext>
              </a:extLst>
            </xdr:cNvPr>
            <xdr:cNvSpPr/>
          </xdr:nvSpPr>
          <xdr:spPr>
            <a:xfrm>
              <a:off x="5968365" y="6463030"/>
              <a:ext cx="876300" cy="20510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12700</xdr:rowOff>
        </xdr:from>
        <xdr:to>
          <xdr:col>6</xdr:col>
          <xdr:colOff>876300</xdr:colOff>
          <xdr:row>40</xdr:row>
          <xdr:rowOff>0</xdr:rowOff>
        </xdr:to>
        <xdr:sp>
          <xdr:nvSpPr>
            <xdr:cNvPr id="674540" name="Drop Down 748" hidden="1">
              <a:extLst>
                <a:ext uri="{63B3BB69-23CF-44E3-9099-C40C66FF867C}">
                  <a14:compatExt spid="_x0000_s674540"/>
                </a:ext>
              </a:extLst>
            </xdr:cNvPr>
            <xdr:cNvSpPr/>
          </xdr:nvSpPr>
          <xdr:spPr>
            <a:xfrm>
              <a:off x="5968365" y="7116445"/>
              <a:ext cx="876300" cy="20510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12700</xdr:rowOff>
        </xdr:from>
        <xdr:to>
          <xdr:col>6</xdr:col>
          <xdr:colOff>876300</xdr:colOff>
          <xdr:row>42</xdr:row>
          <xdr:rowOff>0</xdr:rowOff>
        </xdr:to>
        <xdr:sp>
          <xdr:nvSpPr>
            <xdr:cNvPr id="674541" name="Drop Down 749" hidden="1">
              <a:extLst>
                <a:ext uri="{63B3BB69-23CF-44E3-9099-C40C66FF867C}">
                  <a14:compatExt spid="_x0000_s674541"/>
                </a:ext>
              </a:extLst>
            </xdr:cNvPr>
            <xdr:cNvSpPr/>
          </xdr:nvSpPr>
          <xdr:spPr>
            <a:xfrm>
              <a:off x="5968365" y="7552055"/>
              <a:ext cx="876300" cy="20510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12700</xdr:rowOff>
        </xdr:from>
        <xdr:to>
          <xdr:col>6</xdr:col>
          <xdr:colOff>876300</xdr:colOff>
          <xdr:row>43</xdr:row>
          <xdr:rowOff>0</xdr:rowOff>
        </xdr:to>
        <xdr:sp>
          <xdr:nvSpPr>
            <xdr:cNvPr id="674542" name="Drop Down 750" hidden="1">
              <a:extLst>
                <a:ext uri="{63B3BB69-23CF-44E3-9099-C40C66FF867C}">
                  <a14:compatExt spid="_x0000_s674542"/>
                </a:ext>
              </a:extLst>
            </xdr:cNvPr>
            <xdr:cNvSpPr/>
          </xdr:nvSpPr>
          <xdr:spPr>
            <a:xfrm>
              <a:off x="5968365" y="7769860"/>
              <a:ext cx="876300" cy="20510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12700</xdr:rowOff>
        </xdr:from>
        <xdr:to>
          <xdr:col>6</xdr:col>
          <xdr:colOff>876300</xdr:colOff>
          <xdr:row>44</xdr:row>
          <xdr:rowOff>0</xdr:rowOff>
        </xdr:to>
        <xdr:sp>
          <xdr:nvSpPr>
            <xdr:cNvPr id="674543" name="Drop Down 751" hidden="1">
              <a:extLst>
                <a:ext uri="{63B3BB69-23CF-44E3-9099-C40C66FF867C}">
                  <a14:compatExt spid="_x0000_s674543"/>
                </a:ext>
              </a:extLst>
            </xdr:cNvPr>
            <xdr:cNvSpPr/>
          </xdr:nvSpPr>
          <xdr:spPr>
            <a:xfrm>
              <a:off x="5968365" y="7987665"/>
              <a:ext cx="876300" cy="20510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12700</xdr:rowOff>
        </xdr:from>
        <xdr:to>
          <xdr:col>6</xdr:col>
          <xdr:colOff>876300</xdr:colOff>
          <xdr:row>35</xdr:row>
          <xdr:rowOff>0</xdr:rowOff>
        </xdr:to>
        <xdr:sp>
          <xdr:nvSpPr>
            <xdr:cNvPr id="674544" name="Drop Down 752" hidden="1">
              <a:extLst>
                <a:ext uri="{63B3BB69-23CF-44E3-9099-C40C66FF867C}">
                  <a14:compatExt spid="_x0000_s674544"/>
                </a:ext>
              </a:extLst>
            </xdr:cNvPr>
            <xdr:cNvSpPr/>
          </xdr:nvSpPr>
          <xdr:spPr>
            <a:xfrm>
              <a:off x="5968365" y="6027420"/>
              <a:ext cx="876300" cy="20510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44</xdr:row>
          <xdr:rowOff>12700</xdr:rowOff>
        </xdr:from>
        <xdr:to>
          <xdr:col>6</xdr:col>
          <xdr:colOff>876300</xdr:colOff>
          <xdr:row>45</xdr:row>
          <xdr:rowOff>0</xdr:rowOff>
        </xdr:to>
        <xdr:sp>
          <xdr:nvSpPr>
            <xdr:cNvPr id="674632" name="Drop Down 840" hidden="1">
              <a:extLst>
                <a:ext uri="{63B3BB69-23CF-44E3-9099-C40C66FF867C}">
                  <a14:compatExt spid="_x0000_s674632"/>
                </a:ext>
              </a:extLst>
            </xdr:cNvPr>
            <xdr:cNvSpPr/>
          </xdr:nvSpPr>
          <xdr:spPr>
            <a:xfrm>
              <a:off x="5968365" y="8205470"/>
              <a:ext cx="876300" cy="1968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12700</xdr:rowOff>
        </xdr:from>
        <xdr:to>
          <xdr:col>6</xdr:col>
          <xdr:colOff>876300</xdr:colOff>
          <xdr:row>34</xdr:row>
          <xdr:rowOff>0</xdr:rowOff>
        </xdr:to>
        <xdr:sp>
          <xdr:nvSpPr>
            <xdr:cNvPr id="674633" name="Drop Down 841" hidden="1">
              <a:extLst>
                <a:ext uri="{63B3BB69-23CF-44E3-9099-C40C66FF867C}">
                  <a14:compatExt spid="_x0000_s674633"/>
                </a:ext>
              </a:extLst>
            </xdr:cNvPr>
            <xdr:cNvSpPr/>
          </xdr:nvSpPr>
          <xdr:spPr>
            <a:xfrm>
              <a:off x="5968365" y="5809615"/>
              <a:ext cx="876300" cy="20510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xdr:cNvPicPr>
              <a:picLocks noChangeAspect="1" noChangeArrowheads="1"/>
              <a:extLst>
                <a:ext uri="{84589F7E-364E-4C9E-8A38-B11213B215E9}">
                  <a14:cameraTool cellRange="PICTURE1" spid="_x0000_s763905"/>
                </a:ext>
              </a:extLst>
            </xdr:cNvPicPr>
          </xdr:nvPicPr>
          <xdr:blipFill>
            <a:blip r:embed="rId1"/>
            <a:srcRect/>
            <a:stretch>
              <a:fillRect/>
            </a:stretch>
          </xdr:blipFill>
          <xdr:spPr>
            <a:xfrm>
              <a:off x="370840" y="95250"/>
              <a:ext cx="7634605" cy="4089400"/>
            </a:xfrm>
            <a:prstGeom prst="rect">
              <a:avLst/>
            </a:prstGeom>
            <a:noFill/>
            <a:ln w="15875">
              <a:noFill/>
              <a:miter lim="800000"/>
              <a:headEnd/>
              <a:tailEnd/>
            </a:ln>
            <a:extLst>
              <a:ext uri="{909E8E84-426E-40DD-AFC4-6F175D3DCCD1}">
                <a14:hiddenFill xmlns:a14="http://schemas.microsoft.com/office/drawing/2010/main">
                  <a:solidFill>
                    <a:srgbClr xmlns:mc="http://schemas.openxmlformats.org/markup-compatibility/2006" xmlns:a14="http://schemas.microsoft.com/office/drawing/2010/main" val="FFFFFF" mc:Ignorable="a14" a14:legacySpreadsheetColorIndex="65"/>
                  </a:solidFill>
                </a14:hiddenFill>
              </a:ext>
            </a:extLst>
          </xdr:spPr>
        </xdr:pic>
        <xdr:clientData/>
      </xdr:twoCellAnchor>
    </mc:Choice>
    <mc:Fallback/>
  </mc:AlternateContent>
  <xdr:twoCellAnchor>
    <xdr:from>
      <xdr:col>1</xdr:col>
      <xdr:colOff>437308</xdr:colOff>
      <xdr:row>10</xdr:row>
      <xdr:rowOff>67668</xdr:rowOff>
    </xdr:from>
    <xdr:to>
      <xdr:col>1</xdr:col>
      <xdr:colOff>760148</xdr:colOff>
      <xdr:row>11</xdr:row>
      <xdr:rowOff>139781</xdr:rowOff>
    </xdr:to>
    <xdr:sp>
      <xdr:nvSpPr>
        <xdr:cNvPr id="78" name="Text Box 244"/>
        <xdr:cNvSpPr txBox="1">
          <a:spLocks noChangeArrowheads="1"/>
        </xdr:cNvSpPr>
      </xdr:nvSpPr>
      <xdr:spPr>
        <a:xfrm>
          <a:off x="1103630" y="1654810"/>
          <a:ext cx="323215" cy="231140"/>
        </a:xfrm>
        <a:prstGeom prst="rect">
          <a:avLst/>
        </a:prstGeom>
        <a:noFill/>
        <a:ln w="9525">
          <a:noFill/>
          <a:miter lim="800000"/>
        </a:ln>
      </xdr:spPr>
      <xdr:txBody>
        <a:bodyPr vertOverflow="clip" wrap="square" lIns="27432" tIns="27432" rIns="0" bIns="0" anchor="t" upright="1"/>
        <a:lstStyle/>
        <a:p>
          <a:pPr algn="l" rtl="0">
            <a:defRPr sz="1000"/>
          </a:pPr>
          <a:r>
            <a:rPr lang="en-US" sz="1100" b="0" i="0" strike="noStrike">
              <a:solidFill>
                <a:srgbClr val="000000"/>
              </a:solidFill>
              <a:latin typeface="Arial" panose="020B0604020202020204" pitchFamily="7" charset="0"/>
              <a:cs typeface="Arial" panose="020B0604020202020204" pitchFamily="7" charset="0"/>
            </a:rPr>
            <a:t>C</a:t>
          </a:r>
          <a:r>
            <a:rPr lang="en-US" sz="1100" b="0" i="0" strike="noStrike" baseline="-25000">
              <a:solidFill>
                <a:srgbClr val="000000"/>
              </a:solidFill>
              <a:latin typeface="Arial" panose="020B0604020202020204" pitchFamily="7" charset="0"/>
              <a:cs typeface="Arial" panose="020B0604020202020204" pitchFamily="7" charset="0"/>
            </a:rPr>
            <a:t>IN</a:t>
          </a:r>
          <a:endParaRPr lang="en-US" sz="1100" b="0" i="0" strike="noStrike" baseline="-25000">
            <a:solidFill>
              <a:srgbClr val="000000"/>
            </a:solidFill>
            <a:latin typeface="Arial" panose="020B0604020202020204" pitchFamily="7" charset="0"/>
            <a:cs typeface="Arial" panose="020B0604020202020204" pitchFamily="7" charset="0"/>
          </a:endParaRPr>
        </a:p>
      </xdr:txBody>
    </xdr:sp>
    <xdr:clientData/>
  </xdr:twoCellAnchor>
  <xdr:twoCellAnchor>
    <xdr:from>
      <xdr:col>5</xdr:col>
      <xdr:colOff>284378</xdr:colOff>
      <xdr:row>9</xdr:row>
      <xdr:rowOff>30478</xdr:rowOff>
    </xdr:from>
    <xdr:to>
      <xdr:col>5</xdr:col>
      <xdr:colOff>834448</xdr:colOff>
      <xdr:row>10</xdr:row>
      <xdr:rowOff>51718</xdr:rowOff>
    </xdr:to>
    <xdr:sp textlink="'Variable Mgmt'!B221">
      <xdr:nvSpPr>
        <xdr:cNvPr id="79" name="Text Box 267"/>
        <xdr:cNvSpPr txBox="1">
          <a:spLocks noChangeArrowheads="1" noTextEdit="1"/>
        </xdr:cNvSpPr>
      </xdr:nvSpPr>
      <xdr:spPr>
        <a:xfrm>
          <a:off x="5306060" y="1458595"/>
          <a:ext cx="550545" cy="180340"/>
        </a:xfrm>
        <a:prstGeom prst="rect">
          <a:avLst/>
        </a:prstGeom>
        <a:noFill/>
        <a:ln w="9525">
          <a:noFill/>
          <a:miter lim="800000"/>
        </a:ln>
      </xdr:spPr>
      <xdr:txBody>
        <a:bodyPr vertOverflow="clip" wrap="square" lIns="27432" tIns="22860" rIns="0" bIns="0" anchor="ctr" upright="1"/>
        <a:lstStyle/>
        <a:p>
          <a:pPr algn="l" rtl="0">
            <a:defRPr sz="1000"/>
          </a:pPr>
          <a:fld id="{DEF62FD0-959B-4627-B7E8-61CA1688D174}" type="TxLink">
            <a:rPr lang="en-US" sz="800" b="0" i="0" u="none" strike="noStrike" baseline="0">
              <a:solidFill>
                <a:srgbClr val="000000"/>
              </a:solidFill>
              <a:latin typeface="Arial" panose="020B0604020202020204" pitchFamily="7" charset="0"/>
              <a:cs typeface="Arial" panose="020B0604020202020204" pitchFamily="7" charset="0"/>
            </a:rPr>
          </a:fld>
          <a:endParaRPr lang="en-US" sz="800" b="0" i="0" u="none" strike="noStrike" baseline="0">
            <a:solidFill>
              <a:srgbClr val="000000"/>
            </a:solidFill>
            <a:latin typeface="Arial" panose="020B0604020202020204" pitchFamily="7" charset="0"/>
            <a:cs typeface="Arial" panose="020B0604020202020204" pitchFamily="7" charset="0"/>
          </a:endParaRPr>
        </a:p>
      </xdr:txBody>
    </xdr:sp>
    <xdr:clientData/>
  </xdr:twoCellAnchor>
  <xdr:twoCellAnchor>
    <xdr:from>
      <xdr:col>4</xdr:col>
      <xdr:colOff>356563</xdr:colOff>
      <xdr:row>4</xdr:row>
      <xdr:rowOff>127871</xdr:rowOff>
    </xdr:from>
    <xdr:to>
      <xdr:col>4</xdr:col>
      <xdr:colOff>808168</xdr:colOff>
      <xdr:row>6</xdr:row>
      <xdr:rowOff>62470</xdr:rowOff>
    </xdr:to>
    <xdr:sp textlink="'Variable Mgmt'!B207">
      <xdr:nvSpPr>
        <xdr:cNvPr id="80" name="Text Box 275"/>
        <xdr:cNvSpPr txBox="1">
          <a:spLocks noChangeArrowheads="1" noTextEdit="1"/>
        </xdr:cNvSpPr>
      </xdr:nvSpPr>
      <xdr:spPr>
        <a:xfrm>
          <a:off x="4172585" y="762635"/>
          <a:ext cx="451485" cy="252095"/>
        </a:xfrm>
        <a:prstGeom prst="rect">
          <a:avLst/>
        </a:prstGeom>
        <a:noFill/>
        <a:ln w="9525">
          <a:noFill/>
          <a:miter lim="800000"/>
        </a:ln>
      </xdr:spPr>
      <xdr:txBody>
        <a:bodyPr vertOverflow="clip" wrap="square" lIns="27432" tIns="22860" rIns="0" bIns="0" anchor="ctr" upright="1"/>
        <a:lstStyle/>
        <a:p>
          <a:pPr algn="ctr" rtl="0">
            <a:defRPr sz="1000"/>
          </a:pPr>
          <a:fld id="{08583DE7-3129-476B-98BE-2887A134E956}" type="TxLink">
            <a:rPr lang="en-US" sz="800" b="0" i="0" u="none" strike="noStrike" baseline="0">
              <a:solidFill>
                <a:srgbClr val="000000"/>
              </a:solidFill>
              <a:latin typeface="Arial" panose="020B0604020202020204" pitchFamily="7" charset="0"/>
              <a:cs typeface="Arial" panose="020B0604020202020204" pitchFamily="7" charset="0"/>
            </a:rPr>
          </a:fld>
          <a:endParaRPr lang="en-US" sz="800" b="0" i="0" u="none" strike="noStrike" baseline="0">
            <a:solidFill>
              <a:srgbClr val="000000"/>
            </a:solidFill>
            <a:latin typeface="Arial" panose="020B0604020202020204" pitchFamily="7" charset="0"/>
            <a:cs typeface="Arial" panose="020B0604020202020204" pitchFamily="7" charset="0"/>
          </a:endParaRPr>
        </a:p>
      </xdr:txBody>
    </xdr:sp>
    <xdr:clientData/>
  </xdr:twoCellAnchor>
  <xdr:twoCellAnchor>
    <xdr:from>
      <xdr:col>1</xdr:col>
      <xdr:colOff>324307</xdr:colOff>
      <xdr:row>11</xdr:row>
      <xdr:rowOff>107415</xdr:rowOff>
    </xdr:from>
    <xdr:to>
      <xdr:col>2</xdr:col>
      <xdr:colOff>32056</xdr:colOff>
      <xdr:row>12</xdr:row>
      <xdr:rowOff>143562</xdr:rowOff>
    </xdr:to>
    <xdr:sp textlink="'Variable Mgmt'!B226">
      <xdr:nvSpPr>
        <xdr:cNvPr id="81" name="Text Box 276"/>
        <xdr:cNvSpPr txBox="1">
          <a:spLocks noChangeArrowheads="1" noTextEdit="1"/>
        </xdr:cNvSpPr>
      </xdr:nvSpPr>
      <xdr:spPr>
        <a:xfrm>
          <a:off x="990600" y="1853565"/>
          <a:ext cx="508000" cy="194945"/>
        </a:xfrm>
        <a:prstGeom prst="rect">
          <a:avLst/>
        </a:prstGeom>
        <a:noFill/>
        <a:ln w="9525">
          <a:noFill/>
          <a:miter lim="800000"/>
        </a:ln>
      </xdr:spPr>
      <xdr:txBody>
        <a:bodyPr vertOverflow="clip" wrap="square" lIns="27432" tIns="22860" rIns="0" bIns="0" anchor="ctr" upright="1"/>
        <a:lstStyle/>
        <a:p>
          <a:pPr algn="ctr" rtl="0">
            <a:defRPr sz="1000"/>
          </a:pPr>
          <a:fld id="{7E8F3901-1453-4951-8E28-510E65401D4C}" type="TxLink">
            <a:rPr lang="en-US" sz="800" b="0" i="0" u="none" strike="noStrike" baseline="0">
              <a:solidFill>
                <a:srgbClr val="000000"/>
              </a:solidFill>
              <a:latin typeface="Arial" panose="020B0604020202020204" pitchFamily="7" charset="0"/>
              <a:cs typeface="Arial" panose="020B0604020202020204" pitchFamily="7" charset="0"/>
            </a:rPr>
          </a:fld>
          <a:endParaRPr lang="en-US" sz="800" b="0" i="0" u="none" strike="noStrike" baseline="0">
            <a:solidFill>
              <a:srgbClr val="000000"/>
            </a:solidFill>
            <a:latin typeface="Arial" panose="020B0604020202020204" pitchFamily="7" charset="0"/>
            <a:cs typeface="Arial" panose="020B0604020202020204" pitchFamily="7" charset="0"/>
          </a:endParaRPr>
        </a:p>
      </xdr:txBody>
    </xdr:sp>
    <xdr:clientData/>
  </xdr:twoCellAnchor>
  <xdr:twoCellAnchor>
    <xdr:from>
      <xdr:col>1</xdr:col>
      <xdr:colOff>773104</xdr:colOff>
      <xdr:row>21</xdr:row>
      <xdr:rowOff>15667</xdr:rowOff>
    </xdr:from>
    <xdr:to>
      <xdr:col>2</xdr:col>
      <xdr:colOff>416419</xdr:colOff>
      <xdr:row>22</xdr:row>
      <xdr:rowOff>134199</xdr:rowOff>
    </xdr:to>
    <xdr:sp textlink="'Variable Mgmt'!D253">
      <xdr:nvSpPr>
        <xdr:cNvPr id="82" name="Text Box 281"/>
        <xdr:cNvSpPr txBox="1">
          <a:spLocks noChangeArrowheads="1" noTextEdit="1"/>
        </xdr:cNvSpPr>
      </xdr:nvSpPr>
      <xdr:spPr>
        <a:xfrm>
          <a:off x="1439545" y="3348990"/>
          <a:ext cx="443230" cy="277495"/>
        </a:xfrm>
        <a:prstGeom prst="rect">
          <a:avLst/>
        </a:prstGeom>
        <a:noFill/>
        <a:ln w="9525">
          <a:noFill/>
          <a:miter lim="800000"/>
        </a:ln>
      </xdr:spPr>
      <xdr:txBody>
        <a:bodyPr vertOverflow="clip" wrap="square" lIns="27432" tIns="22860" rIns="0" bIns="0" anchor="ctr" upright="1"/>
        <a:lstStyle/>
        <a:p>
          <a:pPr algn="l" rtl="0">
            <a:defRPr sz="1000"/>
          </a:pPr>
          <a:fld id="{F2115F91-8BFD-4C9B-9969-8B2C04ADF4C5}" type="TxLink">
            <a:rPr lang="en-US" sz="800" b="0" i="0" u="none" strike="noStrike">
              <a:solidFill>
                <a:srgbClr val="000000"/>
              </a:solidFill>
              <a:latin typeface="Arial" panose="020B0604020202020204"/>
              <a:cs typeface="Arial" panose="020B0604020202020204"/>
            </a:rPr>
          </a:fld>
          <a:endParaRPr lang="en-US" sz="800" b="0" i="0" u="none" strike="noStrike">
            <a:solidFill>
              <a:srgbClr val="000000"/>
            </a:solidFill>
            <a:latin typeface="Arial" panose="020B0604020202020204"/>
            <a:cs typeface="Arial" panose="020B0604020202020204"/>
          </a:endParaRPr>
        </a:p>
      </xdr:txBody>
    </xdr:sp>
    <xdr:clientData/>
  </xdr:twoCellAnchor>
  <xdr:twoCellAnchor>
    <xdr:from>
      <xdr:col>0</xdr:col>
      <xdr:colOff>571314</xdr:colOff>
      <xdr:row>4</xdr:row>
      <xdr:rowOff>24656</xdr:rowOff>
    </xdr:from>
    <xdr:to>
      <xdr:col>1</xdr:col>
      <xdr:colOff>445666</xdr:colOff>
      <xdr:row>6</xdr:row>
      <xdr:rowOff>157846</xdr:rowOff>
    </xdr:to>
    <xdr:sp textlink="'Variable Mgmt'!B213">
      <xdr:nvSpPr>
        <xdr:cNvPr id="85" name="Text Box 283"/>
        <xdr:cNvSpPr txBox="1">
          <a:spLocks noChangeArrowheads="1" noTextEdit="1"/>
        </xdr:cNvSpPr>
      </xdr:nvSpPr>
      <xdr:spPr>
        <a:xfrm>
          <a:off x="570865" y="659130"/>
          <a:ext cx="541020" cy="450850"/>
        </a:xfrm>
        <a:prstGeom prst="rect">
          <a:avLst/>
        </a:prstGeom>
        <a:noFill/>
        <a:ln w="9525">
          <a:noFill/>
          <a:miter lim="800000"/>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anose="020B0604020202020204" pitchFamily="7" charset="0"/>
              <a:cs typeface="Arial" panose="020B0604020202020204" pitchFamily="7" charset="0"/>
            </a:rPr>
          </a:fld>
          <a:endParaRPr lang="en-US" sz="1400" b="1" i="0" u="none" strike="noStrike">
            <a:solidFill>
              <a:srgbClr val="FF0000"/>
            </a:solidFill>
            <a:latin typeface="Arial" panose="020B0604020202020204" pitchFamily="7" charset="0"/>
            <a:cs typeface="Arial" panose="020B0604020202020204" pitchFamily="7" charset="0"/>
          </a:endParaRPr>
        </a:p>
      </xdr:txBody>
    </xdr:sp>
    <xdr:clientData/>
  </xdr:twoCellAnchor>
  <xdr:twoCellAnchor>
    <xdr:from>
      <xdr:col>6</xdr:col>
      <xdr:colOff>1014449</xdr:colOff>
      <xdr:row>4</xdr:row>
      <xdr:rowOff>52892</xdr:rowOff>
    </xdr:from>
    <xdr:to>
      <xdr:col>7</xdr:col>
      <xdr:colOff>548886</xdr:colOff>
      <xdr:row>6</xdr:row>
      <xdr:rowOff>75671</xdr:rowOff>
    </xdr:to>
    <xdr:sp textlink="'Variable Mgmt'!B216">
      <xdr:nvSpPr>
        <xdr:cNvPr id="87" name="Text Box 285"/>
        <xdr:cNvSpPr txBox="1">
          <a:spLocks noChangeArrowheads="1" noTextEdit="1"/>
        </xdr:cNvSpPr>
      </xdr:nvSpPr>
      <xdr:spPr>
        <a:xfrm>
          <a:off x="6982460" y="687705"/>
          <a:ext cx="664845" cy="340360"/>
        </a:xfrm>
        <a:prstGeom prst="rect">
          <a:avLst/>
        </a:prstGeom>
        <a:noFill/>
        <a:ln w="9525">
          <a:noFill/>
          <a:miter lim="800000"/>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anose="020B0604020202020204" pitchFamily="7" charset="0"/>
              <a:cs typeface="Arial" panose="020B0604020202020204" pitchFamily="7" charset="0"/>
            </a:rPr>
          </a:fld>
          <a:endParaRPr lang="en-US" sz="1400" b="1" i="0" u="none" strike="noStrike" baseline="0">
            <a:solidFill>
              <a:srgbClr val="FF0000"/>
            </a:solidFill>
            <a:latin typeface="Arial" panose="020B0604020202020204" pitchFamily="7" charset="0"/>
            <a:cs typeface="Arial" panose="020B0604020202020204" pitchFamily="7" charset="0"/>
          </a:endParaRPr>
        </a:p>
      </xdr:txBody>
    </xdr:sp>
    <xdr:clientData/>
  </xdr:twoCellAnchor>
  <xdr:twoCellAnchor>
    <xdr:from>
      <xdr:col>6</xdr:col>
      <xdr:colOff>926501</xdr:colOff>
      <xdr:row>5</xdr:row>
      <xdr:rowOff>145742</xdr:rowOff>
    </xdr:from>
    <xdr:to>
      <xdr:col>7</xdr:col>
      <xdr:colOff>346993</xdr:colOff>
      <xdr:row>7</xdr:row>
      <xdr:rowOff>126182</xdr:rowOff>
    </xdr:to>
    <xdr:sp textlink="'Variable Mgmt'!B271">
      <xdr:nvSpPr>
        <xdr:cNvPr id="88" name="Text Box 286"/>
        <xdr:cNvSpPr txBox="1">
          <a:spLocks noChangeArrowheads="1" noTextEdit="1"/>
        </xdr:cNvSpPr>
      </xdr:nvSpPr>
      <xdr:spPr>
        <a:xfrm>
          <a:off x="6894830" y="939165"/>
          <a:ext cx="550545" cy="297815"/>
        </a:xfrm>
        <a:prstGeom prst="rect">
          <a:avLst/>
        </a:prstGeom>
        <a:noFill/>
        <a:ln w="9525">
          <a:noFill/>
          <a:miter lim="800000"/>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anose="020B0604020202020204" pitchFamily="7" charset="0"/>
              <a:cs typeface="Arial" panose="020B0604020202020204" pitchFamily="7" charset="0"/>
            </a:rPr>
          </a:fld>
          <a:endParaRPr lang="en-US" sz="1000" b="1" i="0" u="none" strike="noStrike">
            <a:solidFill>
              <a:srgbClr val="FF0000"/>
            </a:solidFill>
            <a:latin typeface="Arial" panose="020B0604020202020204" pitchFamily="7" charset="0"/>
            <a:cs typeface="Arial" panose="020B0604020202020204" pitchFamily="7" charset="0"/>
          </a:endParaRPr>
        </a:p>
      </xdr:txBody>
    </xdr:sp>
    <xdr:clientData/>
  </xdr:twoCellAnchor>
  <xdr:twoCellAnchor>
    <xdr:from>
      <xdr:col>2</xdr:col>
      <xdr:colOff>73794</xdr:colOff>
      <xdr:row>8</xdr:row>
      <xdr:rowOff>55189</xdr:rowOff>
    </xdr:from>
    <xdr:to>
      <xdr:col>2</xdr:col>
      <xdr:colOff>598492</xdr:colOff>
      <xdr:row>9</xdr:row>
      <xdr:rowOff>144998</xdr:rowOff>
    </xdr:to>
    <xdr:sp textlink="'Variable Mgmt'!C245">
      <xdr:nvSpPr>
        <xdr:cNvPr id="92" name="Text Box 268"/>
        <xdr:cNvSpPr txBox="1">
          <a:spLocks noChangeArrowheads="1" noTextEdit="1"/>
        </xdr:cNvSpPr>
      </xdr:nvSpPr>
      <xdr:spPr>
        <a:xfrm>
          <a:off x="1540510" y="1324610"/>
          <a:ext cx="524510" cy="248920"/>
        </a:xfrm>
        <a:prstGeom prst="rect">
          <a:avLst/>
        </a:prstGeom>
        <a:noFill/>
        <a:ln w="9525">
          <a:noFill/>
          <a:miter lim="800000"/>
        </a:ln>
      </xdr:spPr>
      <xdr:txBody>
        <a:bodyPr vertOverflow="clip" wrap="square" lIns="27432" tIns="22860" rIns="0" bIns="0" anchor="ctr" upright="1"/>
        <a:lstStyle/>
        <a:p>
          <a:pPr algn="l" rtl="0">
            <a:defRPr sz="1000"/>
          </a:pPr>
          <a:fld id="{9F0ED324-D4DC-458E-AFDF-B2BC6995B894}" type="TxLink">
            <a:rPr lang="en-US" sz="800" b="0" i="0" u="none" strike="noStrike">
              <a:solidFill>
                <a:srgbClr val="000000"/>
              </a:solidFill>
              <a:latin typeface="Arial" panose="020B0604020202020204"/>
              <a:cs typeface="Arial" panose="020B0604020202020204"/>
            </a:rPr>
          </a:fld>
          <a:endParaRPr lang="en-US" sz="800" b="0" i="0" u="none" strike="noStrike">
            <a:solidFill>
              <a:srgbClr val="000000"/>
            </a:solidFill>
            <a:latin typeface="Arial" panose="020B0604020202020204"/>
            <a:cs typeface="Arial" panose="020B0604020202020204"/>
          </a:endParaRPr>
        </a:p>
      </xdr:txBody>
    </xdr:sp>
    <xdr:clientData/>
  </xdr:twoCellAnchor>
  <xdr:twoCellAnchor>
    <xdr:from>
      <xdr:col>2</xdr:col>
      <xdr:colOff>49223</xdr:colOff>
      <xdr:row>14</xdr:row>
      <xdr:rowOff>21690</xdr:rowOff>
    </xdr:from>
    <xdr:to>
      <xdr:col>2</xdr:col>
      <xdr:colOff>573921</xdr:colOff>
      <xdr:row>15</xdr:row>
      <xdr:rowOff>76082</xdr:rowOff>
    </xdr:to>
    <xdr:sp textlink="'Variable Mgmt'!C246">
      <xdr:nvSpPr>
        <xdr:cNvPr id="93" name="Text Box 268"/>
        <xdr:cNvSpPr txBox="1">
          <a:spLocks noChangeArrowheads="1" noTextEdit="1"/>
        </xdr:cNvSpPr>
      </xdr:nvSpPr>
      <xdr:spPr>
        <a:xfrm>
          <a:off x="1515745" y="2244090"/>
          <a:ext cx="524510" cy="212725"/>
        </a:xfrm>
        <a:prstGeom prst="rect">
          <a:avLst/>
        </a:prstGeom>
        <a:noFill/>
        <a:ln w="9525">
          <a:noFill/>
          <a:miter lim="800000"/>
        </a:ln>
      </xdr:spPr>
      <xdr:txBody>
        <a:bodyPr vertOverflow="clip" wrap="square" lIns="27432" tIns="22860" rIns="0" bIns="0" anchor="ctr" upright="1"/>
        <a:lstStyle/>
        <a:p>
          <a:pPr algn="l" rtl="0">
            <a:defRPr sz="1000"/>
          </a:pPr>
          <a:fld id="{34FF5C9F-E605-45FC-B7D1-F0CC0D61FE72}" type="TxLink">
            <a:rPr lang="en-US" sz="800" b="0" i="0" u="none" strike="noStrike">
              <a:solidFill>
                <a:srgbClr val="000000"/>
              </a:solidFill>
              <a:latin typeface="Arial" panose="020B0604020202020204"/>
              <a:cs typeface="Arial" panose="020B0604020202020204"/>
            </a:rPr>
          </a:fld>
          <a:endParaRPr lang="en-US" sz="800" b="0" i="0" u="none" strike="noStrike">
            <a:solidFill>
              <a:srgbClr val="000000"/>
            </a:solidFill>
            <a:latin typeface="Arial" panose="020B0604020202020204"/>
            <a:cs typeface="Arial" panose="020B0604020202020204"/>
          </a:endParaRPr>
        </a:p>
      </xdr:txBody>
    </xdr:sp>
    <xdr:clientData/>
  </xdr:twoCellAnchor>
  <xdr:twoCellAnchor>
    <xdr:from>
      <xdr:col>3</xdr:col>
      <xdr:colOff>1261621</xdr:colOff>
      <xdr:row>14</xdr:row>
      <xdr:rowOff>138379</xdr:rowOff>
    </xdr:from>
    <xdr:to>
      <xdr:col>4</xdr:col>
      <xdr:colOff>432279</xdr:colOff>
      <xdr:row>16</xdr:row>
      <xdr:rowOff>60821</xdr:rowOff>
    </xdr:to>
    <xdr:sp textlink="'Variable Mgmt'!C235">
      <xdr:nvSpPr>
        <xdr:cNvPr id="94" name="Text Box 268"/>
        <xdr:cNvSpPr txBox="1">
          <a:spLocks noChangeArrowheads="1" noTextEdit="1"/>
        </xdr:cNvSpPr>
      </xdr:nvSpPr>
      <xdr:spPr>
        <a:xfrm>
          <a:off x="3667760" y="2360295"/>
          <a:ext cx="580390" cy="240030"/>
        </a:xfrm>
        <a:prstGeom prst="rect">
          <a:avLst/>
        </a:prstGeom>
        <a:noFill/>
        <a:ln w="9525">
          <a:noFill/>
          <a:miter lim="800000"/>
        </a:ln>
      </xdr:spPr>
      <xdr:txBody>
        <a:bodyPr vertOverflow="clip" wrap="square" lIns="27432" tIns="22860" rIns="0" bIns="0" anchor="ctr" upright="1"/>
        <a:lstStyle/>
        <a:p>
          <a:pPr algn="l" rtl="0">
            <a:defRPr sz="1000"/>
          </a:pPr>
          <a:fld id="{748954DB-E280-498C-BC91-9439B9EC7524}" type="TxLink">
            <a:rPr lang="en-US" sz="800" b="0" i="0" u="none" strike="noStrike">
              <a:solidFill>
                <a:srgbClr val="000000"/>
              </a:solidFill>
              <a:latin typeface="Arial" panose="020B0604020202020204"/>
              <a:cs typeface="Arial" panose="020B0604020202020204"/>
            </a:rPr>
          </a:fld>
          <a:endParaRPr lang="en-US" sz="800" b="0" i="0" u="none" strike="noStrike">
            <a:solidFill>
              <a:srgbClr val="000000"/>
            </a:solidFill>
            <a:latin typeface="Arial" panose="020B0604020202020204"/>
            <a:cs typeface="Arial" panose="020B0604020202020204"/>
          </a:endParaRPr>
        </a:p>
      </xdr:txBody>
    </xdr:sp>
    <xdr:clientData/>
  </xdr:twoCellAnchor>
  <xdr:twoCellAnchor>
    <xdr:from>
      <xdr:col>4</xdr:col>
      <xdr:colOff>329105</xdr:colOff>
      <xdr:row>20</xdr:row>
      <xdr:rowOff>22695</xdr:rowOff>
    </xdr:from>
    <xdr:to>
      <xdr:col>4</xdr:col>
      <xdr:colOff>843589</xdr:colOff>
      <xdr:row>21</xdr:row>
      <xdr:rowOff>62191</xdr:rowOff>
    </xdr:to>
    <xdr:sp textlink="'Variable Mgmt'!C249">
      <xdr:nvSpPr>
        <xdr:cNvPr id="95" name="Text Box 265"/>
        <xdr:cNvSpPr txBox="1">
          <a:spLocks noChangeArrowheads="1" noTextEdit="1"/>
        </xdr:cNvSpPr>
      </xdr:nvSpPr>
      <xdr:spPr>
        <a:xfrm>
          <a:off x="4145280" y="3197225"/>
          <a:ext cx="514350" cy="198120"/>
        </a:xfrm>
        <a:prstGeom prst="rect">
          <a:avLst/>
        </a:prstGeom>
        <a:noFill/>
        <a:ln w="9525">
          <a:noFill/>
          <a:miter lim="800000"/>
        </a:ln>
      </xdr:spPr>
      <xdr:txBody>
        <a:bodyPr vertOverflow="clip" wrap="square" lIns="27432" tIns="22860" rIns="0" bIns="0" anchor="t" upright="1"/>
        <a:lstStyle/>
        <a:p>
          <a:pPr algn="l" rtl="0">
            <a:defRPr sz="1000"/>
          </a:pPr>
          <a:fld id="{B2616B24-776D-472C-9328-875E07CFCCA9}" type="TxLink">
            <a:rPr lang="en-US" sz="800" b="0" i="0" u="none" strike="noStrike" baseline="0">
              <a:solidFill>
                <a:srgbClr val="000000"/>
              </a:solidFill>
              <a:latin typeface="Arial" panose="020B0604020202020204"/>
              <a:cs typeface="Arial" panose="020B0604020202020204"/>
            </a:rPr>
          </a:fld>
          <a:endParaRPr lang="en-US" sz="800" b="0" i="0" u="none" strike="noStrike" baseline="0">
            <a:solidFill>
              <a:srgbClr val="000000"/>
            </a:solidFill>
            <a:latin typeface="Arial" panose="020B0604020202020204"/>
            <a:cs typeface="Arial" panose="020B0604020202020204"/>
          </a:endParaRPr>
        </a:p>
      </xdr:txBody>
    </xdr:sp>
    <xdr:clientData/>
  </xdr:twoCellAnchor>
  <xdr:twoCellAnchor>
    <xdr:from>
      <xdr:col>0</xdr:col>
      <xdr:colOff>354772</xdr:colOff>
      <xdr:row>7</xdr:row>
      <xdr:rowOff>6666</xdr:rowOff>
    </xdr:from>
    <xdr:to>
      <xdr:col>2</xdr:col>
      <xdr:colOff>198978</xdr:colOff>
      <xdr:row>8</xdr:row>
      <xdr:rowOff>133350</xdr:rowOff>
    </xdr:to>
    <xdr:sp textlink="'Variable Mgmt'!B214">
      <xdr:nvSpPr>
        <xdr:cNvPr id="96" name="Text Box 283"/>
        <xdr:cNvSpPr txBox="1">
          <a:spLocks noChangeArrowheads="1" noTextEdit="1"/>
        </xdr:cNvSpPr>
      </xdr:nvSpPr>
      <xdr:spPr>
        <a:xfrm>
          <a:off x="354330" y="1117600"/>
          <a:ext cx="1311275" cy="285750"/>
        </a:xfrm>
        <a:prstGeom prst="rect">
          <a:avLst/>
        </a:prstGeom>
        <a:noFill/>
        <a:ln w="9525">
          <a:noFill/>
          <a:miter lim="800000"/>
        </a:ln>
      </xdr:spPr>
      <xdr:txBody>
        <a:bodyPr vertOverflow="clip" wrap="square" lIns="27432" tIns="22860" rIns="0" bIns="0" anchor="t" upright="1"/>
        <a:lstStyle/>
        <a:p>
          <a:pPr algn="ctr" rtl="0">
            <a:defRPr sz="1000"/>
          </a:pPr>
          <a:fld id="{47315316-35F3-49E7-A4CE-EA42773D1FAE}" type="TxLink">
            <a:rPr lang="en-US" sz="1000" b="1" i="0" u="none" strike="noStrike">
              <a:solidFill>
                <a:srgbClr val="000000"/>
              </a:solidFill>
              <a:latin typeface="Arial" panose="020B0604020202020204"/>
              <a:cs typeface="Arial" panose="020B0604020202020204"/>
            </a:rPr>
          </a:fld>
          <a:endParaRPr lang="en-US" sz="1000" b="1" i="0" u="none" strike="noStrike">
            <a:solidFill>
              <a:srgbClr val="000000"/>
            </a:solidFill>
            <a:latin typeface="Arial" panose="020B0604020202020204"/>
            <a:cs typeface="Arial" panose="020B0604020202020204"/>
          </a:endParaRPr>
        </a:p>
      </xdr:txBody>
    </xdr:sp>
    <xdr:clientData/>
  </xdr:twoCellAnchor>
  <xdr:twoCellAnchor>
    <xdr:from>
      <xdr:col>3</xdr:col>
      <xdr:colOff>1247969</xdr:colOff>
      <xdr:row>18</xdr:row>
      <xdr:rowOff>83599</xdr:rowOff>
    </xdr:from>
    <xdr:to>
      <xdr:col>4</xdr:col>
      <xdr:colOff>170797</xdr:colOff>
      <xdr:row>20</xdr:row>
      <xdr:rowOff>11639</xdr:rowOff>
    </xdr:to>
    <xdr:sp textlink="'Variable Mgmt'!C241">
      <xdr:nvSpPr>
        <xdr:cNvPr id="97" name="Text Box 225"/>
        <xdr:cNvSpPr txBox="1">
          <a:spLocks noChangeArrowheads="1"/>
        </xdr:cNvSpPr>
      </xdr:nvSpPr>
      <xdr:spPr>
        <a:xfrm>
          <a:off x="3654425" y="2940685"/>
          <a:ext cx="332105" cy="245745"/>
        </a:xfrm>
        <a:prstGeom prst="rect">
          <a:avLst/>
        </a:prstGeom>
        <a:noFill/>
        <a:ln w="9525">
          <a:noFill/>
          <a:miter lim="800000"/>
        </a:ln>
      </xdr:spPr>
      <xdr:txBody>
        <a:bodyPr vertOverflow="clip" wrap="square" lIns="27432" tIns="27432" rIns="0" bIns="0" anchor="ctr" upright="1"/>
        <a:lstStyle/>
        <a:p>
          <a:pPr algn="l" rtl="0">
            <a:defRPr sz="1000"/>
          </a:pPr>
          <a:fld id="{C394427D-AAFB-4910-BFD4-26E4AF094E1D}" type="TxLink">
            <a:rPr lang="en-US" sz="1000" b="0" i="0" u="none" strike="noStrike" baseline="-25000">
              <a:solidFill>
                <a:srgbClr val="000000"/>
              </a:solidFill>
              <a:latin typeface="Arial" panose="020B0604020202020204"/>
              <a:cs typeface="Arial" panose="020B0604020202020204"/>
            </a:rPr>
          </a:fld>
          <a:endParaRPr lang="en-US" sz="1000" b="0" i="0" u="none" strike="noStrike" baseline="-25000">
            <a:solidFill>
              <a:srgbClr val="000000"/>
            </a:solidFill>
            <a:latin typeface="Arial" panose="020B0604020202020204"/>
            <a:cs typeface="Arial" panose="020B0604020202020204"/>
          </a:endParaRPr>
        </a:p>
      </xdr:txBody>
    </xdr:sp>
    <xdr:clientData/>
  </xdr:twoCellAnchor>
  <xdr:twoCellAnchor>
    <xdr:from>
      <xdr:col>3</xdr:col>
      <xdr:colOff>1227972</xdr:colOff>
      <xdr:row>19</xdr:row>
      <xdr:rowOff>154031</xdr:rowOff>
    </xdr:from>
    <xdr:to>
      <xdr:col>4</xdr:col>
      <xdr:colOff>335308</xdr:colOff>
      <xdr:row>21</xdr:row>
      <xdr:rowOff>64707</xdr:rowOff>
    </xdr:to>
    <xdr:sp textlink="'Variable Mgmt'!B241">
      <xdr:nvSpPr>
        <xdr:cNvPr id="98" name="Text Box 268"/>
        <xdr:cNvSpPr txBox="1">
          <a:spLocks noChangeArrowheads="1" noTextEdit="1"/>
        </xdr:cNvSpPr>
      </xdr:nvSpPr>
      <xdr:spPr>
        <a:xfrm>
          <a:off x="3634105" y="3169920"/>
          <a:ext cx="517525" cy="227965"/>
        </a:xfrm>
        <a:prstGeom prst="rect">
          <a:avLst/>
        </a:prstGeom>
        <a:noFill/>
        <a:ln w="9525">
          <a:noFill/>
          <a:miter lim="800000"/>
        </a:ln>
      </xdr:spPr>
      <xdr:txBody>
        <a:bodyPr vertOverflow="clip" wrap="square" lIns="27432" tIns="22860" rIns="0" bIns="0" anchor="ctr" upright="1"/>
        <a:lstStyle/>
        <a:p>
          <a:pPr algn="l" rtl="0">
            <a:defRPr sz="1000"/>
          </a:pPr>
          <a:fld id="{35437053-6AF1-4CB6-8BC9-CEEF911045AA}" type="TxLink">
            <a:rPr lang="en-US" sz="800" b="0" i="0" u="none" strike="noStrike">
              <a:solidFill>
                <a:srgbClr val="000000"/>
              </a:solidFill>
              <a:latin typeface="Arial" panose="020B0604020202020204"/>
              <a:cs typeface="Arial" panose="020B0604020202020204"/>
            </a:rPr>
          </a:fld>
          <a:endParaRPr lang="en-US" sz="800" b="0" i="0" u="none" strike="noStrike">
            <a:solidFill>
              <a:srgbClr val="000000"/>
            </a:solidFill>
            <a:latin typeface="Arial" panose="020B0604020202020204"/>
            <a:cs typeface="Arial" panose="020B0604020202020204"/>
          </a:endParaRPr>
        </a:p>
      </xdr:txBody>
    </xdr:sp>
    <xdr:clientData/>
  </xdr:twoCellAnchor>
  <xdr:twoCellAnchor>
    <xdr:from>
      <xdr:col>2</xdr:col>
      <xdr:colOff>121601</xdr:colOff>
      <xdr:row>6</xdr:row>
      <xdr:rowOff>151676</xdr:rowOff>
    </xdr:from>
    <xdr:to>
      <xdr:col>2</xdr:col>
      <xdr:colOff>523651</xdr:colOff>
      <xdr:row>8</xdr:row>
      <xdr:rowOff>59662</xdr:rowOff>
    </xdr:to>
    <xdr:sp textlink="'Variable Mgmt'!C244">
      <xdr:nvSpPr>
        <xdr:cNvPr id="99" name="Text Box 264"/>
        <xdr:cNvSpPr txBox="1">
          <a:spLocks noChangeArrowheads="1" noTextEdit="1"/>
        </xdr:cNvSpPr>
      </xdr:nvSpPr>
      <xdr:spPr>
        <a:xfrm>
          <a:off x="1588135" y="1103630"/>
          <a:ext cx="401955" cy="225425"/>
        </a:xfrm>
        <a:prstGeom prst="rect">
          <a:avLst/>
        </a:prstGeom>
        <a:noFill/>
        <a:ln w="9525">
          <a:noFill/>
          <a:miter lim="800000"/>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panose="020B0604020202020204"/>
              <a:cs typeface="Arial" panose="020B0604020202020204"/>
            </a:rPr>
          </a:fld>
          <a:endParaRPr lang="en-US" sz="1000" b="0" i="0" u="none" strike="noStrike" baseline="0">
            <a:solidFill>
              <a:srgbClr val="000000"/>
            </a:solidFill>
            <a:latin typeface="Arial" panose="020B0604020202020204"/>
            <a:cs typeface="Arial" panose="020B0604020202020204"/>
          </a:endParaRPr>
        </a:p>
      </xdr:txBody>
    </xdr:sp>
    <xdr:clientData/>
  </xdr:twoCellAnchor>
  <xdr:twoCellAnchor>
    <xdr:from>
      <xdr:col>2</xdr:col>
      <xdr:colOff>88470</xdr:colOff>
      <xdr:row>13</xdr:row>
      <xdr:rowOff>21364</xdr:rowOff>
    </xdr:from>
    <xdr:to>
      <xdr:col>2</xdr:col>
      <xdr:colOff>512500</xdr:colOff>
      <xdr:row>14</xdr:row>
      <xdr:rowOff>41881</xdr:rowOff>
    </xdr:to>
    <xdr:sp textlink="'Variable Mgmt'!D244">
      <xdr:nvSpPr>
        <xdr:cNvPr id="100" name="Text Box 264"/>
        <xdr:cNvSpPr txBox="1">
          <a:spLocks noChangeArrowheads="1" noTextEdit="1"/>
        </xdr:cNvSpPr>
      </xdr:nvSpPr>
      <xdr:spPr>
        <a:xfrm>
          <a:off x="1555115" y="2084705"/>
          <a:ext cx="424180" cy="179070"/>
        </a:xfrm>
        <a:prstGeom prst="rect">
          <a:avLst/>
        </a:prstGeom>
        <a:noFill/>
        <a:ln w="9525">
          <a:noFill/>
          <a:miter lim="800000"/>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panose="020B0604020202020204"/>
              <a:cs typeface="Arial" panose="020B0604020202020204"/>
            </a:rPr>
          </a:fld>
          <a:endParaRPr lang="en-US" sz="1000" b="0" i="0" u="none" strike="noStrike" baseline="0">
            <a:solidFill>
              <a:srgbClr val="000000"/>
            </a:solidFill>
            <a:latin typeface="Arial" panose="020B0604020202020204"/>
            <a:cs typeface="Arial" panose="020B0604020202020204"/>
          </a:endParaRPr>
        </a:p>
      </xdr:txBody>
    </xdr:sp>
    <xdr:clientData/>
  </xdr:twoCellAnchor>
  <xdr:twoCellAnchor>
    <xdr:from>
      <xdr:col>1</xdr:col>
      <xdr:colOff>785167</xdr:colOff>
      <xdr:row>19</xdr:row>
      <xdr:rowOff>72115</xdr:rowOff>
    </xdr:from>
    <xdr:to>
      <xdr:col>2</xdr:col>
      <xdr:colOff>428482</xdr:colOff>
      <xdr:row>21</xdr:row>
      <xdr:rowOff>84377</xdr:rowOff>
    </xdr:to>
    <xdr:sp textlink="'Variable Mgmt'!C254">
      <xdr:nvSpPr>
        <xdr:cNvPr id="101" name="Text Box 281"/>
        <xdr:cNvSpPr txBox="1">
          <a:spLocks noChangeArrowheads="1" noTextEdit="1"/>
        </xdr:cNvSpPr>
      </xdr:nvSpPr>
      <xdr:spPr>
        <a:xfrm>
          <a:off x="1451610" y="3088005"/>
          <a:ext cx="443230" cy="329565"/>
        </a:xfrm>
        <a:prstGeom prst="rect">
          <a:avLst/>
        </a:prstGeom>
        <a:noFill/>
        <a:ln w="9525">
          <a:noFill/>
          <a:miter lim="800000"/>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panose="020B0604020202020204"/>
              <a:cs typeface="Arial" panose="020B0604020202020204"/>
            </a:rPr>
          </a:fld>
          <a:endParaRPr lang="en-US" sz="1100" b="0" i="0" u="none" strike="noStrike">
            <a:solidFill>
              <a:srgbClr val="000000"/>
            </a:solidFill>
            <a:latin typeface="Arial" panose="020B0604020202020204"/>
            <a:cs typeface="Arial" panose="020B0604020202020204"/>
          </a:endParaRPr>
        </a:p>
      </xdr:txBody>
    </xdr:sp>
    <xdr:clientData/>
  </xdr:twoCellAnchor>
  <xdr:twoCellAnchor>
    <xdr:from>
      <xdr:col>3</xdr:col>
      <xdr:colOff>1273241</xdr:colOff>
      <xdr:row>13</xdr:row>
      <xdr:rowOff>128134</xdr:rowOff>
    </xdr:from>
    <xdr:to>
      <xdr:col>4</xdr:col>
      <xdr:colOff>188037</xdr:colOff>
      <xdr:row>15</xdr:row>
      <xdr:rowOff>36858</xdr:rowOff>
    </xdr:to>
    <xdr:sp>
      <xdr:nvSpPr>
        <xdr:cNvPr id="103" name="Text Box 244"/>
        <xdr:cNvSpPr txBox="1">
          <a:spLocks noChangeArrowheads="1"/>
        </xdr:cNvSpPr>
      </xdr:nvSpPr>
      <xdr:spPr>
        <a:xfrm>
          <a:off x="3679825" y="2191385"/>
          <a:ext cx="324485" cy="226695"/>
        </a:xfrm>
        <a:prstGeom prst="rect">
          <a:avLst/>
        </a:prstGeom>
        <a:noFill/>
        <a:ln w="9525">
          <a:noFill/>
          <a:miter lim="800000"/>
        </a:ln>
      </xdr:spPr>
      <xdr:txBody>
        <a:bodyPr vertOverflow="clip" wrap="square" lIns="27432" tIns="27432" rIns="0" bIns="0" anchor="t" upright="1"/>
        <a:lstStyle/>
        <a:p>
          <a:pPr algn="l" rtl="0">
            <a:defRPr sz="1000"/>
          </a:pPr>
          <a:r>
            <a:rPr lang="en-US" sz="1100" b="0" i="0" strike="noStrike">
              <a:solidFill>
                <a:srgbClr val="000000"/>
              </a:solidFill>
              <a:latin typeface="Arial" panose="020B0604020202020204" pitchFamily="7" charset="0"/>
              <a:cs typeface="Arial" panose="020B0604020202020204" pitchFamily="7" charset="0"/>
            </a:rPr>
            <a:t>R</a:t>
          </a:r>
          <a:r>
            <a:rPr lang="en-US" sz="1100" b="0" i="0" strike="noStrike" baseline="-25000">
              <a:solidFill>
                <a:srgbClr val="000000"/>
              </a:solidFill>
              <a:latin typeface="Arial" panose="020B0604020202020204" pitchFamily="7" charset="0"/>
              <a:cs typeface="Arial" panose="020B0604020202020204" pitchFamily="7" charset="0"/>
            </a:rPr>
            <a:t>FB</a:t>
          </a:r>
          <a:endParaRPr lang="en-US" sz="1100" b="0" i="0" strike="noStrike" baseline="-25000">
            <a:solidFill>
              <a:srgbClr val="000000"/>
            </a:solidFill>
            <a:latin typeface="Arial" panose="020B0604020202020204" pitchFamily="7" charset="0"/>
            <a:cs typeface="Arial" panose="020B0604020202020204" pitchFamily="7" charset="0"/>
          </a:endParaRPr>
        </a:p>
      </xdr:txBody>
    </xdr:sp>
    <xdr:clientData/>
  </xdr:twoCellAnchor>
  <xdr:twoCellAnchor>
    <xdr:from>
      <xdr:col>4</xdr:col>
      <xdr:colOff>360902</xdr:colOff>
      <xdr:row>18</xdr:row>
      <xdr:rowOff>125757</xdr:rowOff>
    </xdr:from>
    <xdr:to>
      <xdr:col>4</xdr:col>
      <xdr:colOff>747919</xdr:colOff>
      <xdr:row>20</xdr:row>
      <xdr:rowOff>37084</xdr:rowOff>
    </xdr:to>
    <xdr:sp>
      <xdr:nvSpPr>
        <xdr:cNvPr id="104" name="Text Box 244"/>
        <xdr:cNvSpPr txBox="1">
          <a:spLocks noChangeArrowheads="1"/>
        </xdr:cNvSpPr>
      </xdr:nvSpPr>
      <xdr:spPr>
        <a:xfrm>
          <a:off x="4177030" y="2983230"/>
          <a:ext cx="386715" cy="228600"/>
        </a:xfrm>
        <a:prstGeom prst="rect">
          <a:avLst/>
        </a:prstGeom>
        <a:noFill/>
        <a:ln w="9525">
          <a:noFill/>
          <a:miter lim="800000"/>
        </a:ln>
      </xdr:spPr>
      <xdr:txBody>
        <a:bodyPr vertOverflow="clip" wrap="square" lIns="27432" tIns="27432" rIns="0" bIns="0" anchor="t" upright="1"/>
        <a:lstStyle/>
        <a:p>
          <a:pPr algn="l" rtl="0">
            <a:defRPr sz="1000"/>
          </a:pPr>
          <a:r>
            <a:rPr lang="en-US" sz="1100" b="0" i="0" strike="noStrike">
              <a:solidFill>
                <a:srgbClr val="000000"/>
              </a:solidFill>
              <a:latin typeface="Arial" panose="020B0604020202020204" pitchFamily="7" charset="0"/>
              <a:cs typeface="Arial" panose="020B0604020202020204" pitchFamily="7" charset="0"/>
            </a:rPr>
            <a:t>R</a:t>
          </a:r>
          <a:r>
            <a:rPr lang="en-US" sz="1100" b="0" i="0" strike="noStrike" baseline="-25000">
              <a:solidFill>
                <a:srgbClr val="000000"/>
              </a:solidFill>
              <a:latin typeface="Arial" panose="020B0604020202020204" pitchFamily="7" charset="0"/>
              <a:cs typeface="Arial" panose="020B0604020202020204" pitchFamily="7" charset="0"/>
            </a:rPr>
            <a:t>SET</a:t>
          </a:r>
          <a:endParaRPr lang="en-US" sz="1100" b="0" i="0" strike="noStrike" baseline="-25000">
            <a:solidFill>
              <a:srgbClr val="000000"/>
            </a:solidFill>
            <a:latin typeface="Arial" panose="020B0604020202020204" pitchFamily="7" charset="0"/>
            <a:cs typeface="Arial" panose="020B0604020202020204" pitchFamily="7" charset="0"/>
          </a:endParaRPr>
        </a:p>
      </xdr:txBody>
    </xdr:sp>
    <xdr:clientData/>
  </xdr:twoCellAnchor>
  <xdr:twoCellAnchor>
    <xdr:from>
      <xdr:col>3</xdr:col>
      <xdr:colOff>857224</xdr:colOff>
      <xdr:row>6</xdr:row>
      <xdr:rowOff>112844</xdr:rowOff>
    </xdr:from>
    <xdr:to>
      <xdr:col>3</xdr:col>
      <xdr:colOff>1321108</xdr:colOff>
      <xdr:row>8</xdr:row>
      <xdr:rowOff>49801</xdr:rowOff>
    </xdr:to>
    <xdr:sp>
      <xdr:nvSpPr>
        <xdr:cNvPr id="105" name="Text Box 235"/>
        <xdr:cNvSpPr txBox="1">
          <a:spLocks noChangeArrowheads="1"/>
        </xdr:cNvSpPr>
      </xdr:nvSpPr>
      <xdr:spPr>
        <a:xfrm>
          <a:off x="3263265" y="1064895"/>
          <a:ext cx="464185" cy="254635"/>
        </a:xfrm>
        <a:prstGeom prst="rect">
          <a:avLst/>
        </a:prstGeom>
        <a:noFill/>
        <a:ln w="9525">
          <a:noFill/>
          <a:miter lim="800000"/>
        </a:ln>
      </xdr:spPr>
      <xdr:txBody>
        <a:bodyPr vertOverflow="clip" wrap="square" lIns="27432" tIns="27432" rIns="0" bIns="0" anchor="ctr" upright="1"/>
        <a:lstStyle/>
        <a:p>
          <a:pPr algn="l" rtl="0">
            <a:defRPr sz="1000"/>
          </a:pPr>
          <a:r>
            <a:rPr lang="en-US" sz="1100" b="0" i="0" strike="noStrike">
              <a:solidFill>
                <a:srgbClr val="000000"/>
              </a:solidFill>
              <a:latin typeface="Arial" panose="020B0604020202020204" pitchFamily="7" charset="0"/>
              <a:cs typeface="Arial" panose="020B0604020202020204" pitchFamily="7" charset="0"/>
            </a:rPr>
            <a:t>D</a:t>
          </a:r>
          <a:r>
            <a:rPr lang="en-US" sz="1100" b="0" i="0" strike="noStrike" baseline="-25000">
              <a:solidFill>
                <a:srgbClr val="000000"/>
              </a:solidFill>
              <a:latin typeface="Arial" panose="020B0604020202020204" pitchFamily="7" charset="0"/>
              <a:cs typeface="Arial" panose="020B0604020202020204" pitchFamily="7" charset="0"/>
            </a:rPr>
            <a:t>CLAMP</a:t>
          </a:r>
          <a:endParaRPr lang="en-US" sz="1100" b="0" i="0" strike="noStrike" baseline="-25000">
            <a:solidFill>
              <a:srgbClr val="000000"/>
            </a:solidFill>
            <a:latin typeface="Arial" panose="020B0604020202020204" pitchFamily="7" charset="0"/>
            <a:cs typeface="Arial" panose="020B0604020202020204" pitchFamily="7" charset="0"/>
          </a:endParaRPr>
        </a:p>
      </xdr:txBody>
    </xdr:sp>
    <xdr:clientData/>
  </xdr:twoCellAnchor>
  <xdr:twoCellAnchor>
    <xdr:from>
      <xdr:col>3</xdr:col>
      <xdr:colOff>1103188</xdr:colOff>
      <xdr:row>10</xdr:row>
      <xdr:rowOff>64562</xdr:rowOff>
    </xdr:from>
    <xdr:to>
      <xdr:col>3</xdr:col>
      <xdr:colOff>1372488</xdr:colOff>
      <xdr:row>12</xdr:row>
      <xdr:rowOff>3715</xdr:rowOff>
    </xdr:to>
    <xdr:sp>
      <xdr:nvSpPr>
        <xdr:cNvPr id="126" name="Text Box 235"/>
        <xdr:cNvSpPr txBox="1">
          <a:spLocks noChangeArrowheads="1"/>
        </xdr:cNvSpPr>
      </xdr:nvSpPr>
      <xdr:spPr>
        <a:xfrm>
          <a:off x="3509645" y="1651635"/>
          <a:ext cx="269240" cy="256540"/>
        </a:xfrm>
        <a:prstGeom prst="rect">
          <a:avLst/>
        </a:prstGeom>
        <a:noFill/>
        <a:ln w="9525">
          <a:noFill/>
          <a:miter lim="800000"/>
        </a:ln>
      </xdr:spPr>
      <xdr:txBody>
        <a:bodyPr vertOverflow="clip" wrap="square" lIns="27432" tIns="27432" rIns="0" bIns="0" anchor="ctr" upright="1"/>
        <a:lstStyle/>
        <a:p>
          <a:pPr algn="l" rtl="0">
            <a:defRPr sz="1000"/>
          </a:pPr>
          <a:r>
            <a:rPr lang="en-US" sz="1100" b="0" i="0" strike="noStrike">
              <a:solidFill>
                <a:srgbClr val="000000"/>
              </a:solidFill>
              <a:latin typeface="Arial" panose="020B0604020202020204" pitchFamily="7" charset="0"/>
              <a:cs typeface="Arial" panose="020B0604020202020204" pitchFamily="7" charset="0"/>
            </a:rPr>
            <a:t>D</a:t>
          </a:r>
          <a:r>
            <a:rPr lang="en-US" sz="1100" b="0" i="0" strike="noStrike" baseline="-25000">
              <a:solidFill>
                <a:srgbClr val="000000"/>
              </a:solidFill>
              <a:latin typeface="Arial" panose="020B0604020202020204" pitchFamily="7" charset="0"/>
              <a:cs typeface="Arial" panose="020B0604020202020204" pitchFamily="7" charset="0"/>
            </a:rPr>
            <a:t>F</a:t>
          </a:r>
          <a:endParaRPr lang="en-US" sz="1100" b="0" i="0" strike="noStrike" baseline="-25000">
            <a:solidFill>
              <a:srgbClr val="000000"/>
            </a:solidFill>
            <a:latin typeface="Arial" panose="020B0604020202020204" pitchFamily="7" charset="0"/>
            <a:cs typeface="Arial" panose="020B0604020202020204" pitchFamily="7" charset="0"/>
          </a:endParaRPr>
        </a:p>
      </xdr:txBody>
    </xdr:sp>
    <xdr:clientData/>
  </xdr:twoCellAnchor>
  <xdr:twoCellAnchor>
    <xdr:from>
      <xdr:col>4</xdr:col>
      <xdr:colOff>170008</xdr:colOff>
      <xdr:row>4</xdr:row>
      <xdr:rowOff>32991</xdr:rowOff>
    </xdr:from>
    <xdr:to>
      <xdr:col>4</xdr:col>
      <xdr:colOff>818184</xdr:colOff>
      <xdr:row>5</xdr:row>
      <xdr:rowOff>88347</xdr:rowOff>
    </xdr:to>
    <xdr:sp textlink="'Variable Mgmt'!B209">
      <xdr:nvSpPr>
        <xdr:cNvPr id="127" name="Text Box 265"/>
        <xdr:cNvSpPr txBox="1">
          <a:spLocks noChangeArrowheads="1" noTextEdit="1"/>
        </xdr:cNvSpPr>
      </xdr:nvSpPr>
      <xdr:spPr>
        <a:xfrm>
          <a:off x="3985895" y="667385"/>
          <a:ext cx="648335" cy="214630"/>
        </a:xfrm>
        <a:prstGeom prst="rect">
          <a:avLst/>
        </a:prstGeom>
        <a:noFill/>
        <a:ln w="9525">
          <a:noFill/>
          <a:miter lim="800000"/>
        </a:ln>
      </xdr:spPr>
      <xdr:txBody>
        <a:bodyPr vertOverflow="clip" wrap="square" lIns="27432" tIns="22860" rIns="0" bIns="0" anchor="t" upright="1"/>
        <a:lstStyle/>
        <a:p>
          <a:pPr algn="ctr" rtl="0">
            <a:defRPr sz="1000"/>
          </a:pPr>
          <a:fld id="{4DF3E085-FEDD-406F-9003-D894075812A3}" type="TxLink">
            <a:rPr lang="en-US" sz="800" b="0" i="0" u="none" strike="noStrike" baseline="0">
              <a:solidFill>
                <a:srgbClr val="000000"/>
              </a:solidFill>
              <a:latin typeface="Arial" panose="020B0604020202020204"/>
              <a:cs typeface="Arial" panose="020B0604020202020204"/>
            </a:rPr>
          </a:fld>
          <a:endParaRPr lang="en-US" sz="800" b="0" i="0" u="none" strike="noStrike" baseline="0">
            <a:solidFill>
              <a:srgbClr val="000000"/>
            </a:solidFill>
            <a:latin typeface="Arial" panose="020B0604020202020204"/>
            <a:cs typeface="Arial" panose="020B0604020202020204"/>
          </a:endParaRPr>
        </a:p>
      </xdr:txBody>
    </xdr:sp>
    <xdr:clientData/>
  </xdr:twoCellAnchor>
  <xdr:twoCellAnchor>
    <xdr:from>
      <xdr:col>6</xdr:col>
      <xdr:colOff>917542</xdr:colOff>
      <xdr:row>12</xdr:row>
      <xdr:rowOff>9547</xdr:rowOff>
    </xdr:from>
    <xdr:to>
      <xdr:col>7</xdr:col>
      <xdr:colOff>451979</xdr:colOff>
      <xdr:row>14</xdr:row>
      <xdr:rowOff>32326</xdr:rowOff>
    </xdr:to>
    <xdr:sp textlink="'Variable Mgmt'!B217">
      <xdr:nvSpPr>
        <xdr:cNvPr id="128" name="Text Box 285"/>
        <xdr:cNvSpPr txBox="1">
          <a:spLocks noChangeArrowheads="1" noTextEdit="1"/>
        </xdr:cNvSpPr>
      </xdr:nvSpPr>
      <xdr:spPr>
        <a:xfrm>
          <a:off x="6885305" y="1914525"/>
          <a:ext cx="664845" cy="339725"/>
        </a:xfrm>
        <a:prstGeom prst="rect">
          <a:avLst/>
        </a:prstGeom>
        <a:noFill/>
        <a:ln w="9525">
          <a:noFill/>
          <a:miter lim="800000"/>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panose="020B0604020202020204"/>
              <a:cs typeface="Arial" panose="020B0604020202020204"/>
            </a:rPr>
          </a:fld>
          <a:endParaRPr lang="en-US" sz="1350" b="1" i="0" u="none" strike="noStrike" baseline="0">
            <a:solidFill>
              <a:srgbClr val="FF0000"/>
            </a:solidFill>
            <a:latin typeface="Arial" panose="020B0604020202020204"/>
            <a:cs typeface="Arial" panose="020B0604020202020204"/>
          </a:endParaRPr>
        </a:p>
      </xdr:txBody>
    </xdr:sp>
    <xdr:clientData/>
  </xdr:twoCellAnchor>
  <xdr:twoCellAnchor>
    <xdr:from>
      <xdr:col>6</xdr:col>
      <xdr:colOff>922959</xdr:colOff>
      <xdr:row>13</xdr:row>
      <xdr:rowOff>157337</xdr:rowOff>
    </xdr:from>
    <xdr:to>
      <xdr:col>7</xdr:col>
      <xdr:colOff>391077</xdr:colOff>
      <xdr:row>15</xdr:row>
      <xdr:rowOff>137777</xdr:rowOff>
    </xdr:to>
    <xdr:sp textlink="'Variable Mgmt'!B272">
      <xdr:nvSpPr>
        <xdr:cNvPr id="129" name="Text Box 286"/>
        <xdr:cNvSpPr txBox="1">
          <a:spLocks noChangeArrowheads="1" noTextEdit="1"/>
        </xdr:cNvSpPr>
      </xdr:nvSpPr>
      <xdr:spPr>
        <a:xfrm>
          <a:off x="6891020" y="2220595"/>
          <a:ext cx="598170" cy="297815"/>
        </a:xfrm>
        <a:prstGeom prst="rect">
          <a:avLst/>
        </a:prstGeom>
        <a:noFill/>
        <a:ln w="9525">
          <a:noFill/>
          <a:miter lim="800000"/>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panose="020B0604020202020204"/>
              <a:cs typeface="Arial" panose="020B0604020202020204"/>
            </a:rPr>
          </a:fld>
          <a:endParaRPr lang="en-US" sz="1000" b="1" i="0" u="none" strike="noStrike">
            <a:solidFill>
              <a:srgbClr val="FF0000"/>
            </a:solidFill>
            <a:latin typeface="Arial" panose="020B0604020202020204"/>
            <a:cs typeface="Arial" panose="020B0604020202020204"/>
          </a:endParaRPr>
        </a:p>
      </xdr:txBody>
    </xdr:sp>
    <xdr:clientData/>
  </xdr:twoCellAnchor>
  <xdr:twoCellAnchor>
    <xdr:from>
      <xdr:col>6</xdr:col>
      <xdr:colOff>1029495</xdr:colOff>
      <xdr:row>13</xdr:row>
      <xdr:rowOff>129506</xdr:rowOff>
    </xdr:from>
    <xdr:to>
      <xdr:col>7</xdr:col>
      <xdr:colOff>563932</xdr:colOff>
      <xdr:row>15</xdr:row>
      <xdr:rowOff>150490</xdr:rowOff>
    </xdr:to>
    <xdr:sp textlink="'Variable Mgmt'!B218">
      <xdr:nvSpPr>
        <xdr:cNvPr id="130" name="Text Box 285"/>
        <xdr:cNvSpPr txBox="1">
          <a:spLocks noChangeArrowheads="1" noTextEdit="1"/>
        </xdr:cNvSpPr>
      </xdr:nvSpPr>
      <xdr:spPr>
        <a:xfrm>
          <a:off x="6997700" y="2192655"/>
          <a:ext cx="664845" cy="338455"/>
        </a:xfrm>
        <a:prstGeom prst="rect">
          <a:avLst/>
        </a:prstGeom>
        <a:noFill/>
        <a:ln w="9525">
          <a:noFill/>
          <a:miter lim="800000"/>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panose="020B0604020202020204"/>
              <a:cs typeface="Arial" panose="020B0604020202020204"/>
            </a:rPr>
          </a:fld>
          <a:endParaRPr lang="en-US" sz="1350" b="1" i="0" u="none" strike="noStrike" baseline="0">
            <a:solidFill>
              <a:srgbClr val="FF0000"/>
            </a:solidFill>
            <a:latin typeface="Arial" panose="020B0604020202020204"/>
            <a:cs typeface="Arial" panose="020B0604020202020204"/>
          </a:endParaRPr>
        </a:p>
      </xdr:txBody>
    </xdr:sp>
    <xdr:clientData/>
  </xdr:twoCellAnchor>
  <xdr:twoCellAnchor>
    <xdr:from>
      <xdr:col>6</xdr:col>
      <xdr:colOff>796084</xdr:colOff>
      <xdr:row>15</xdr:row>
      <xdr:rowOff>78513</xdr:rowOff>
    </xdr:from>
    <xdr:to>
      <xdr:col>7</xdr:col>
      <xdr:colOff>418201</xdr:colOff>
      <xdr:row>17</xdr:row>
      <xdr:rowOff>58954</xdr:rowOff>
    </xdr:to>
    <xdr:sp textlink="'Variable Mgmt'!B273">
      <xdr:nvSpPr>
        <xdr:cNvPr id="131" name="Text Box 286"/>
        <xdr:cNvSpPr txBox="1">
          <a:spLocks noChangeArrowheads="1" noTextEdit="1"/>
        </xdr:cNvSpPr>
      </xdr:nvSpPr>
      <xdr:spPr>
        <a:xfrm>
          <a:off x="6764020" y="2459355"/>
          <a:ext cx="752475" cy="297815"/>
        </a:xfrm>
        <a:prstGeom prst="rect">
          <a:avLst/>
        </a:prstGeom>
        <a:noFill/>
        <a:ln w="9525">
          <a:noFill/>
          <a:miter lim="800000"/>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panose="020B0604020202020204"/>
              <a:cs typeface="Arial" panose="020B0604020202020204"/>
            </a:rPr>
          </a:fld>
          <a:endParaRPr lang="en-US" sz="1000" b="1" i="0" u="none" strike="noStrike">
            <a:solidFill>
              <a:srgbClr val="FF0000"/>
            </a:solidFill>
            <a:latin typeface="Arial" panose="020B0604020202020204"/>
            <a:cs typeface="Arial" panose="020B0604020202020204"/>
          </a:endParaRPr>
        </a:p>
      </xdr:txBody>
    </xdr:sp>
    <xdr:clientData/>
  </xdr:twoCellAnchor>
  <xdr:twoCellAnchor>
    <xdr:from>
      <xdr:col>6</xdr:col>
      <xdr:colOff>883902</xdr:colOff>
      <xdr:row>12</xdr:row>
      <xdr:rowOff>53671</xdr:rowOff>
    </xdr:from>
    <xdr:to>
      <xdr:col>7</xdr:col>
      <xdr:colOff>302015</xdr:colOff>
      <xdr:row>13</xdr:row>
      <xdr:rowOff>69388</xdr:rowOff>
    </xdr:to>
    <xdr:sp textlink="'Variable Mgmt'!D221">
      <xdr:nvSpPr>
        <xdr:cNvPr id="132" name="Text Box 267"/>
        <xdr:cNvSpPr txBox="1">
          <a:spLocks noChangeArrowheads="1" noTextEdit="1"/>
        </xdr:cNvSpPr>
      </xdr:nvSpPr>
      <xdr:spPr>
        <a:xfrm>
          <a:off x="6851650" y="1958340"/>
          <a:ext cx="548640" cy="174625"/>
        </a:xfrm>
        <a:prstGeom prst="rect">
          <a:avLst/>
        </a:prstGeom>
        <a:noFill/>
        <a:ln w="9525">
          <a:noFill/>
          <a:miter lim="800000"/>
        </a:ln>
      </xdr:spPr>
      <xdr:txBody>
        <a:bodyPr vertOverflow="clip" wrap="square" lIns="27432" tIns="22860" rIns="0" bIns="0" anchor="ctr" upright="1"/>
        <a:lstStyle/>
        <a:p>
          <a:pPr algn="l" rtl="0">
            <a:defRPr sz="1000"/>
          </a:pPr>
          <a:fld id="{1BBBBB7F-554B-4BC8-BF86-B8FB4EA76457}" type="TxLink">
            <a:rPr lang="en-US" sz="800" b="0" i="0" u="none" strike="noStrike" baseline="0">
              <a:solidFill>
                <a:srgbClr val="000000"/>
              </a:solidFill>
              <a:latin typeface="Arial" panose="020B0604020202020204"/>
              <a:cs typeface="Arial" panose="020B0604020202020204"/>
            </a:rPr>
          </a:fld>
          <a:endParaRPr lang="en-US" sz="800" b="0" i="0" u="none" strike="noStrike" baseline="0">
            <a:solidFill>
              <a:srgbClr val="000000"/>
            </a:solidFill>
            <a:latin typeface="Arial" panose="020B0604020202020204"/>
            <a:cs typeface="Arial" panose="020B0604020202020204"/>
          </a:endParaRPr>
        </a:p>
      </xdr:txBody>
    </xdr:sp>
    <xdr:clientData/>
  </xdr:twoCellAnchor>
  <xdr:twoCellAnchor>
    <xdr:from>
      <xdr:col>5</xdr:col>
      <xdr:colOff>687465</xdr:colOff>
      <xdr:row>17</xdr:row>
      <xdr:rowOff>46078</xdr:rowOff>
    </xdr:from>
    <xdr:to>
      <xdr:col>6</xdr:col>
      <xdr:colOff>293318</xdr:colOff>
      <xdr:row>18</xdr:row>
      <xdr:rowOff>67317</xdr:rowOff>
    </xdr:to>
    <xdr:sp textlink="'Variable Mgmt'!C221">
      <xdr:nvSpPr>
        <xdr:cNvPr id="133" name="Text Box 267"/>
        <xdr:cNvSpPr txBox="1">
          <a:spLocks noChangeArrowheads="1" noTextEdit="1"/>
        </xdr:cNvSpPr>
      </xdr:nvSpPr>
      <xdr:spPr>
        <a:xfrm>
          <a:off x="5709285" y="2744470"/>
          <a:ext cx="551815" cy="180340"/>
        </a:xfrm>
        <a:prstGeom prst="rect">
          <a:avLst/>
        </a:prstGeom>
        <a:noFill/>
        <a:ln w="9525">
          <a:noFill/>
          <a:miter lim="800000"/>
        </a:ln>
      </xdr:spPr>
      <xdr:txBody>
        <a:bodyPr vertOverflow="clip" wrap="square" lIns="27432" tIns="22860" rIns="0" bIns="0" anchor="ctr" upright="1"/>
        <a:lstStyle/>
        <a:p>
          <a:pPr algn="l" rtl="0">
            <a:defRPr sz="1000"/>
          </a:pPr>
          <a:fld id="{EB8BEA1C-AFA8-40F4-BE4F-A41F4D085390}" type="TxLink">
            <a:rPr lang="en-US" sz="800" b="0" i="0" u="none" strike="noStrike" baseline="0">
              <a:solidFill>
                <a:srgbClr val="000000"/>
              </a:solidFill>
              <a:latin typeface="Arial" panose="020B0604020202020204"/>
              <a:cs typeface="Arial" panose="020B0604020202020204"/>
            </a:rPr>
          </a:fld>
          <a:endParaRPr lang="en-US" sz="800" b="0" i="0" u="none" strike="noStrike" baseline="0">
            <a:solidFill>
              <a:srgbClr val="000000"/>
            </a:solidFill>
            <a:latin typeface="Arial" panose="020B0604020202020204"/>
            <a:cs typeface="Arial" panose="020B0604020202020204"/>
          </a:endParaRPr>
        </a:p>
      </xdr:txBody>
    </xdr:sp>
    <xdr:clientData/>
  </xdr:twoCellAnchor>
  <xdr:twoCellAnchor>
    <xdr:from>
      <xdr:col>4</xdr:col>
      <xdr:colOff>118865</xdr:colOff>
      <xdr:row>5</xdr:row>
      <xdr:rowOff>19490</xdr:rowOff>
    </xdr:from>
    <xdr:to>
      <xdr:col>4</xdr:col>
      <xdr:colOff>441705</xdr:colOff>
      <xdr:row>6</xdr:row>
      <xdr:rowOff>91603</xdr:rowOff>
    </xdr:to>
    <xdr:sp>
      <xdr:nvSpPr>
        <xdr:cNvPr id="134" name="Text Box 244"/>
        <xdr:cNvSpPr txBox="1">
          <a:spLocks noChangeArrowheads="1"/>
        </xdr:cNvSpPr>
      </xdr:nvSpPr>
      <xdr:spPr>
        <a:xfrm>
          <a:off x="3935095" y="812800"/>
          <a:ext cx="322580" cy="231140"/>
        </a:xfrm>
        <a:prstGeom prst="rect">
          <a:avLst/>
        </a:prstGeom>
        <a:noFill/>
        <a:ln w="9525">
          <a:noFill/>
          <a:miter lim="800000"/>
        </a:ln>
      </xdr:spPr>
      <xdr:txBody>
        <a:bodyPr vertOverflow="clip" wrap="square" lIns="27432" tIns="27432" rIns="0" bIns="0" anchor="t" upright="1"/>
        <a:lstStyle/>
        <a:p>
          <a:pPr algn="ctr" rtl="0">
            <a:defRPr sz="1000"/>
          </a:pPr>
          <a:r>
            <a:rPr lang="en-US" sz="1100" b="0" i="0" strike="noStrike">
              <a:solidFill>
                <a:srgbClr val="000000"/>
              </a:solidFill>
              <a:latin typeface="Arial" panose="020B0604020202020204" pitchFamily="7" charset="0"/>
              <a:cs typeface="Arial" panose="020B0604020202020204" pitchFamily="7" charset="0"/>
            </a:rPr>
            <a:t>T</a:t>
          </a:r>
          <a:r>
            <a:rPr lang="en-US" sz="1100" b="0" i="0" strike="noStrike" baseline="-25000">
              <a:solidFill>
                <a:srgbClr val="000000"/>
              </a:solidFill>
              <a:latin typeface="Arial" panose="020B0604020202020204" pitchFamily="7" charset="0"/>
              <a:cs typeface="Arial" panose="020B0604020202020204" pitchFamily="7" charset="0"/>
            </a:rPr>
            <a:t>1</a:t>
          </a:r>
          <a:endParaRPr lang="en-US" sz="1100" b="0" i="0" strike="noStrike" baseline="-25000">
            <a:solidFill>
              <a:srgbClr val="000000"/>
            </a:solidFill>
            <a:latin typeface="Arial" panose="020B0604020202020204" pitchFamily="7" charset="0"/>
            <a:cs typeface="Arial" panose="020B0604020202020204" pitchFamily="7"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12700</xdr:rowOff>
        </xdr:from>
        <xdr:to>
          <xdr:col>6</xdr:col>
          <xdr:colOff>869950</xdr:colOff>
          <xdr:row>33</xdr:row>
          <xdr:rowOff>0</xdr:rowOff>
        </xdr:to>
        <xdr:sp>
          <xdr:nvSpPr>
            <xdr:cNvPr id="706019" name="Drop Down 1507" hidden="1">
              <a:extLst>
                <a:ext uri="{63B3BB69-23CF-44E3-9099-C40C66FF867C}">
                  <a14:compatExt spid="_x0000_s706019"/>
                </a:ext>
              </a:extLst>
            </xdr:cNvPr>
            <xdr:cNvSpPr/>
          </xdr:nvSpPr>
          <xdr:spPr>
            <a:xfrm>
              <a:off x="5917565" y="5591810"/>
              <a:ext cx="920750" cy="205105"/>
            </a:xfrm>
            <a:prstGeom prst="rect">
              <a:avLst/>
            </a:prstGeom>
          </xdr:spPr>
        </xdr:sp>
        <xdr:clientData/>
      </xdr:twoCellAnchor>
    </mc:Choice>
    <mc:Fallback/>
  </mc:AlternateContent>
  <xdr:twoCellAnchor>
    <xdr:from>
      <xdr:col>2</xdr:col>
      <xdr:colOff>807815</xdr:colOff>
      <xdr:row>9</xdr:row>
      <xdr:rowOff>77055</xdr:rowOff>
    </xdr:from>
    <xdr:to>
      <xdr:col>3</xdr:col>
      <xdr:colOff>191960</xdr:colOff>
      <xdr:row>10</xdr:row>
      <xdr:rowOff>147375</xdr:rowOff>
    </xdr:to>
    <xdr:sp>
      <xdr:nvSpPr>
        <xdr:cNvPr id="47" name="Text Box 244"/>
        <xdr:cNvSpPr txBox="1">
          <a:spLocks noChangeArrowheads="1"/>
        </xdr:cNvSpPr>
      </xdr:nvSpPr>
      <xdr:spPr>
        <a:xfrm>
          <a:off x="2274570" y="1505585"/>
          <a:ext cx="323850" cy="229235"/>
        </a:xfrm>
        <a:prstGeom prst="rect">
          <a:avLst/>
        </a:prstGeom>
        <a:noFill/>
        <a:ln w="9525">
          <a:noFill/>
          <a:miter lim="800000"/>
        </a:ln>
      </xdr:spPr>
      <xdr:txBody>
        <a:bodyPr vertOverflow="clip" wrap="square" lIns="27432" tIns="27432" rIns="0" bIns="0" anchor="t" upright="1"/>
        <a:lstStyle/>
        <a:p>
          <a:pPr algn="l" rtl="0">
            <a:defRPr sz="1000"/>
          </a:pPr>
          <a:r>
            <a:rPr lang="en-US" sz="1100" b="0" i="0" strike="noStrike">
              <a:solidFill>
                <a:srgbClr val="000000"/>
              </a:solidFill>
              <a:latin typeface="Arial" panose="020B0604020202020204" pitchFamily="7" charset="0"/>
              <a:cs typeface="Arial" panose="020B0604020202020204" pitchFamily="7" charset="0"/>
            </a:rPr>
            <a:t>U</a:t>
          </a:r>
          <a:r>
            <a:rPr lang="en-US" sz="1100" b="0" i="0" strike="noStrike" baseline="-25000">
              <a:solidFill>
                <a:srgbClr val="000000"/>
              </a:solidFill>
              <a:latin typeface="Arial" panose="020B0604020202020204" pitchFamily="7" charset="0"/>
              <a:cs typeface="Arial" panose="020B0604020202020204" pitchFamily="7" charset="0"/>
            </a:rPr>
            <a:t>1</a:t>
          </a:r>
          <a:endParaRPr lang="en-US" sz="1100" b="0" i="0" strike="noStrike" baseline="-25000">
            <a:solidFill>
              <a:srgbClr val="000000"/>
            </a:solidFill>
            <a:latin typeface="Arial" panose="020B0604020202020204" pitchFamily="7" charset="0"/>
            <a:cs typeface="Arial" panose="020B0604020202020204" pitchFamily="7"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38</xdr:row>
          <xdr:rowOff>12700</xdr:rowOff>
        </xdr:from>
        <xdr:to>
          <xdr:col>6</xdr:col>
          <xdr:colOff>876300</xdr:colOff>
          <xdr:row>39</xdr:row>
          <xdr:rowOff>0</xdr:rowOff>
        </xdr:to>
        <xdr:sp>
          <xdr:nvSpPr>
            <xdr:cNvPr id="706028" name="Drop Down 1516" hidden="1">
              <a:extLst>
                <a:ext uri="{63B3BB69-23CF-44E3-9099-C40C66FF867C}">
                  <a14:compatExt spid="_x0000_s706028"/>
                </a:ext>
              </a:extLst>
            </xdr:cNvPr>
            <xdr:cNvSpPr/>
          </xdr:nvSpPr>
          <xdr:spPr>
            <a:xfrm>
              <a:off x="5968365" y="6898640"/>
              <a:ext cx="876300" cy="205105"/>
            </a:xfrm>
            <a:prstGeom prst="rect">
              <a:avLst/>
            </a:prstGeom>
          </xdr:spPr>
        </xdr:sp>
        <xdr:clientData/>
      </xdr:twoCellAnchor>
    </mc:Choice>
    <mc:Fallback/>
  </mc:AlternateContent>
  <xdr:twoCellAnchor>
    <xdr:from>
      <xdr:col>2</xdr:col>
      <xdr:colOff>834886</xdr:colOff>
      <xdr:row>13</xdr:row>
      <xdr:rowOff>59221</xdr:rowOff>
    </xdr:from>
    <xdr:to>
      <xdr:col>3</xdr:col>
      <xdr:colOff>756479</xdr:colOff>
      <xdr:row>15</xdr:row>
      <xdr:rowOff>123925</xdr:rowOff>
    </xdr:to>
    <xdr:sp textlink="'Variable Mgmt'!$P$15">
      <xdr:nvSpPr>
        <xdr:cNvPr id="49" name="Text Box 24"/>
        <xdr:cNvSpPr txBox="1">
          <a:spLocks noChangeArrowheads="1" noTextEdit="1"/>
        </xdr:cNvSpPr>
      </xdr:nvSpPr>
      <xdr:spPr>
        <a:xfrm>
          <a:off x="2301240" y="2122805"/>
          <a:ext cx="861695" cy="382270"/>
        </a:xfrm>
        <a:prstGeom prst="rect">
          <a:avLst/>
        </a:prstGeom>
        <a:solidFill>
          <a:srgbClr val="D1FFFF"/>
        </a:solidFill>
        <a:ln w="9525">
          <a:noFill/>
          <a:miter lim="800000"/>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fld id="{B1A5E21C-7C9A-4ABA-8141-466878755063}" type="TxLink">
            <a:rPr lang="en-US" sz="1200" b="1" i="0" u="none" strike="noStrike" baseline="0">
              <a:solidFill>
                <a:srgbClr val="FF0000"/>
              </a:solidFill>
              <a:latin typeface="Arial" panose="020B0604020202020204"/>
              <a:cs typeface="Arial" panose="020B0604020202020204"/>
            </a:rPr>
          </a:fld>
          <a:endParaRPr lang="en-US" sz="1200" b="1" i="0" u="none" strike="noStrike" baseline="0">
            <a:solidFill>
              <a:srgbClr val="FF0000"/>
            </a:solidFill>
            <a:latin typeface="Arial" panose="020B0604020202020204"/>
            <a:cs typeface="Arial" panose="020B0604020202020204"/>
          </a:endParaRPr>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542925</xdr:colOff>
      <xdr:row>7</xdr:row>
      <xdr:rowOff>38100</xdr:rowOff>
    </xdr:from>
    <xdr:to>
      <xdr:col>10</xdr:col>
      <xdr:colOff>419100</xdr:colOff>
      <xdr:row>62</xdr:row>
      <xdr:rowOff>107170</xdr:rowOff>
    </xdr:to>
    <xdr:pic>
      <xdr:nvPicPr>
        <xdr:cNvPr id="8" name="Picture 7"/>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542925" y="1685925"/>
          <a:ext cx="6289675" cy="8799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533400</xdr:colOff>
      <xdr:row>7</xdr:row>
      <xdr:rowOff>38100</xdr:rowOff>
    </xdr:from>
    <xdr:to>
      <xdr:col>21</xdr:col>
      <xdr:colOff>552450</xdr:colOff>
      <xdr:row>62</xdr:row>
      <xdr:rowOff>145539</xdr:rowOff>
    </xdr:to>
    <xdr:pic>
      <xdr:nvPicPr>
        <xdr:cNvPr id="10" name="Picture 9"/>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8229600" y="1685925"/>
          <a:ext cx="6432550" cy="8838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596588</xdr:colOff>
      <xdr:row>7</xdr:row>
      <xdr:rowOff>49787</xdr:rowOff>
    </xdr:from>
    <xdr:to>
      <xdr:col>35</xdr:col>
      <xdr:colOff>1651</xdr:colOff>
      <xdr:row>33</xdr:row>
      <xdr:rowOff>114300</xdr:rowOff>
    </xdr:to>
    <xdr:pic>
      <xdr:nvPicPr>
        <xdr:cNvPr id="4" name="Picture 3"/>
        <xdr:cNvPicPr>
          <a:picLocks noChangeAspect="1"/>
        </xdr:cNvPicPr>
      </xdr:nvPicPr>
      <xdr:blipFill>
        <a:blip r:embed="rId3"/>
        <a:stretch>
          <a:fillRect/>
        </a:stretch>
      </xdr:blipFill>
      <xdr:spPr>
        <a:xfrm>
          <a:off x="15988665" y="1697355"/>
          <a:ext cx="7101205" cy="4192270"/>
        </a:xfrm>
        <a:prstGeom prst="rect">
          <a:avLst/>
        </a:prstGeom>
      </xdr:spPr>
    </xdr:pic>
    <xdr:clientData/>
  </xdr:twoCellAnchor>
  <xdr:twoCellAnchor editAs="oneCell">
    <xdr:from>
      <xdr:col>23</xdr:col>
      <xdr:colOff>580605</xdr:colOff>
      <xdr:row>36</xdr:row>
      <xdr:rowOff>78361</xdr:rowOff>
    </xdr:from>
    <xdr:to>
      <xdr:col>34</xdr:col>
      <xdr:colOff>579190</xdr:colOff>
      <xdr:row>62</xdr:row>
      <xdr:rowOff>123824</xdr:rowOff>
    </xdr:to>
    <xdr:pic>
      <xdr:nvPicPr>
        <xdr:cNvPr id="5" name="Picture 4"/>
        <xdr:cNvPicPr>
          <a:picLocks noChangeAspect="1"/>
        </xdr:cNvPicPr>
      </xdr:nvPicPr>
      <xdr:blipFill>
        <a:blip r:embed="rId4"/>
        <a:stretch>
          <a:fillRect/>
        </a:stretch>
      </xdr:blipFill>
      <xdr:spPr>
        <a:xfrm>
          <a:off x="15972790" y="6329680"/>
          <a:ext cx="7053580" cy="417258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8</xdr:col>
      <xdr:colOff>266699</xdr:colOff>
      <xdr:row>17</xdr:row>
      <xdr:rowOff>76199</xdr:rowOff>
    </xdr:from>
    <xdr:to>
      <xdr:col>17</xdr:col>
      <xdr:colOff>742949</xdr:colOff>
      <xdr:row>46</xdr:row>
      <xdr:rowOff>19049</xdr:rowOff>
    </xdr:to>
    <xdr:graphicFrame>
      <xdr:nvGraphicFramePr>
        <xdr:cNvPr id="2" name="Chart 1029"/>
        <xdr:cNvGraphicFramePr/>
      </xdr:nvGraphicFramePr>
      <xdr:xfrm>
        <a:off x="6081395" y="2888615"/>
        <a:ext cx="7720965" cy="456565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127000</xdr:rowOff>
        </xdr:from>
        <xdr:to>
          <xdr:col>1</xdr:col>
          <xdr:colOff>393700</xdr:colOff>
          <xdr:row>4</xdr:row>
          <xdr:rowOff>38100</xdr:rowOff>
        </xdr:to>
        <xdr:sp>
          <xdr:nvSpPr>
            <xdr:cNvPr id="740353" name="Drop Down 1" hidden="1">
              <a:extLst>
                <a:ext uri="{63B3BB69-23CF-44E3-9099-C40C66FF867C}">
                  <a14:compatExt spid="_x0000_s740353"/>
                </a:ext>
              </a:extLst>
            </xdr:cNvPr>
            <xdr:cNvSpPr/>
          </xdr:nvSpPr>
          <xdr:spPr>
            <a:xfrm>
              <a:off x="38100" y="460375"/>
              <a:ext cx="1085850" cy="234950"/>
            </a:xfrm>
            <a:prstGeom prst="rect">
              <a:avLst/>
            </a:prstGeom>
          </xdr:spPr>
        </xdr:sp>
        <xdr:clientData fLocksWithSheet="0"/>
      </xdr:twoCellAnchor>
    </mc:Choice>
    <mc:Fallback/>
  </mc:AlternateContent>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8</xdr:col>
      <xdr:colOff>152400</xdr:colOff>
      <xdr:row>9</xdr:row>
      <xdr:rowOff>0</xdr:rowOff>
    </xdr:from>
    <xdr:to>
      <xdr:col>23</xdr:col>
      <xdr:colOff>38100</xdr:colOff>
      <xdr:row>40</xdr:row>
      <xdr:rowOff>1732</xdr:rowOff>
    </xdr:to>
    <xdr:graphicFrame>
      <xdr:nvGraphicFramePr>
        <xdr:cNvPr id="3" name="Chart 253"/>
        <xdr:cNvGraphicFramePr/>
      </xdr:nvGraphicFramePr>
      <xdr:xfrm>
        <a:off x="3168650" y="1863725"/>
        <a:ext cx="9079230" cy="49225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xdr:nvGraphicFramePr>
        <xdr:cNvPr id="4" name="Chart 253"/>
        <xdr:cNvGraphicFramePr/>
      </xdr:nvGraphicFramePr>
      <xdr:xfrm>
        <a:off x="3159125" y="6908800"/>
        <a:ext cx="9069705" cy="492252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73715</xdr:colOff>
      <xdr:row>72</xdr:row>
      <xdr:rowOff>142875</xdr:rowOff>
    </xdr:from>
    <xdr:to>
      <xdr:col>50</xdr:col>
      <xdr:colOff>197540</xdr:colOff>
      <xdr:row>103</xdr:row>
      <xdr:rowOff>150129</xdr:rowOff>
    </xdr:to>
    <xdr:graphicFrame>
      <xdr:nvGraphicFramePr>
        <xdr:cNvPr id="6" name="Chart 253"/>
        <xdr:cNvGraphicFramePr/>
      </xdr:nvGraphicFramePr>
      <xdr:xfrm>
        <a:off x="17344390" y="12007850"/>
        <a:ext cx="8371840" cy="497268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xdr:nvGraphicFramePr>
        <xdr:cNvPr id="7" name="Chart 253"/>
        <xdr:cNvGraphicFramePr/>
      </xdr:nvGraphicFramePr>
      <xdr:xfrm>
        <a:off x="15346680" y="1892300"/>
        <a:ext cx="8375015" cy="492252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xdr:nvGraphicFramePr>
        <xdr:cNvPr id="9" name="Chart 253"/>
        <xdr:cNvGraphicFramePr/>
      </xdr:nvGraphicFramePr>
      <xdr:xfrm>
        <a:off x="3175000" y="12005945"/>
        <a:ext cx="6904355" cy="4618355"/>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xdr:nvGraphicFramePr>
        <xdr:cNvPr id="8" name="Chart 253"/>
        <xdr:cNvGraphicFramePr/>
      </xdr:nvGraphicFramePr>
      <xdr:xfrm>
        <a:off x="10301605" y="12135485"/>
        <a:ext cx="6846570" cy="4608195"/>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10</xdr:col>
      <xdr:colOff>342900</xdr:colOff>
      <xdr:row>9</xdr:row>
      <xdr:rowOff>19050</xdr:rowOff>
    </xdr:from>
    <xdr:to>
      <xdr:col>27</xdr:col>
      <xdr:colOff>47625</xdr:colOff>
      <xdr:row>40</xdr:row>
      <xdr:rowOff>20782</xdr:rowOff>
    </xdr:to>
    <xdr:graphicFrame>
      <xdr:nvGraphicFramePr>
        <xdr:cNvPr id="2" name="Chart 253"/>
        <xdr:cNvGraphicFramePr/>
      </xdr:nvGraphicFramePr>
      <xdr:xfrm>
        <a:off x="4374515" y="1882775"/>
        <a:ext cx="10187940" cy="49225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xdr:nvGraphicFramePr>
        <xdr:cNvPr id="3" name="Chart 253"/>
        <xdr:cNvGraphicFramePr/>
      </xdr:nvGraphicFramePr>
      <xdr:xfrm>
        <a:off x="4384040" y="6943725"/>
        <a:ext cx="10187940" cy="492252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xdr:nvGraphicFramePr>
        <xdr:cNvPr id="4" name="Chart 253"/>
        <xdr:cNvGraphicFramePr/>
      </xdr:nvGraphicFramePr>
      <xdr:xfrm>
        <a:off x="14709140" y="6965315"/>
        <a:ext cx="9250680" cy="492315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xdr:nvGraphicFramePr>
        <xdr:cNvPr id="5" name="Chart 253"/>
        <xdr:cNvGraphicFramePr/>
      </xdr:nvGraphicFramePr>
      <xdr:xfrm>
        <a:off x="14743430" y="1892300"/>
        <a:ext cx="9111615" cy="492252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300471</xdr:colOff>
      <xdr:row>72</xdr:row>
      <xdr:rowOff>129021</xdr:rowOff>
    </xdr:from>
    <xdr:to>
      <xdr:col>23</xdr:col>
      <xdr:colOff>138546</xdr:colOff>
      <xdr:row>103</xdr:row>
      <xdr:rowOff>130753</xdr:rowOff>
    </xdr:to>
    <xdr:graphicFrame>
      <xdr:nvGraphicFramePr>
        <xdr:cNvPr id="6" name="Chart 253"/>
        <xdr:cNvGraphicFramePr/>
      </xdr:nvGraphicFramePr>
      <xdr:xfrm>
        <a:off x="2262505" y="11993880"/>
        <a:ext cx="10180955" cy="492252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19</xdr:col>
      <xdr:colOff>0</xdr:colOff>
      <xdr:row>12</xdr:row>
      <xdr:rowOff>0</xdr:rowOff>
    </xdr:from>
    <xdr:to>
      <xdr:col>33</xdr:col>
      <xdr:colOff>248709</xdr:colOff>
      <xdr:row>40</xdr:row>
      <xdr:rowOff>61288</xdr:rowOff>
    </xdr:to>
    <xdr:graphicFrame>
      <xdr:nvGraphicFramePr>
        <xdr:cNvPr id="2" name="Chart 2"/>
        <xdr:cNvGraphicFramePr/>
      </xdr:nvGraphicFramePr>
      <xdr:xfrm>
        <a:off x="13225780" y="2333625"/>
        <a:ext cx="9049385" cy="451231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0</xdr:col>
      <xdr:colOff>85725</xdr:colOff>
      <xdr:row>111</xdr:row>
      <xdr:rowOff>114300</xdr:rowOff>
    </xdr:from>
    <xdr:to>
      <xdr:col>20</xdr:col>
      <xdr:colOff>161925</xdr:colOff>
      <xdr:row>144</xdr:row>
      <xdr:rowOff>76200</xdr:rowOff>
    </xdr:to>
    <xdr:graphicFrame>
      <xdr:nvGraphicFramePr>
        <xdr:cNvPr id="3" name="Chart 31"/>
        <xdr:cNvGraphicFramePr/>
      </xdr:nvGraphicFramePr>
      <xdr:xfrm>
        <a:off x="85725" y="19119850"/>
        <a:ext cx="18294350" cy="522605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xdr:cNvPicPr>
          <a:picLocks noChangeAspect="1" noChangeArrowheads="1"/>
        </xdr:cNvPicPr>
      </xdr:nvPicPr>
      <xdr:blipFill>
        <a:blip r:embed="rId7" cstate="print"/>
        <a:srcRect/>
        <a:stretch>
          <a:fillRect/>
        </a:stretch>
      </xdr:blipFill>
      <xdr:spPr>
        <a:xfrm>
          <a:off x="5015865" y="793750"/>
          <a:ext cx="1666875" cy="44005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xdr:nvGraphicFramePr>
        <xdr:cNvPr id="8" name="Chart 31"/>
        <xdr:cNvGraphicFramePr/>
      </xdr:nvGraphicFramePr>
      <xdr:xfrm>
        <a:off x="95250" y="24980900"/>
        <a:ext cx="18810605" cy="520065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184150</xdr:colOff>
          <xdr:row>111</xdr:row>
          <xdr:rowOff>146050</xdr:rowOff>
        </xdr:from>
        <xdr:to>
          <xdr:col>36</xdr:col>
          <xdr:colOff>12700</xdr:colOff>
          <xdr:row>125</xdr:row>
          <xdr:rowOff>146050</xdr:rowOff>
        </xdr:to>
        <xdr:sp>
          <xdr:nvSpPr>
            <xdr:cNvPr id="683009" name="Object 1" hidden="1">
              <a:extLst>
                <a:ext uri="{63B3BB69-23CF-44E3-9099-C40C66FF867C}">
                  <a14:compatExt spid="_x0000_s683009"/>
                </a:ext>
              </a:extLst>
            </xdr:cNvPr>
            <xdr:cNvSpPr/>
          </xdr:nvSpPr>
          <xdr:spPr>
            <a:xfrm>
              <a:off x="19729450" y="19151600"/>
              <a:ext cx="8862695" cy="2247900"/>
            </a:xfrm>
            <a:prstGeom prst="rect">
              <a:avLst/>
            </a:prstGeom>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xdr:nvGraphicFramePr>
        <xdr:cNvPr id="13" name="Chart 31"/>
        <xdr:cNvGraphicFramePr/>
      </xdr:nvGraphicFramePr>
      <xdr:xfrm>
        <a:off x="392430" y="36148010"/>
        <a:ext cx="17753330" cy="507365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xdr:nvGraphicFramePr>
        <xdr:cNvPr id="16" name="Chart 253"/>
        <xdr:cNvGraphicFramePr/>
      </xdr:nvGraphicFramePr>
      <xdr:xfrm>
        <a:off x="1940560" y="41938575"/>
        <a:ext cx="10725150" cy="513715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xdr:nvGraphicFramePr>
        <xdr:cNvPr id="15" name="Chart 253"/>
        <xdr:cNvGraphicFramePr/>
      </xdr:nvGraphicFramePr>
      <xdr:xfrm>
        <a:off x="1933575" y="47355125"/>
        <a:ext cx="10725150" cy="513715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xdr:nvGraphicFramePr>
        <xdr:cNvPr id="17" name="Chart 31"/>
        <xdr:cNvGraphicFramePr/>
      </xdr:nvGraphicFramePr>
      <xdr:xfrm>
        <a:off x="95250" y="30402530"/>
        <a:ext cx="18830290" cy="520065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0.16877</cdr:x>
      <cdr:y>0.12917</cdr:y>
    </cdr:from>
    <cdr:to>
      <cdr:x>0.23482</cdr:x>
      <cdr:y>0.16636</cdr:y>
    </cdr:to>
    <cdr:sp textlink="'Variable Mgmt'!$B$264">
      <cdr:nvSpPr>
        <cdr:cNvPr id="2" name="矩形 1"/>
        <cdr:cNvSpPr/>
      </cdr:nvSpPr>
      <cdr:spPr xmlns:a="http://schemas.openxmlformats.org/drawingml/2006/main">
        <a:xfrm xmlns:a="http://schemas.openxmlformats.org/drawingml/2006/main">
          <a:off x="1403360" y="665601"/>
          <a:ext cx="549265" cy="191650"/>
        </a:xfrm>
        <a:prstGeom xmlns:a="http://schemas.openxmlformats.org/drawingml/2006/main" prst="rect">
          <a:avLst/>
        </a:prstGeom>
        <a:noFill/>
        <a:ln w="9525">
          <a:noFill/>
          <a:miter lim="800000"/>
        </a:ln>
      </cdr:spPr>
      <cdr:txBody xmlns:a="http://schemas.openxmlformats.org/drawingml/2006/main">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FB7B9190-533F-41A0-B9F6-41424F4E3D27}" type="TxLink">
            <a:rPr lang="en-US" sz="1100" b="0" i="0" u="none" strike="noStrike" baseline="0">
              <a:solidFill>
                <a:srgbClr val="000000"/>
              </a:solidFill>
              <a:latin typeface="Arial" panose="020B0604020202020204"/>
              <a:cs typeface="Arial" panose="020B0604020202020204"/>
            </a:rPr>
          </a:fld>
          <a:endParaRPr lang="en-US" sz="1100" b="0" i="0" u="none" strike="noStrike" baseline="0">
            <a:solidFill>
              <a:srgbClr val="000000"/>
            </a:solidFill>
            <a:latin typeface="Arial" panose="020B0604020202020204"/>
            <a:cs typeface="Arial" panose="020B0604020202020204"/>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ln>
      </a:spPr>
      <a:bodyPr vertOverflow="clip" wrap="square" lIns="27432" tIns="27432" rIns="0" bIns="0" anchor="t" upright="1"/>
      <a:lstStyle>
        <a:defPPr algn="l" rtl="0">
          <a:defRPr sz="1100" b="0" i="0" strike="noStrike">
            <a:solidFill>
              <a:srgbClr val="000000"/>
            </a:solidFill>
            <a:latin typeface="Calibri" panose="020F0502020204030204"/>
          </a:defRPr>
        </a:defPPr>
      </a:lstStyle>
    </a:txDef>
  </a:objectDefaults>
</a:theme>
</file>

<file path=xl/worksheets/_rels/sheet1.xml.rels><?xml version="1.0" encoding="UTF-8" standalone="yes"?>
<Relationships xmlns="http://schemas.openxmlformats.org/package/2006/relationships"><Relationship Id="rId9" Type="http://schemas.openxmlformats.org/officeDocument/2006/relationships/ctrlProp" Target="../ctrlProps/ctrlProp6.xml"/><Relationship Id="rId8" Type="http://schemas.openxmlformats.org/officeDocument/2006/relationships/ctrlProp" Target="../ctrlProps/ctrlProp5.xml"/><Relationship Id="rId7" Type="http://schemas.openxmlformats.org/officeDocument/2006/relationships/ctrlProp" Target="../ctrlProps/ctrlProp4.xml"/><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3" Type="http://schemas.openxmlformats.org/officeDocument/2006/relationships/vmlDrawing" Target="../drawings/vmlDrawing1.vml"/><Relationship Id="rId2" Type="http://schemas.openxmlformats.org/officeDocument/2006/relationships/drawing" Target="../drawings/drawing1.xml"/><Relationship Id="rId13" Type="http://schemas.openxmlformats.org/officeDocument/2006/relationships/hyperlink" Target="http://www.ti.com/widevin" TargetMode="External"/><Relationship Id="rId12" Type="http://schemas.openxmlformats.org/officeDocument/2006/relationships/vmlDrawing" Target="../drawings/vmlDrawing2.vml"/><Relationship Id="rId11" Type="http://schemas.openxmlformats.org/officeDocument/2006/relationships/ctrlProp" Target="../ctrlProps/ctrlProp8.xml"/><Relationship Id="rId10" Type="http://schemas.openxmlformats.org/officeDocument/2006/relationships/ctrlProp" Target="../ctrlProps/ctrlProp7.xml"/><Relationship Id="rId1"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drawing" Target="../drawings/drawing1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9" Type="http://schemas.openxmlformats.org/officeDocument/2006/relationships/ctrlProp" Target="../ctrlProps/ctrlProp15.xml"/><Relationship Id="rId8" Type="http://schemas.openxmlformats.org/officeDocument/2006/relationships/ctrlProp" Target="../ctrlProps/ctrlProp14.xml"/><Relationship Id="rId7" Type="http://schemas.openxmlformats.org/officeDocument/2006/relationships/ctrlProp" Target="../ctrlProps/ctrlProp13.xm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 Id="rId3" Type="http://schemas.openxmlformats.org/officeDocument/2006/relationships/ctrlProp" Target="../ctrlProps/ctrlProp9.xml"/><Relationship Id="rId2" Type="http://schemas.openxmlformats.org/officeDocument/2006/relationships/vmlDrawing" Target="../drawings/vmlDrawing3.vml"/><Relationship Id="rId17" Type="http://schemas.openxmlformats.org/officeDocument/2006/relationships/ctrlProp" Target="../ctrlProps/ctrlProp23.xml"/><Relationship Id="rId16" Type="http://schemas.openxmlformats.org/officeDocument/2006/relationships/ctrlProp" Target="../ctrlProps/ctrlProp22.xml"/><Relationship Id="rId15" Type="http://schemas.openxmlformats.org/officeDocument/2006/relationships/ctrlProp" Target="../ctrlProps/ctrlProp21.xml"/><Relationship Id="rId14" Type="http://schemas.openxmlformats.org/officeDocument/2006/relationships/ctrlProp" Target="../ctrlProps/ctrlProp20.xml"/><Relationship Id="rId13" Type="http://schemas.openxmlformats.org/officeDocument/2006/relationships/ctrlProp" Target="../ctrlProps/ctrlProp19.xml"/><Relationship Id="rId12" Type="http://schemas.openxmlformats.org/officeDocument/2006/relationships/ctrlProp" Target="../ctrlProps/ctrlProp18.xml"/><Relationship Id="rId11" Type="http://schemas.openxmlformats.org/officeDocument/2006/relationships/ctrlProp" Target="../ctrlProps/ctrlProp17.xml"/><Relationship Id="rId10" Type="http://schemas.openxmlformats.org/officeDocument/2006/relationships/ctrlProp" Target="../ctrlProps/ctrlProp16.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2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5" Type="http://schemas.openxmlformats.org/officeDocument/2006/relationships/image" Target="../media/image14.emf"/><Relationship Id="rId4" Type="http://schemas.openxmlformats.org/officeDocument/2006/relationships/oleObject" Target="../embeddings/Microsoft_Visio_2003-2010___1.vsd"/><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AI68"/>
  <sheetViews>
    <sheetView tabSelected="1" zoomScale="70" zoomScaleNormal="70" zoomScaleSheetLayoutView="70" workbookViewId="0">
      <selection activeCell="L22" sqref="L22"/>
    </sheetView>
  </sheetViews>
  <sheetFormatPr defaultColWidth="9.18181818181818" defaultRowHeight="13"/>
  <cols>
    <col min="1" max="1" width="8.26363636363636" style="622" customWidth="1"/>
    <col min="2" max="2" width="8.26363636363636" style="623" customWidth="1"/>
    <col min="3" max="3" width="13.5454545454545" style="623" customWidth="1"/>
    <col min="4" max="4" width="9.81818181818182" style="623" customWidth="1"/>
    <col min="5" max="5" width="9.18181818181818" style="623" customWidth="1"/>
    <col min="6" max="6" width="8.72727272727273" style="623" customWidth="1"/>
    <col min="7" max="7" width="2.72727272727273" style="623" customWidth="1"/>
    <col min="8" max="9" width="8.26363636363636" style="623" customWidth="1"/>
    <col min="10" max="10" width="13.7272727272727" style="623" customWidth="1"/>
    <col min="11" max="11" width="10" style="623" customWidth="1"/>
    <col min="12" max="12" width="9.45454545454546" style="623" customWidth="1"/>
    <col min="13" max="13" width="8.72727272727273" style="623" customWidth="1"/>
    <col min="14" max="15" width="9.18181818181818" style="623"/>
    <col min="16" max="18" width="10.1818181818182" style="623" customWidth="1"/>
    <col min="19" max="19" width="10" style="623" customWidth="1"/>
    <col min="20" max="25" width="9.18181818181818" style="623"/>
    <col min="26" max="26" width="29" style="623" customWidth="1"/>
    <col min="27" max="27" width="3.18181818181818" style="623" customWidth="1"/>
    <col min="28" max="16384" width="9.18181818181818" style="623"/>
  </cols>
  <sheetData>
    <row r="1" ht="47.25" customHeight="1" spans="1:27">
      <c r="A1" s="624" t="s">
        <v>0</v>
      </c>
      <c r="B1" s="625"/>
      <c r="C1" s="625"/>
      <c r="D1" s="625"/>
      <c r="E1" s="625"/>
      <c r="F1" s="625"/>
      <c r="G1" s="625"/>
      <c r="H1" s="625"/>
      <c r="I1" s="625"/>
      <c r="J1" s="625"/>
      <c r="K1" s="625"/>
      <c r="L1" s="625"/>
      <c r="M1" s="625"/>
      <c r="N1" s="625"/>
      <c r="O1" s="625"/>
      <c r="P1" s="625"/>
      <c r="Q1" s="625"/>
      <c r="R1" s="802"/>
      <c r="S1" s="802"/>
      <c r="T1" s="802"/>
      <c r="U1" s="802"/>
      <c r="V1" s="759"/>
      <c r="W1" s="759"/>
      <c r="X1" s="759"/>
      <c r="Y1" s="759"/>
      <c r="Z1" s="759"/>
      <c r="AA1" s="759"/>
    </row>
    <row r="2" ht="14.15" customHeight="1" spans="1:27">
      <c r="A2" s="626"/>
      <c r="B2" s="627"/>
      <c r="C2" s="627"/>
      <c r="D2" s="627"/>
      <c r="E2" s="627"/>
      <c r="F2" s="627"/>
      <c r="G2" s="627"/>
      <c r="H2" s="627"/>
      <c r="I2" s="627"/>
      <c r="J2" s="627"/>
      <c r="K2" s="627"/>
      <c r="L2" s="627"/>
      <c r="M2" s="627"/>
      <c r="N2" s="627"/>
      <c r="O2" s="761"/>
      <c r="P2" s="627"/>
      <c r="Q2" s="627"/>
      <c r="R2" s="764"/>
      <c r="S2" s="765"/>
      <c r="T2" s="765"/>
      <c r="U2" s="765"/>
      <c r="V2" s="765"/>
      <c r="W2" s="765"/>
      <c r="X2" s="765"/>
      <c r="Y2" s="765"/>
      <c r="Z2" s="765"/>
      <c r="AA2" s="765"/>
    </row>
    <row r="3" ht="16" customHeight="1" spans="1:27">
      <c r="A3" s="628" t="s">
        <v>1</v>
      </c>
      <c r="B3" s="629"/>
      <c r="C3" s="630" t="s">
        <v>2</v>
      </c>
      <c r="D3" s="631"/>
      <c r="E3" s="632"/>
      <c r="F3" s="808" t="s">
        <v>3</v>
      </c>
      <c r="G3" s="634"/>
      <c r="H3" s="627"/>
      <c r="I3" s="627"/>
      <c r="J3" s="634"/>
      <c r="K3" s="762"/>
      <c r="L3" s="763"/>
      <c r="M3" s="764"/>
      <c r="N3" s="764"/>
      <c r="O3" s="765"/>
      <c r="P3" s="766"/>
      <c r="Q3" s="764" t="s">
        <v>4</v>
      </c>
      <c r="R3" s="764"/>
      <c r="S3" s="765"/>
      <c r="T3" s="765"/>
      <c r="U3" s="803" t="s">
        <v>5</v>
      </c>
      <c r="V3" s="765"/>
      <c r="W3" s="765"/>
      <c r="X3" s="765"/>
      <c r="Y3" s="765"/>
      <c r="Z3" s="765"/>
      <c r="AA3" s="765"/>
    </row>
    <row r="4" ht="14.15" customHeight="1" spans="1:27">
      <c r="A4" s="635"/>
      <c r="B4" s="636"/>
      <c r="C4" s="637"/>
      <c r="D4" s="637"/>
      <c r="E4" s="637"/>
      <c r="F4" s="637"/>
      <c r="G4" s="637"/>
      <c r="H4" s="637"/>
      <c r="I4" s="637"/>
      <c r="J4" s="637"/>
      <c r="K4" s="637"/>
      <c r="L4" s="637"/>
      <c r="M4" s="767"/>
      <c r="N4" s="767"/>
      <c r="O4" s="767"/>
      <c r="P4" s="767"/>
      <c r="Q4" s="767"/>
      <c r="R4" s="764"/>
      <c r="S4" s="765"/>
      <c r="T4" s="765"/>
      <c r="U4" s="765"/>
      <c r="V4" s="765"/>
      <c r="W4" s="765"/>
      <c r="X4" s="765"/>
      <c r="Y4" s="765"/>
      <c r="Z4" s="765"/>
      <c r="AA4" s="765"/>
    </row>
    <row r="5" ht="19.5" customHeight="1" spans="1:27">
      <c r="A5" s="638" t="s">
        <v>6</v>
      </c>
      <c r="B5" s="639"/>
      <c r="C5" s="640"/>
      <c r="D5" s="640"/>
      <c r="E5" s="641"/>
      <c r="F5" s="640"/>
      <c r="G5" s="642"/>
      <c r="H5" s="643" t="s">
        <v>7</v>
      </c>
      <c r="I5" s="669"/>
      <c r="J5" s="670"/>
      <c r="K5" s="670"/>
      <c r="L5" s="671"/>
      <c r="M5" s="768"/>
      <c r="N5" s="769"/>
      <c r="O5" s="769"/>
      <c r="P5" s="769"/>
      <c r="Q5" s="769"/>
      <c r="R5" s="726"/>
      <c r="S5" s="726"/>
      <c r="T5" s="726"/>
      <c r="U5" s="726"/>
      <c r="V5" s="726"/>
      <c r="W5" s="726"/>
      <c r="X5" s="726"/>
      <c r="Y5" s="726"/>
      <c r="Z5" s="806"/>
      <c r="AA5" s="765"/>
    </row>
    <row r="6" ht="15.75" customHeight="1" spans="1:27">
      <c r="A6" s="644"/>
      <c r="B6" s="645"/>
      <c r="C6" s="646"/>
      <c r="D6" s="647" t="s">
        <v>8</v>
      </c>
      <c r="E6" s="648">
        <v>10</v>
      </c>
      <c r="F6" s="649" t="s">
        <v>9</v>
      </c>
      <c r="G6" s="650"/>
      <c r="H6" s="644"/>
      <c r="I6" s="645"/>
      <c r="J6" s="646"/>
      <c r="K6" s="695" t="s">
        <v>10</v>
      </c>
      <c r="L6" s="770">
        <f>Lmin</f>
        <v>18.4092</v>
      </c>
      <c r="M6" s="771" t="s">
        <v>11</v>
      </c>
      <c r="N6" s="769"/>
      <c r="O6" s="769"/>
      <c r="P6" s="769"/>
      <c r="Q6" s="769"/>
      <c r="R6" s="530"/>
      <c r="S6" s="530"/>
      <c r="T6" s="525"/>
      <c r="U6" s="525"/>
      <c r="V6" s="525"/>
      <c r="W6" s="525"/>
      <c r="X6" s="525"/>
      <c r="Y6" s="525"/>
      <c r="Z6" s="807"/>
      <c r="AA6" s="765"/>
    </row>
    <row r="7" ht="14.25" customHeight="1" spans="1:27">
      <c r="A7" s="651"/>
      <c r="B7" s="652"/>
      <c r="C7" s="653"/>
      <c r="D7" s="654" t="s">
        <v>12</v>
      </c>
      <c r="E7" s="655">
        <v>12</v>
      </c>
      <c r="F7" s="656" t="s">
        <v>9</v>
      </c>
      <c r="G7" s="650"/>
      <c r="H7" s="657"/>
      <c r="I7" s="680"/>
      <c r="J7" s="702"/>
      <c r="K7" s="682" t="s">
        <v>13</v>
      </c>
      <c r="L7" s="655">
        <v>25</v>
      </c>
      <c r="M7" s="656" t="s">
        <v>11</v>
      </c>
      <c r="N7" s="769"/>
      <c r="O7" s="769"/>
      <c r="P7" s="769"/>
      <c r="Q7" s="769"/>
      <c r="R7" s="530"/>
      <c r="S7" s="530"/>
      <c r="T7" s="525"/>
      <c r="U7" s="525"/>
      <c r="V7" s="525"/>
      <c r="W7" s="525"/>
      <c r="X7" s="525"/>
      <c r="Y7" s="525"/>
      <c r="Z7" s="807"/>
      <c r="AA7" s="765"/>
    </row>
    <row r="8" ht="15.75" customHeight="1" spans="1:27">
      <c r="A8" s="651"/>
      <c r="B8" s="652"/>
      <c r="C8" s="653"/>
      <c r="D8" s="654" t="s">
        <v>14</v>
      </c>
      <c r="E8" s="655">
        <v>14</v>
      </c>
      <c r="F8" s="656" t="s">
        <v>9</v>
      </c>
      <c r="G8" s="650"/>
      <c r="H8" s="657"/>
      <c r="I8" s="680"/>
      <c r="J8" s="702"/>
      <c r="K8" s="682" t="s">
        <v>15</v>
      </c>
      <c r="L8" s="655">
        <v>41</v>
      </c>
      <c r="M8" s="656" t="s">
        <v>16</v>
      </c>
      <c r="N8" s="769"/>
      <c r="O8" s="769"/>
      <c r="P8" s="769"/>
      <c r="Q8" s="769"/>
      <c r="R8" s="530"/>
      <c r="S8" s="530"/>
      <c r="T8" s="525"/>
      <c r="U8" s="525"/>
      <c r="V8" s="525"/>
      <c r="W8" s="525"/>
      <c r="X8" s="525"/>
      <c r="Y8" s="525"/>
      <c r="Z8" s="807"/>
      <c r="AA8" s="765"/>
    </row>
    <row r="9" ht="15.75" customHeight="1" spans="1:27">
      <c r="A9" s="651"/>
      <c r="B9" s="652"/>
      <c r="C9" s="653"/>
      <c r="D9" s="654" t="s">
        <v>17</v>
      </c>
      <c r="E9" s="658"/>
      <c r="F9" s="659"/>
      <c r="G9" s="650"/>
      <c r="H9" s="657"/>
      <c r="I9" s="680"/>
      <c r="J9" s="702"/>
      <c r="K9" s="682" t="str">
        <f>CHOOSE(MODE,"Secondary Winding DCR","Secondary Winding #1 DCR")</f>
        <v>Secondary Winding #1 DCR</v>
      </c>
      <c r="L9" s="655">
        <v>100</v>
      </c>
      <c r="M9" s="656" t="s">
        <v>16</v>
      </c>
      <c r="N9" s="769"/>
      <c r="O9" s="769"/>
      <c r="P9" s="769"/>
      <c r="Q9" s="769"/>
      <c r="R9" s="530"/>
      <c r="S9" s="530"/>
      <c r="T9" s="525"/>
      <c r="U9" s="525"/>
      <c r="V9" s="525"/>
      <c r="W9" s="525"/>
      <c r="X9" s="525"/>
      <c r="Y9" s="525"/>
      <c r="Z9" s="807"/>
      <c r="AA9" s="765"/>
    </row>
    <row r="10" ht="15.75" customHeight="1" spans="1:27">
      <c r="A10" s="651"/>
      <c r="B10" s="652"/>
      <c r="C10" s="653"/>
      <c r="D10" s="654" t="str">
        <f>CHOOSE(MODE,"Output Voltage, VOUT ","Output Voltage, VOUT1")</f>
        <v>Output Voltage, VOUT1</v>
      </c>
      <c r="E10" s="655">
        <v>18</v>
      </c>
      <c r="F10" s="656" t="s">
        <v>9</v>
      </c>
      <c r="G10" s="650"/>
      <c r="H10" s="657"/>
      <c r="I10" s="680"/>
      <c r="J10" s="702"/>
      <c r="K10" s="682" t="str">
        <f>CHOOSE(MODE,"","Secondary Winding #2 DCR")</f>
        <v>Secondary Winding #2 DCR</v>
      </c>
      <c r="L10" s="655">
        <v>70</v>
      </c>
      <c r="M10" s="656" t="str">
        <f>CHOOSE(MODE,"","mΩ")</f>
        <v>mΩ</v>
      </c>
      <c r="N10" s="769"/>
      <c r="O10" s="769"/>
      <c r="P10" s="769"/>
      <c r="Q10" s="769"/>
      <c r="R10" s="530"/>
      <c r="S10" s="530"/>
      <c r="T10" s="525"/>
      <c r="U10" s="525"/>
      <c r="V10" s="525"/>
      <c r="W10" s="525"/>
      <c r="X10" s="525"/>
      <c r="Y10" s="525"/>
      <c r="Z10" s="807"/>
      <c r="AA10" s="765"/>
    </row>
    <row r="11" ht="15.75" customHeight="1" spans="1:27">
      <c r="A11" s="660"/>
      <c r="B11" s="661"/>
      <c r="C11" s="662"/>
      <c r="D11" s="663" t="str">
        <f>CHOOSE(MODE,"Rated Output Current, IOUT ","Rated Output Current, IOUT1")</f>
        <v>Rated Output Current, IOUT1</v>
      </c>
      <c r="E11" s="664">
        <v>0.5</v>
      </c>
      <c r="F11" s="665" t="s">
        <v>18</v>
      </c>
      <c r="G11" s="650"/>
      <c r="H11" s="657"/>
      <c r="I11" s="525"/>
      <c r="J11" s="525"/>
      <c r="K11" s="682" t="s">
        <v>19</v>
      </c>
      <c r="L11" s="655">
        <v>80</v>
      </c>
      <c r="M11" s="656" t="s">
        <v>20</v>
      </c>
      <c r="N11" s="769"/>
      <c r="O11" s="769"/>
      <c r="P11" s="769"/>
      <c r="Q11" s="769"/>
      <c r="R11" s="530"/>
      <c r="S11" s="530"/>
      <c r="T11" s="525"/>
      <c r="U11" s="525"/>
      <c r="V11" s="525"/>
      <c r="W11" s="525"/>
      <c r="X11" s="525"/>
      <c r="Y11" s="525"/>
      <c r="Z11" s="807"/>
      <c r="AA11" s="765"/>
    </row>
    <row r="12" ht="15.75" customHeight="1" spans="1:27">
      <c r="A12" s="525"/>
      <c r="B12" s="525"/>
      <c r="C12" s="525"/>
      <c r="D12" s="654" t="str">
        <f>CHOOSE(MODE,"","Output Voltage, VOUT2")</f>
        <v>Output Voltage, VOUT2</v>
      </c>
      <c r="E12" s="655">
        <v>-5</v>
      </c>
      <c r="F12" s="656" t="str">
        <f>CHOOSE(MODE,"","V","V")</f>
        <v>V</v>
      </c>
      <c r="G12" s="650"/>
      <c r="H12" s="657"/>
      <c r="I12" s="680"/>
      <c r="J12" s="702"/>
      <c r="K12" s="711" t="str">
        <f>IF(MODE=1,"Transformer Turns Ratio, Pri : Sec","Turns Ratio, PRI : SEC1")</f>
        <v>Turns Ratio, PRI : SEC1</v>
      </c>
      <c r="L12" s="772"/>
      <c r="M12" s="773"/>
      <c r="N12" s="769"/>
      <c r="O12" s="769"/>
      <c r="P12" s="769"/>
      <c r="Q12" s="769"/>
      <c r="R12" s="530"/>
      <c r="S12" s="530"/>
      <c r="T12" s="525"/>
      <c r="U12" s="525"/>
      <c r="V12" s="525"/>
      <c r="W12" s="525"/>
      <c r="X12" s="525"/>
      <c r="Y12" s="525"/>
      <c r="Z12" s="807"/>
      <c r="AA12" s="765"/>
    </row>
    <row r="13" ht="15.75" customHeight="1" spans="1:27">
      <c r="A13" s="660"/>
      <c r="B13" s="661"/>
      <c r="C13" s="662"/>
      <c r="D13" s="663" t="str">
        <f>CHOOSE(MODE,"","Rated Output Current, IOUT2")</f>
        <v>Rated Output Current, IOUT2</v>
      </c>
      <c r="E13" s="664">
        <v>-0.4</v>
      </c>
      <c r="F13" s="656" t="str">
        <f>CHOOSE(MODE,"","A","A")</f>
        <v>A</v>
      </c>
      <c r="G13" s="650"/>
      <c r="H13" s="651"/>
      <c r="I13" s="652"/>
      <c r="J13" s="653"/>
      <c r="K13" s="702" t="str">
        <f>CHOOSE(MODE,"SW Voltage at VIN(max) - Spike Not Included","Turns Ratio, SEC2 : SEC1")</f>
        <v>Turns Ratio, SEC2 : SEC1</v>
      </c>
      <c r="L13" s="774">
        <f>CHOOSE(MODE,ROUND('Variable Mgmt'!B50,0),ROUND(Nsec1sec2,2))</f>
        <v>0.29</v>
      </c>
      <c r="M13" s="773" t="str">
        <f>CHOOSE(MODE,"V","")</f>
        <v/>
      </c>
      <c r="N13" s="769"/>
      <c r="O13" s="769"/>
      <c r="P13" s="769"/>
      <c r="Q13" s="769"/>
      <c r="R13" s="530"/>
      <c r="S13" s="530"/>
      <c r="T13" s="525"/>
      <c r="U13" s="525"/>
      <c r="V13" s="525"/>
      <c r="W13" s="525"/>
      <c r="X13" s="525"/>
      <c r="Y13" s="525"/>
      <c r="Z13" s="807"/>
      <c r="AA13" s="765"/>
    </row>
    <row r="14" ht="15.75" customHeight="1" spans="1:27">
      <c r="A14" s="651"/>
      <c r="B14" s="652"/>
      <c r="C14" s="653"/>
      <c r="D14" s="654"/>
      <c r="E14" s="525"/>
      <c r="F14" s="666"/>
      <c r="G14" s="650"/>
      <c r="H14" s="651"/>
      <c r="I14" s="652"/>
      <c r="J14" s="653"/>
      <c r="K14" s="775" t="str">
        <f>IF(L13&gt;Vsw_max/1.05,"Select a smaller turns ratio!","")</f>
        <v/>
      </c>
      <c r="L14" s="774"/>
      <c r="M14" s="773"/>
      <c r="N14" s="769"/>
      <c r="O14" s="769"/>
      <c r="P14" s="769"/>
      <c r="Q14" s="769"/>
      <c r="R14" s="530"/>
      <c r="S14" s="530"/>
      <c r="T14" s="525"/>
      <c r="U14" s="525"/>
      <c r="V14" s="525"/>
      <c r="W14" s="525"/>
      <c r="X14" s="525"/>
      <c r="Y14" s="525"/>
      <c r="Z14" s="807"/>
      <c r="AA14" s="765"/>
    </row>
    <row r="15" ht="15.75" customHeight="1" spans="1:27">
      <c r="A15" s="667"/>
      <c r="B15" s="525"/>
      <c r="C15" s="525"/>
      <c r="D15" s="525"/>
      <c r="E15" s="525"/>
      <c r="F15" s="666"/>
      <c r="G15" s="668"/>
      <c r="H15" s="651"/>
      <c r="I15" s="652"/>
      <c r="J15" s="776"/>
      <c r="K15" s="702" t="str">
        <f>CHOOSE(MODE,"Max Output Current at VIN(min)","Max Output Power at VIN(min)")</f>
        <v>Max Output Power at VIN(min)</v>
      </c>
      <c r="L15" s="777">
        <f>CHOOSE(MODE,'Variable Mgmt'!B46,'Variable Mgmt'!B45)</f>
        <v>3.71939765094645</v>
      </c>
      <c r="M15" s="778" t="str">
        <f>CHOOSE(MODE,"A","W")</f>
        <v>W</v>
      </c>
      <c r="N15" s="769"/>
      <c r="O15" s="769"/>
      <c r="P15" s="769"/>
      <c r="Q15" s="769"/>
      <c r="R15" s="530"/>
      <c r="S15" s="530"/>
      <c r="T15" s="525"/>
      <c r="U15" s="525"/>
      <c r="V15" s="525"/>
      <c r="W15" s="525"/>
      <c r="X15" s="525"/>
      <c r="Y15" s="525"/>
      <c r="Z15" s="807"/>
      <c r="AA15" s="765"/>
    </row>
    <row r="16" ht="16.5" customHeight="1" spans="1:27">
      <c r="A16" s="638" t="s">
        <v>21</v>
      </c>
      <c r="B16" s="669"/>
      <c r="C16" s="670"/>
      <c r="D16" s="670"/>
      <c r="E16" s="671"/>
      <c r="F16" s="670"/>
      <c r="G16" s="650"/>
      <c r="H16" s="672"/>
      <c r="I16" s="769"/>
      <c r="J16" s="769"/>
      <c r="K16" s="691" t="s">
        <v>22</v>
      </c>
      <c r="L16" s="779">
        <f>Don_Vinmin*100</f>
        <v>55.5942181895852</v>
      </c>
      <c r="M16" s="778" t="s">
        <v>23</v>
      </c>
      <c r="N16" s="769"/>
      <c r="O16" s="769"/>
      <c r="P16" s="769"/>
      <c r="Q16" s="769"/>
      <c r="R16" s="530"/>
      <c r="S16" s="530"/>
      <c r="T16" s="525"/>
      <c r="U16" s="525"/>
      <c r="V16" s="525"/>
      <c r="W16" s="525"/>
      <c r="X16" s="525"/>
      <c r="Y16" s="525"/>
      <c r="Z16" s="807"/>
      <c r="AA16" s="765"/>
    </row>
    <row r="17" ht="15.75" customHeight="1" spans="1:27">
      <c r="A17" s="673"/>
      <c r="B17" s="674"/>
      <c r="C17" s="675"/>
      <c r="D17" s="646" t="s">
        <v>24</v>
      </c>
      <c r="E17" s="676">
        <f>'Variable Mgmt'!B127</f>
        <v>37.6172539672949</v>
      </c>
      <c r="F17" s="677" t="s">
        <v>25</v>
      </c>
      <c r="G17" s="650"/>
      <c r="H17" s="678"/>
      <c r="I17" s="678"/>
      <c r="J17" s="678"/>
      <c r="K17" s="780" t="s">
        <v>26</v>
      </c>
      <c r="L17" s="781">
        <v>36.4819009993874</v>
      </c>
      <c r="M17" s="675" t="s">
        <v>27</v>
      </c>
      <c r="N17" s="769"/>
      <c r="O17" s="769"/>
      <c r="P17" s="769"/>
      <c r="Q17" s="769"/>
      <c r="R17" s="530"/>
      <c r="S17" s="530"/>
      <c r="T17" s="525"/>
      <c r="U17" s="525"/>
      <c r="V17" s="525"/>
      <c r="W17" s="525"/>
      <c r="X17" s="525"/>
      <c r="Y17" s="525"/>
      <c r="Z17" s="807"/>
      <c r="AA17" s="765"/>
    </row>
    <row r="18" ht="15.75" customHeight="1" spans="1:27">
      <c r="A18" s="679"/>
      <c r="B18" s="680"/>
      <c r="C18" s="681"/>
      <c r="D18" s="682" t="s">
        <v>28</v>
      </c>
      <c r="E18" s="683">
        <v>100</v>
      </c>
      <c r="F18" s="684" t="s">
        <v>25</v>
      </c>
      <c r="G18" s="650"/>
      <c r="H18" s="680"/>
      <c r="I18" s="769"/>
      <c r="J18" s="769"/>
      <c r="K18" s="780"/>
      <c r="L18" s="781">
        <v>22.3790488732201</v>
      </c>
      <c r="M18" s="680" t="s">
        <v>27</v>
      </c>
      <c r="N18" s="769"/>
      <c r="O18" s="769"/>
      <c r="P18" s="769"/>
      <c r="Q18" s="769"/>
      <c r="R18" s="530"/>
      <c r="S18" s="530"/>
      <c r="T18" s="525"/>
      <c r="U18" s="525"/>
      <c r="V18" s="525"/>
      <c r="W18" s="525"/>
      <c r="X18" s="525"/>
      <c r="Y18" s="525"/>
      <c r="Z18" s="807"/>
      <c r="AA18" s="765"/>
    </row>
    <row r="19" ht="15.75" customHeight="1" spans="1:27">
      <c r="A19" s="679"/>
      <c r="B19" s="680"/>
      <c r="C19" s="685"/>
      <c r="D19" s="654" t="s">
        <v>29</v>
      </c>
      <c r="E19" s="686">
        <v>3</v>
      </c>
      <c r="F19" s="687" t="s">
        <v>16</v>
      </c>
      <c r="G19" s="650"/>
      <c r="H19" s="680"/>
      <c r="I19" s="769"/>
      <c r="J19" s="769"/>
      <c r="K19" s="780" t="s">
        <v>30</v>
      </c>
      <c r="L19" s="782">
        <f>'Calculations - Single'!U105</f>
        <v>1.5</v>
      </c>
      <c r="M19" s="680" t="s">
        <v>18</v>
      </c>
      <c r="N19" s="769"/>
      <c r="O19" s="769"/>
      <c r="P19" s="769"/>
      <c r="Q19" s="769"/>
      <c r="R19" s="530"/>
      <c r="S19" s="530"/>
      <c r="T19" s="525"/>
      <c r="U19" s="525"/>
      <c r="V19" s="525"/>
      <c r="W19" s="525"/>
      <c r="X19" s="525"/>
      <c r="Y19" s="525"/>
      <c r="Z19" s="807"/>
      <c r="AA19" s="765"/>
    </row>
    <row r="20" ht="15.75" customHeight="1" spans="1:27">
      <c r="A20" s="688"/>
      <c r="B20" s="689"/>
      <c r="C20" s="690"/>
      <c r="D20" s="691" t="s">
        <v>31</v>
      </c>
      <c r="E20" s="692">
        <f>Vinripple2</f>
        <v>31.1586140035634</v>
      </c>
      <c r="F20" s="693" t="s">
        <v>32</v>
      </c>
      <c r="G20" s="650"/>
      <c r="H20" s="680"/>
      <c r="I20" s="769"/>
      <c r="J20" s="769"/>
      <c r="K20" s="783" t="s">
        <v>33</v>
      </c>
      <c r="L20" s="784">
        <f>Nps*L19</f>
        <v>1.0005</v>
      </c>
      <c r="M20" s="689" t="s">
        <v>18</v>
      </c>
      <c r="N20" s="769"/>
      <c r="O20" s="769"/>
      <c r="P20" s="769"/>
      <c r="Q20" s="769"/>
      <c r="R20" s="530"/>
      <c r="S20" s="530"/>
      <c r="T20" s="525"/>
      <c r="U20" s="525"/>
      <c r="V20" s="525"/>
      <c r="W20" s="525"/>
      <c r="X20" s="525"/>
      <c r="Y20" s="525"/>
      <c r="Z20" s="807"/>
      <c r="AA20" s="765"/>
    </row>
    <row r="21" ht="15.75" customHeight="1" spans="1:27">
      <c r="A21" s="694"/>
      <c r="B21" s="675"/>
      <c r="C21" s="695"/>
      <c r="D21" s="695" t="str">
        <f>CHOOSE(MODE,"Minimum Output Capacitance","Minimum Output Capacitance, Output #1")</f>
        <v>Minimum Output Capacitance, Output #1</v>
      </c>
      <c r="E21" s="696">
        <f>'Variable Mgmt'!B102</f>
        <v>20.1076373742966</v>
      </c>
      <c r="F21" s="677" t="s">
        <v>25</v>
      </c>
      <c r="G21" s="697"/>
      <c r="H21" s="675"/>
      <c r="I21" s="678"/>
      <c r="J21" s="726"/>
      <c r="K21" s="695" t="str">
        <f>CHOOSE(MODE,"","Minimum Output Capacitance, Output #2")</f>
        <v>Minimum Output Capacitance, Output #2</v>
      </c>
      <c r="L21" s="676">
        <f>'Variable Mgmt'!B112</f>
        <v>14.3647440975709</v>
      </c>
      <c r="M21" s="677" t="s">
        <v>25</v>
      </c>
      <c r="N21" s="769"/>
      <c r="O21" s="769"/>
      <c r="P21" s="769"/>
      <c r="Q21" s="769"/>
      <c r="R21" s="530"/>
      <c r="S21" s="530"/>
      <c r="T21" s="525"/>
      <c r="U21" s="525"/>
      <c r="V21" s="525"/>
      <c r="W21" s="525"/>
      <c r="X21" s="525"/>
      <c r="Y21" s="525"/>
      <c r="Z21" s="807"/>
      <c r="AA21" s="765"/>
    </row>
    <row r="22" ht="15.75" customHeight="1" spans="1:27">
      <c r="A22" s="657"/>
      <c r="B22" s="680"/>
      <c r="C22" s="653"/>
      <c r="D22" s="698" t="s">
        <v>34</v>
      </c>
      <c r="E22" s="655">
        <v>22</v>
      </c>
      <c r="F22" s="656" t="s">
        <v>25</v>
      </c>
      <c r="G22" s="699"/>
      <c r="H22" s="680"/>
      <c r="I22" s="769"/>
      <c r="J22" s="525"/>
      <c r="K22" s="698" t="s">
        <v>35</v>
      </c>
      <c r="L22" s="655">
        <v>10</v>
      </c>
      <c r="M22" s="656" t="s">
        <v>25</v>
      </c>
      <c r="N22" s="769"/>
      <c r="O22" s="769"/>
      <c r="P22" s="769"/>
      <c r="Q22" s="769"/>
      <c r="R22" s="530"/>
      <c r="S22" s="530"/>
      <c r="T22" s="525"/>
      <c r="U22" s="525"/>
      <c r="V22" s="525"/>
      <c r="W22" s="525"/>
      <c r="X22" s="525"/>
      <c r="Y22" s="525"/>
      <c r="Z22" s="807"/>
      <c r="AA22" s="765"/>
    </row>
    <row r="23" ht="16.5" customHeight="1" spans="1:27">
      <c r="A23" s="657"/>
      <c r="B23" s="680"/>
      <c r="C23" s="685"/>
      <c r="D23" s="654" t="s">
        <v>36</v>
      </c>
      <c r="E23" s="686">
        <v>3</v>
      </c>
      <c r="F23" s="687" t="s">
        <v>16</v>
      </c>
      <c r="G23" s="700"/>
      <c r="H23" s="680"/>
      <c r="I23" s="769"/>
      <c r="J23" s="525"/>
      <c r="K23" s="654" t="s">
        <v>36</v>
      </c>
      <c r="L23" s="686">
        <v>2</v>
      </c>
      <c r="M23" s="687" t="s">
        <v>16</v>
      </c>
      <c r="N23" s="769"/>
      <c r="O23" s="769"/>
      <c r="P23" s="769"/>
      <c r="Q23" s="769"/>
      <c r="R23" s="530"/>
      <c r="S23" s="530"/>
      <c r="T23" s="525"/>
      <c r="U23" s="525"/>
      <c r="V23" s="525"/>
      <c r="W23" s="525"/>
      <c r="X23" s="525"/>
      <c r="Y23" s="525"/>
      <c r="Z23" s="807"/>
      <c r="AA23" s="765"/>
    </row>
    <row r="24" ht="15.75" customHeight="1" spans="1:27">
      <c r="A24" s="688"/>
      <c r="B24" s="689"/>
      <c r="C24" s="689"/>
      <c r="D24" s="691" t="str">
        <f>CHOOSE(MODE,"Resulting Output Voltage Ripple","Resulting Output Voltage Ripple, Output #1")</f>
        <v>Resulting Output Voltage Ripple, Output #1</v>
      </c>
      <c r="E24" s="692">
        <f>Vripple1_actual</f>
        <v>166.017033062427</v>
      </c>
      <c r="F24" s="693" t="s">
        <v>32</v>
      </c>
      <c r="G24" s="697"/>
      <c r="H24" s="689"/>
      <c r="I24" s="785"/>
      <c r="J24" s="786"/>
      <c r="K24" s="691" t="str">
        <f>CHOOSE(MODE,"","Resulting Output Voltage Ripple, Output #2")</f>
        <v>Resulting Output Voltage Ripple, Output #2</v>
      </c>
      <c r="L24" s="692">
        <f>Vripple2_actual</f>
        <v>72.6237204878543</v>
      </c>
      <c r="M24" s="693" t="s">
        <v>32</v>
      </c>
      <c r="N24" s="769"/>
      <c r="O24" s="769"/>
      <c r="P24" s="769"/>
      <c r="Q24" s="769"/>
      <c r="R24" s="530"/>
      <c r="S24" s="530"/>
      <c r="T24" s="525"/>
      <c r="U24" s="525"/>
      <c r="V24" s="525"/>
      <c r="W24" s="525"/>
      <c r="X24" s="525"/>
      <c r="Y24" s="525"/>
      <c r="Z24" s="807"/>
      <c r="AA24" s="765"/>
    </row>
    <row r="25" ht="13.5" customHeight="1" spans="1:27">
      <c r="A25" s="667"/>
      <c r="B25" s="525"/>
      <c r="C25" s="525"/>
      <c r="D25" s="525"/>
      <c r="E25" s="525"/>
      <c r="F25" s="525"/>
      <c r="G25" s="525"/>
      <c r="H25" s="525"/>
      <c r="I25" s="525"/>
      <c r="J25" s="525"/>
      <c r="K25" s="525"/>
      <c r="L25" s="525"/>
      <c r="M25" s="525"/>
      <c r="N25" s="769"/>
      <c r="O25" s="769"/>
      <c r="P25" s="769"/>
      <c r="Q25" s="769"/>
      <c r="R25" s="530"/>
      <c r="S25" s="530"/>
      <c r="T25" s="525"/>
      <c r="U25" s="525"/>
      <c r="V25" s="525"/>
      <c r="W25" s="525"/>
      <c r="X25" s="525"/>
      <c r="Y25" s="525"/>
      <c r="Z25" s="807"/>
      <c r="AA25" s="765"/>
    </row>
    <row r="26" ht="19.5" customHeight="1" spans="1:27">
      <c r="A26" s="638" t="s">
        <v>37</v>
      </c>
      <c r="B26" s="701"/>
      <c r="C26" s="680"/>
      <c r="D26" s="702"/>
      <c r="E26" s="680"/>
      <c r="F26" s="680"/>
      <c r="G26" s="680"/>
      <c r="H26" s="680"/>
      <c r="I26" s="769"/>
      <c r="J26" s="769"/>
      <c r="K26" s="769"/>
      <c r="L26" s="769"/>
      <c r="M26" s="769"/>
      <c r="N26" s="769"/>
      <c r="O26" s="769"/>
      <c r="P26" s="769"/>
      <c r="Q26" s="769"/>
      <c r="R26" s="530"/>
      <c r="S26" s="530"/>
      <c r="T26" s="525"/>
      <c r="U26" s="525"/>
      <c r="V26" s="525"/>
      <c r="W26" s="525"/>
      <c r="X26" s="525"/>
      <c r="Y26" s="525"/>
      <c r="Z26" s="807"/>
      <c r="AA26" s="765"/>
    </row>
    <row r="27" ht="15.75" customHeight="1" spans="1:27">
      <c r="A27" s="644"/>
      <c r="B27" s="645"/>
      <c r="C27" s="646"/>
      <c r="D27" s="646" t="s">
        <v>38</v>
      </c>
      <c r="E27" s="703">
        <f>Rfb_recommend</f>
        <v>122.728</v>
      </c>
      <c r="F27" s="704" t="s">
        <v>39</v>
      </c>
      <c r="G27" s="680"/>
      <c r="H27" s="680"/>
      <c r="I27" s="769"/>
      <c r="J27" s="769"/>
      <c r="K27" s="769"/>
      <c r="L27" s="769"/>
      <c r="M27" s="769"/>
      <c r="N27" s="769"/>
      <c r="O27" s="769"/>
      <c r="P27" s="769"/>
      <c r="Q27" s="769"/>
      <c r="R27" s="530"/>
      <c r="S27" s="530"/>
      <c r="T27" s="525"/>
      <c r="U27" s="525"/>
      <c r="V27" s="525"/>
      <c r="W27" s="525"/>
      <c r="X27" s="525"/>
      <c r="Y27" s="525"/>
      <c r="Z27" s="807"/>
      <c r="AA27" s="765"/>
    </row>
    <row r="28" ht="15.75" customHeight="1" spans="1:27">
      <c r="A28" s="651"/>
      <c r="B28" s="652"/>
      <c r="C28" s="653"/>
      <c r="D28" s="698" t="s">
        <v>40</v>
      </c>
      <c r="E28" s="705">
        <v>196</v>
      </c>
      <c r="F28" s="659" t="str">
        <f>IF(Vout=Vref,"","kΩ")</f>
        <v>kΩ</v>
      </c>
      <c r="G28" s="680"/>
      <c r="H28" s="680"/>
      <c r="I28" s="769"/>
      <c r="J28" s="769"/>
      <c r="K28" s="769"/>
      <c r="L28" s="769"/>
      <c r="M28" s="769"/>
      <c r="N28" s="769"/>
      <c r="O28" s="769"/>
      <c r="P28" s="769"/>
      <c r="Q28" s="769"/>
      <c r="R28" s="530"/>
      <c r="S28" s="530"/>
      <c r="T28" s="525"/>
      <c r="U28" s="525"/>
      <c r="V28" s="525"/>
      <c r="W28" s="525"/>
      <c r="X28" s="525"/>
      <c r="Y28" s="525"/>
      <c r="Z28" s="807"/>
      <c r="AA28" s="765"/>
    </row>
    <row r="29" ht="14.15" customHeight="1" spans="1:27">
      <c r="A29" s="644"/>
      <c r="B29" s="645"/>
      <c r="C29" s="646"/>
      <c r="D29" s="706" t="s">
        <v>41</v>
      </c>
      <c r="E29" s="707" t="s">
        <v>42</v>
      </c>
      <c r="F29" s="704"/>
      <c r="G29" s="650"/>
      <c r="H29" s="680"/>
      <c r="I29" s="769"/>
      <c r="J29" s="769"/>
      <c r="K29" s="769"/>
      <c r="L29" s="769"/>
      <c r="M29" s="769"/>
      <c r="N29" s="769"/>
      <c r="O29" s="769"/>
      <c r="P29" s="769"/>
      <c r="Q29" s="769"/>
      <c r="R29" s="530"/>
      <c r="S29" s="530"/>
      <c r="T29" s="525"/>
      <c r="U29" s="525"/>
      <c r="V29" s="525"/>
      <c r="W29" s="525"/>
      <c r="X29" s="525"/>
      <c r="Y29" s="525"/>
      <c r="Z29" s="807"/>
      <c r="AA29" s="765"/>
    </row>
    <row r="30" ht="16.5" customHeight="1" spans="1:27">
      <c r="A30" s="651"/>
      <c r="B30" s="652"/>
      <c r="C30" s="652"/>
      <c r="D30" s="708" t="str">
        <f>CHOOSE(MODE_SS,"Soft-Start Time","*Leave SS Pin Open or Supply by Ext. Bias")</f>
        <v>*Leave SS Pin Open or Supply by Ext. Bias</v>
      </c>
      <c r="E30" s="686">
        <v>9</v>
      </c>
      <c r="F30" s="659" t="s">
        <v>43</v>
      </c>
      <c r="G30" s="650"/>
      <c r="H30" s="680"/>
      <c r="I30" s="769"/>
      <c r="J30" s="769"/>
      <c r="K30" s="769"/>
      <c r="L30" s="769"/>
      <c r="M30" s="769"/>
      <c r="N30" s="769"/>
      <c r="O30" s="769"/>
      <c r="P30" s="769"/>
      <c r="Q30" s="769"/>
      <c r="R30" s="530"/>
      <c r="S30" s="530"/>
      <c r="T30" s="525"/>
      <c r="U30" s="525"/>
      <c r="V30" s="525"/>
      <c r="W30" s="525"/>
      <c r="X30" s="525"/>
      <c r="Y30" s="525"/>
      <c r="Z30" s="807"/>
      <c r="AA30" s="765"/>
    </row>
    <row r="31" ht="16.5" customHeight="1" spans="1:27">
      <c r="A31" s="660"/>
      <c r="B31" s="661"/>
      <c r="C31" s="661"/>
      <c r="D31" s="691" t="s">
        <v>44</v>
      </c>
      <c r="E31" s="709">
        <f>IF(Tss&gt;0.0001,Css_u*1000000000,"N/A")</f>
        <v>47</v>
      </c>
      <c r="F31" s="710" t="s">
        <v>45</v>
      </c>
      <c r="G31" s="650"/>
      <c r="H31" s="680"/>
      <c r="I31" s="769"/>
      <c r="J31" s="769"/>
      <c r="K31" s="769"/>
      <c r="L31" s="769"/>
      <c r="M31" s="769"/>
      <c r="N31" s="769"/>
      <c r="O31" s="769"/>
      <c r="P31" s="769"/>
      <c r="Q31" s="769"/>
      <c r="R31" s="530"/>
      <c r="S31" s="530"/>
      <c r="T31" s="525"/>
      <c r="U31" s="525"/>
      <c r="V31" s="525"/>
      <c r="W31" s="525"/>
      <c r="X31" s="525"/>
      <c r="Y31" s="525"/>
      <c r="Z31" s="807"/>
      <c r="AA31" s="765"/>
    </row>
    <row r="32" ht="15.75" customHeight="1" spans="1:27">
      <c r="A32" s="651"/>
      <c r="B32" s="652"/>
      <c r="C32" s="652"/>
      <c r="D32" s="711" t="s">
        <v>46</v>
      </c>
      <c r="E32" s="712"/>
      <c r="F32" s="713"/>
      <c r="G32" s="680"/>
      <c r="H32" s="680"/>
      <c r="I32" s="769"/>
      <c r="J32" s="769"/>
      <c r="K32" s="769"/>
      <c r="L32" s="769"/>
      <c r="M32" s="769"/>
      <c r="N32" s="769"/>
      <c r="O32" s="769"/>
      <c r="P32" s="769"/>
      <c r="Q32" s="769"/>
      <c r="R32" s="530"/>
      <c r="S32" s="530"/>
      <c r="T32" s="525"/>
      <c r="U32" s="525"/>
      <c r="V32" s="525"/>
      <c r="W32" s="525"/>
      <c r="X32" s="525"/>
      <c r="Y32" s="525"/>
      <c r="Z32" s="807"/>
      <c r="AA32" s="765"/>
    </row>
    <row r="33" ht="15.75" customHeight="1" spans="1:27">
      <c r="A33" s="651"/>
      <c r="B33" s="652"/>
      <c r="C33" s="652"/>
      <c r="D33" s="711" t="str">
        <f>CHOOSE(TC,"Diode Voltage Drop Thermal Coefficient","*Leave TC Pin Open")</f>
        <v>Diode Voltage Drop Thermal Coefficient</v>
      </c>
      <c r="E33" s="714">
        <v>-1.5</v>
      </c>
      <c r="F33" s="713" t="s">
        <v>47</v>
      </c>
      <c r="G33" s="680"/>
      <c r="H33" s="680"/>
      <c r="I33" s="769"/>
      <c r="J33" s="769"/>
      <c r="K33" s="769"/>
      <c r="L33" s="769"/>
      <c r="M33" s="769"/>
      <c r="N33" s="769"/>
      <c r="O33" s="769"/>
      <c r="P33" s="769"/>
      <c r="Q33" s="769"/>
      <c r="R33" s="530"/>
      <c r="S33" s="530"/>
      <c r="T33" s="525"/>
      <c r="U33" s="525"/>
      <c r="V33" s="525"/>
      <c r="W33" s="525"/>
      <c r="X33" s="525"/>
      <c r="Y33" s="525"/>
      <c r="Z33" s="807"/>
      <c r="AA33" s="765"/>
    </row>
    <row r="34" ht="15.75" customHeight="1" spans="1:27">
      <c r="A34" s="660"/>
      <c r="B34" s="661"/>
      <c r="C34" s="661"/>
      <c r="D34" s="662" t="s">
        <v>48</v>
      </c>
      <c r="E34" s="709">
        <f>RTC</f>
        <v>590</v>
      </c>
      <c r="F34" s="710" t="s">
        <v>39</v>
      </c>
      <c r="G34" s="680"/>
      <c r="H34" s="680"/>
      <c r="I34" s="769"/>
      <c r="J34" s="769"/>
      <c r="K34" s="787"/>
      <c r="L34" s="769"/>
      <c r="M34" s="769"/>
      <c r="N34" s="769"/>
      <c r="O34" s="769"/>
      <c r="P34" s="769"/>
      <c r="Q34" s="769"/>
      <c r="R34" s="530"/>
      <c r="S34" s="530"/>
      <c r="T34" s="525"/>
      <c r="U34" s="525"/>
      <c r="V34" s="525"/>
      <c r="W34" s="525"/>
      <c r="X34" s="525"/>
      <c r="Y34" s="525"/>
      <c r="Z34" s="807"/>
      <c r="AA34" s="765"/>
    </row>
    <row r="35" ht="16.5" customHeight="1" spans="1:27">
      <c r="A35" s="651"/>
      <c r="B35" s="652"/>
      <c r="C35" s="652"/>
      <c r="D35" s="698" t="s">
        <v>49</v>
      </c>
      <c r="E35" s="712"/>
      <c r="F35" s="713"/>
      <c r="G35" s="680"/>
      <c r="H35" s="680"/>
      <c r="I35" s="769"/>
      <c r="J35" s="769"/>
      <c r="K35" s="769"/>
      <c r="L35" s="769"/>
      <c r="M35" s="769"/>
      <c r="N35" s="769"/>
      <c r="O35" s="769"/>
      <c r="P35" s="769"/>
      <c r="Q35" s="769"/>
      <c r="R35" s="530"/>
      <c r="S35" s="530"/>
      <c r="T35" s="525"/>
      <c r="U35" s="525"/>
      <c r="V35" s="525"/>
      <c r="W35" s="525"/>
      <c r="X35" s="525"/>
      <c r="Y35" s="525"/>
      <c r="Z35" s="807"/>
      <c r="AA35" s="765"/>
    </row>
    <row r="36" ht="15.75" customHeight="1" spans="1:27">
      <c r="A36" s="651"/>
      <c r="B36" s="652"/>
      <c r="C36" s="685"/>
      <c r="D36" s="698" t="str">
        <f>CHOOSE(MODE_UVLO,"Input UVLO Turn-On Threshold","*Connect EN pin to VIN or Logic HIGH")</f>
        <v>Input UVLO Turn-On Threshold</v>
      </c>
      <c r="E36" s="705">
        <v>10</v>
      </c>
      <c r="F36" s="659" t="s">
        <v>9</v>
      </c>
      <c r="G36" s="680"/>
      <c r="H36" s="680"/>
      <c r="I36" s="530"/>
      <c r="J36" s="530"/>
      <c r="K36" s="530"/>
      <c r="L36" s="788"/>
      <c r="M36" s="769"/>
      <c r="N36" s="769"/>
      <c r="O36" s="769"/>
      <c r="P36" s="769"/>
      <c r="Q36" s="769"/>
      <c r="R36" s="530"/>
      <c r="S36" s="530"/>
      <c r="T36" s="525"/>
      <c r="U36" s="525"/>
      <c r="V36" s="525"/>
      <c r="W36" s="525"/>
      <c r="X36" s="525"/>
      <c r="Y36" s="525"/>
      <c r="Z36" s="807"/>
      <c r="AA36" s="765"/>
    </row>
    <row r="37" ht="15.75" customHeight="1" spans="1:27">
      <c r="A37" s="660"/>
      <c r="B37" s="661"/>
      <c r="C37" s="661"/>
      <c r="D37" s="715" t="str">
        <f>CHOOSE(MODE_UVLO,"Input UVLO Turn-Off Threshold","")</f>
        <v>Input UVLO Turn-Off Threshold</v>
      </c>
      <c r="E37" s="716">
        <v>8</v>
      </c>
      <c r="F37" s="717" t="s">
        <v>9</v>
      </c>
      <c r="G37" s="680"/>
      <c r="H37" s="653"/>
      <c r="I37" s="789"/>
      <c r="J37" s="790"/>
      <c r="K37" s="530"/>
      <c r="L37" s="530"/>
      <c r="M37" s="769"/>
      <c r="N37" s="769"/>
      <c r="O37" s="769"/>
      <c r="P37" s="769"/>
      <c r="Q37" s="769"/>
      <c r="R37" s="530"/>
      <c r="S37" s="530"/>
      <c r="T37" s="525"/>
      <c r="U37" s="525"/>
      <c r="V37" s="525"/>
      <c r="W37" s="525"/>
      <c r="X37" s="525"/>
      <c r="Y37" s="525"/>
      <c r="Z37" s="807"/>
      <c r="AA37" s="765"/>
    </row>
    <row r="38" ht="15.75" customHeight="1" spans="1:27">
      <c r="A38" s="644"/>
      <c r="B38" s="652"/>
      <c r="C38" s="685"/>
      <c r="D38" s="653" t="s">
        <v>50</v>
      </c>
      <c r="E38" s="718">
        <f>'Variable Mgmt'!F157</f>
        <v>332</v>
      </c>
      <c r="F38" s="713" t="s">
        <v>39</v>
      </c>
      <c r="G38" s="680"/>
      <c r="H38" s="719"/>
      <c r="I38" s="708"/>
      <c r="J38" s="791"/>
      <c r="K38" s="792"/>
      <c r="L38" s="530"/>
      <c r="M38" s="769"/>
      <c r="N38" s="769"/>
      <c r="O38" s="769"/>
      <c r="P38" s="769"/>
      <c r="Q38" s="769"/>
      <c r="R38" s="530"/>
      <c r="S38" s="530"/>
      <c r="T38" s="525"/>
      <c r="U38" s="525"/>
      <c r="V38" s="525"/>
      <c r="W38" s="525"/>
      <c r="X38" s="525"/>
      <c r="Y38" s="525"/>
      <c r="Z38" s="807"/>
      <c r="AA38" s="765"/>
    </row>
    <row r="39" ht="15.75" customHeight="1" spans="1:27">
      <c r="A39" s="660"/>
      <c r="B39" s="661"/>
      <c r="C39" s="661"/>
      <c r="D39" s="662" t="s">
        <v>51</v>
      </c>
      <c r="E39" s="720">
        <f>'Variable Mgmt'!F158</f>
        <v>59</v>
      </c>
      <c r="F39" s="710" t="s">
        <v>39</v>
      </c>
      <c r="G39" s="680"/>
      <c r="H39" s="680"/>
      <c r="I39" s="530"/>
      <c r="J39" s="793"/>
      <c r="K39" s="530"/>
      <c r="L39" s="530"/>
      <c r="M39" s="769"/>
      <c r="N39" s="769"/>
      <c r="O39" s="769"/>
      <c r="P39" s="769"/>
      <c r="Q39" s="769" t="s">
        <v>52</v>
      </c>
      <c r="R39" s="530"/>
      <c r="S39" s="530"/>
      <c r="T39" s="525"/>
      <c r="U39" s="525"/>
      <c r="V39" s="525"/>
      <c r="W39" s="525"/>
      <c r="X39" s="525"/>
      <c r="Y39" s="525"/>
      <c r="Z39" s="807"/>
      <c r="AA39" s="765"/>
    </row>
    <row r="40" ht="13.5" customHeight="1" spans="1:27">
      <c r="A40" s="644"/>
      <c r="B40" s="645"/>
      <c r="C40" s="645"/>
      <c r="D40" s="695"/>
      <c r="E40" s="721"/>
      <c r="F40" s="722"/>
      <c r="G40" s="680"/>
      <c r="H40" s="680"/>
      <c r="I40" s="769"/>
      <c r="J40" s="794"/>
      <c r="K40" s="769"/>
      <c r="L40" s="769"/>
      <c r="M40" s="769"/>
      <c r="N40" s="769"/>
      <c r="O40" s="769"/>
      <c r="P40" s="769"/>
      <c r="Q40" s="769"/>
      <c r="R40" s="530"/>
      <c r="S40" s="530"/>
      <c r="T40" s="525"/>
      <c r="U40" s="525"/>
      <c r="V40" s="525"/>
      <c r="W40" s="525"/>
      <c r="X40" s="525"/>
      <c r="Y40" s="525"/>
      <c r="Z40" s="807"/>
      <c r="AA40" s="765"/>
    </row>
    <row r="41" ht="19.5" customHeight="1" spans="1:27">
      <c r="A41" s="723" t="s">
        <v>53</v>
      </c>
      <c r="B41" s="680"/>
      <c r="C41" s="680"/>
      <c r="D41" s="702"/>
      <c r="E41" s="724"/>
      <c r="F41" s="680"/>
      <c r="G41" s="680"/>
      <c r="H41" s="680"/>
      <c r="I41" s="769"/>
      <c r="J41" s="794"/>
      <c r="K41" s="769"/>
      <c r="L41" s="769"/>
      <c r="M41" s="769"/>
      <c r="N41" s="769"/>
      <c r="O41" s="769"/>
      <c r="P41" s="769"/>
      <c r="Q41" s="769"/>
      <c r="R41" s="530"/>
      <c r="S41" s="530"/>
      <c r="T41" s="525"/>
      <c r="U41" s="525"/>
      <c r="V41" s="525"/>
      <c r="W41" s="525"/>
      <c r="X41" s="525"/>
      <c r="Y41" s="525"/>
      <c r="Z41" s="807"/>
      <c r="AA41" s="765"/>
    </row>
    <row r="42" ht="15.75" customHeight="1" spans="1:27">
      <c r="A42" s="725"/>
      <c r="B42" s="726"/>
      <c r="C42" s="726"/>
      <c r="D42" s="727" t="s">
        <v>54</v>
      </c>
      <c r="E42" s="728">
        <v>0.4</v>
      </c>
      <c r="F42" s="729" t="s">
        <v>9</v>
      </c>
      <c r="G42" s="680"/>
      <c r="H42" s="680"/>
      <c r="I42" s="769"/>
      <c r="J42" s="794"/>
      <c r="K42" s="769"/>
      <c r="L42" s="769"/>
      <c r="M42" s="769"/>
      <c r="N42" s="769"/>
      <c r="O42" s="769"/>
      <c r="P42" s="769"/>
      <c r="Q42" s="769"/>
      <c r="R42" s="530"/>
      <c r="S42" s="530"/>
      <c r="T42" s="525"/>
      <c r="U42" s="525"/>
      <c r="V42" s="525"/>
      <c r="W42" s="525"/>
      <c r="X42" s="525"/>
      <c r="Y42" s="525"/>
      <c r="Z42" s="807"/>
      <c r="AA42" s="765"/>
    </row>
    <row r="43" ht="15.75" customHeight="1" spans="1:27">
      <c r="A43" s="667"/>
      <c r="B43" s="525"/>
      <c r="C43" s="525"/>
      <c r="D43" s="730" t="s">
        <v>55</v>
      </c>
      <c r="E43" s="683">
        <v>0.77</v>
      </c>
      <c r="F43" s="684" t="s">
        <v>9</v>
      </c>
      <c r="G43" s="680"/>
      <c r="H43" s="680"/>
      <c r="I43" s="769"/>
      <c r="J43" s="794"/>
      <c r="K43" s="769"/>
      <c r="L43" s="769"/>
      <c r="M43" s="769"/>
      <c r="N43" s="769"/>
      <c r="O43" s="769"/>
      <c r="P43" s="769"/>
      <c r="Q43" s="769"/>
      <c r="R43" s="530"/>
      <c r="S43" s="530"/>
      <c r="T43" s="525"/>
      <c r="U43" s="525"/>
      <c r="V43" s="525"/>
      <c r="W43" s="525"/>
      <c r="X43" s="525"/>
      <c r="Y43" s="525"/>
      <c r="Z43" s="807"/>
      <c r="AA43" s="765"/>
    </row>
    <row r="44" ht="15.75" customHeight="1" spans="1:27">
      <c r="A44" s="657"/>
      <c r="B44" s="652"/>
      <c r="C44" s="652"/>
      <c r="D44" s="698" t="s">
        <v>56</v>
      </c>
      <c r="E44" s="731">
        <v>125</v>
      </c>
      <c r="F44" s="687" t="s">
        <v>57</v>
      </c>
      <c r="G44" s="680"/>
      <c r="H44" s="680"/>
      <c r="I44" s="769"/>
      <c r="J44" s="794"/>
      <c r="K44" s="769"/>
      <c r="L44" s="769"/>
      <c r="M44" s="769"/>
      <c r="N44" s="769"/>
      <c r="O44" s="769"/>
      <c r="P44" s="769"/>
      <c r="Q44" s="769"/>
      <c r="R44" s="530"/>
      <c r="S44" s="530"/>
      <c r="T44" s="525"/>
      <c r="U44" s="525"/>
      <c r="V44" s="525"/>
      <c r="W44" s="525"/>
      <c r="X44" s="525"/>
      <c r="Y44" s="525"/>
      <c r="Z44" s="807"/>
      <c r="AA44" s="765"/>
    </row>
    <row r="45" ht="15.75" customHeight="1" spans="1:27">
      <c r="A45" s="657"/>
      <c r="B45" s="680"/>
      <c r="C45" s="680"/>
      <c r="D45" s="711" t="s">
        <v>58</v>
      </c>
      <c r="E45" s="731">
        <v>120</v>
      </c>
      <c r="F45" s="687" t="s">
        <v>59</v>
      </c>
      <c r="G45" s="680"/>
      <c r="H45" s="680"/>
      <c r="I45" s="769"/>
      <c r="J45" s="769"/>
      <c r="K45" s="769"/>
      <c r="L45" s="769"/>
      <c r="M45" s="769"/>
      <c r="N45" s="769"/>
      <c r="O45" s="769"/>
      <c r="P45" s="769"/>
      <c r="Q45" s="769"/>
      <c r="R45" s="530"/>
      <c r="S45" s="530"/>
      <c r="T45" s="525"/>
      <c r="U45" s="525"/>
      <c r="V45" s="525"/>
      <c r="W45" s="525"/>
      <c r="X45" s="525"/>
      <c r="Y45" s="525"/>
      <c r="Z45" s="807"/>
      <c r="AA45" s="765"/>
    </row>
    <row r="46" ht="15.75" customHeight="1" spans="1:27">
      <c r="A46" s="657"/>
      <c r="B46" s="680"/>
      <c r="C46" s="680"/>
      <c r="D46" s="702" t="s">
        <v>60</v>
      </c>
      <c r="E46" s="732">
        <f>CHOOSE(MODE,'Calculations - Single'!BP105,'Calculations - Dual'!BO105)</f>
        <v>135.4836336105</v>
      </c>
      <c r="F46" s="733" t="s">
        <v>27</v>
      </c>
      <c r="G46" s="680"/>
      <c r="H46" s="680"/>
      <c r="I46" s="769"/>
      <c r="J46" s="769"/>
      <c r="K46" s="769"/>
      <c r="L46" s="769"/>
      <c r="M46" s="769"/>
      <c r="N46" s="769"/>
      <c r="O46" s="769"/>
      <c r="P46" s="769"/>
      <c r="Q46" s="769"/>
      <c r="R46" s="530"/>
      <c r="S46" s="530"/>
      <c r="T46" s="525"/>
      <c r="U46" s="525"/>
      <c r="V46" s="525"/>
      <c r="W46" s="525"/>
      <c r="X46" s="525"/>
      <c r="Y46" s="525"/>
      <c r="Z46" s="807"/>
      <c r="AA46" s="765"/>
    </row>
    <row r="47" ht="15.75" customHeight="1" spans="1:27">
      <c r="A47" s="688"/>
      <c r="B47" s="689"/>
      <c r="C47" s="689"/>
      <c r="D47" s="691" t="s">
        <v>61</v>
      </c>
      <c r="E47" s="734">
        <f>E45+E46/1000*ThetaJA</f>
        <v>136.935454201312</v>
      </c>
      <c r="F47" s="735" t="s">
        <v>59</v>
      </c>
      <c r="G47" s="680"/>
      <c r="H47" s="680"/>
      <c r="I47" s="769"/>
      <c r="J47" s="769"/>
      <c r="K47" s="769"/>
      <c r="L47" s="769"/>
      <c r="M47" s="769"/>
      <c r="N47" s="769"/>
      <c r="O47" s="769"/>
      <c r="P47" s="769"/>
      <c r="Q47" s="769"/>
      <c r="R47" s="530"/>
      <c r="S47" s="530"/>
      <c r="T47" s="525"/>
      <c r="U47" s="525"/>
      <c r="V47" s="525"/>
      <c r="W47" s="525"/>
      <c r="X47" s="525"/>
      <c r="Y47" s="525"/>
      <c r="Z47" s="807"/>
      <c r="AA47" s="765"/>
    </row>
    <row r="48" ht="15.75" customHeight="1" spans="1:27">
      <c r="A48" s="688"/>
      <c r="B48" s="689"/>
      <c r="C48" s="689"/>
      <c r="D48" s="691"/>
      <c r="E48" s="734"/>
      <c r="F48" s="736"/>
      <c r="G48" s="680"/>
      <c r="H48" s="680"/>
      <c r="I48" s="769"/>
      <c r="J48" s="769"/>
      <c r="K48" s="769"/>
      <c r="L48" s="769"/>
      <c r="M48" s="769"/>
      <c r="N48" s="769"/>
      <c r="O48" s="769"/>
      <c r="P48" s="769"/>
      <c r="Q48" s="769"/>
      <c r="R48" s="530"/>
      <c r="S48" s="530"/>
      <c r="T48" s="525"/>
      <c r="U48" s="525"/>
      <c r="V48" s="525"/>
      <c r="W48" s="525"/>
      <c r="X48" s="525"/>
      <c r="Y48" s="525"/>
      <c r="Z48" s="807"/>
      <c r="AA48" s="765"/>
    </row>
    <row r="49" ht="15.75" customHeight="1" spans="1:27">
      <c r="A49" s="657"/>
      <c r="B49" s="680"/>
      <c r="C49" s="680"/>
      <c r="D49" s="702"/>
      <c r="E49" s="732"/>
      <c r="F49" s="737"/>
      <c r="G49" s="680"/>
      <c r="H49" s="680"/>
      <c r="I49" s="769"/>
      <c r="J49" s="769"/>
      <c r="K49" s="769"/>
      <c r="L49" s="769"/>
      <c r="M49" s="769"/>
      <c r="N49" s="769"/>
      <c r="O49" s="769"/>
      <c r="P49" s="769"/>
      <c r="Q49" s="769"/>
      <c r="R49" s="530"/>
      <c r="S49" s="530"/>
      <c r="T49" s="525"/>
      <c r="U49" s="525"/>
      <c r="V49" s="525"/>
      <c r="W49" s="525"/>
      <c r="X49" s="525"/>
      <c r="Y49" s="525"/>
      <c r="Z49" s="807"/>
      <c r="AA49" s="765"/>
    </row>
    <row r="50" ht="15.75" customHeight="1" spans="1:27">
      <c r="A50" s="638" t="s">
        <v>62</v>
      </c>
      <c r="B50" s="680"/>
      <c r="C50" s="680"/>
      <c r="D50" s="654"/>
      <c r="E50" s="732"/>
      <c r="F50" s="737"/>
      <c r="G50" s="737" t="s">
        <v>63</v>
      </c>
      <c r="H50" s="680"/>
      <c r="I50" s="769"/>
      <c r="J50" s="769"/>
      <c r="K50" s="769"/>
      <c r="L50" s="769"/>
      <c r="M50" s="769"/>
      <c r="N50" s="769"/>
      <c r="O50" s="769"/>
      <c r="P50" s="769"/>
      <c r="Q50" s="769"/>
      <c r="R50" s="530"/>
      <c r="S50" s="530"/>
      <c r="T50" s="525"/>
      <c r="U50" s="525"/>
      <c r="V50" s="525"/>
      <c r="W50" s="525"/>
      <c r="X50" s="525"/>
      <c r="Y50" s="525"/>
      <c r="Z50" s="807"/>
      <c r="AA50" s="765"/>
    </row>
    <row r="51" ht="15.75" customHeight="1" spans="1:27">
      <c r="A51" s="738"/>
      <c r="B51" s="739"/>
      <c r="C51" s="739"/>
      <c r="D51" s="740" t="str">
        <f>CHOOSE(MODE,"Recommended Csnb","Recommended Csnb1")</f>
        <v>Recommended Csnb1</v>
      </c>
      <c r="E51" s="741">
        <v>22</v>
      </c>
      <c r="F51" s="742" t="s">
        <v>64</v>
      </c>
      <c r="G51" s="680"/>
      <c r="H51" s="738"/>
      <c r="I51" s="795"/>
      <c r="J51" s="795"/>
      <c r="K51" s="740" t="str">
        <f>CHOOSE(MODE,"","Recommended Csnb2")</f>
        <v>Recommended Csnb2</v>
      </c>
      <c r="L51" s="741">
        <f>CHOOSE(MODE,"",22)</f>
        <v>22</v>
      </c>
      <c r="M51" s="742" t="str">
        <f>CHOOSE(MODE,"","pF")</f>
        <v>pF</v>
      </c>
      <c r="N51" s="769"/>
      <c r="O51" s="769"/>
      <c r="P51" s="769"/>
      <c r="Q51" s="769"/>
      <c r="R51" s="530"/>
      <c r="S51" s="530"/>
      <c r="T51" s="525"/>
      <c r="U51" s="525"/>
      <c r="V51" s="525"/>
      <c r="W51" s="525"/>
      <c r="X51" s="525"/>
      <c r="Y51" s="525"/>
      <c r="Z51" s="807"/>
      <c r="AA51" s="765"/>
    </row>
    <row r="52" ht="15.75" customHeight="1" spans="1:27">
      <c r="A52" s="743"/>
      <c r="B52" s="680"/>
      <c r="C52" s="680"/>
      <c r="D52" s="702" t="s">
        <v>65</v>
      </c>
      <c r="E52" s="732">
        <f>(VIN_max/Npri_sec1+E10)*1.5</f>
        <v>58.4842578710645</v>
      </c>
      <c r="F52" s="744" t="s">
        <v>9</v>
      </c>
      <c r="G52" s="680"/>
      <c r="H52" s="743"/>
      <c r="I52" s="769"/>
      <c r="J52" s="769"/>
      <c r="K52" s="702" t="str">
        <f>CHOOSE(MODE,"","Snubber Capacitor Voltage Rating &gt;")</f>
        <v>Snubber Capacitor Voltage Rating &gt;</v>
      </c>
      <c r="L52" s="732">
        <f>CHOOSE(MODE,"",(VIN_max/Npri_sec2+ABS(E12))*1.5)</f>
        <v>16.7399452447689</v>
      </c>
      <c r="M52" s="744" t="str">
        <f>CHOOSE(MODE,"","V")</f>
        <v>V</v>
      </c>
      <c r="N52" s="769"/>
      <c r="O52" s="769"/>
      <c r="P52" s="769"/>
      <c r="Q52" s="769"/>
      <c r="R52" s="530"/>
      <c r="S52" s="530"/>
      <c r="T52" s="525"/>
      <c r="U52" s="525"/>
      <c r="V52" s="525"/>
      <c r="W52" s="525"/>
      <c r="X52" s="525"/>
      <c r="Y52" s="525"/>
      <c r="Z52" s="807"/>
      <c r="AA52" s="765"/>
    </row>
    <row r="53" ht="15.75" customHeight="1" spans="1:27">
      <c r="A53" s="743"/>
      <c r="B53" s="680"/>
      <c r="C53" s="680"/>
      <c r="D53" s="702" t="str">
        <f>CHOOSE(MODE,"Recommended Rsnb","Recommended Rsnb1")</f>
        <v>Recommended Rsnb1</v>
      </c>
      <c r="E53" s="732">
        <v>100</v>
      </c>
      <c r="F53" s="745" t="s">
        <v>66</v>
      </c>
      <c r="G53" s="680"/>
      <c r="H53" s="743"/>
      <c r="I53" s="769"/>
      <c r="J53" s="769"/>
      <c r="K53" s="702" t="str">
        <f>CHOOSE(MODE,"","Recommended Rsnb2")</f>
        <v>Recommended Rsnb2</v>
      </c>
      <c r="L53" s="732">
        <f>CHOOSE(MODE,"",100)</f>
        <v>100</v>
      </c>
      <c r="M53" s="745" t="str">
        <f>CHOOSE(MODE,"","Ω")</f>
        <v>Ω</v>
      </c>
      <c r="N53" s="769"/>
      <c r="O53" s="769"/>
      <c r="P53" s="769"/>
      <c r="Q53" s="769"/>
      <c r="R53" s="530"/>
      <c r="S53" s="530"/>
      <c r="T53" s="525"/>
      <c r="U53" s="525"/>
      <c r="V53" s="525"/>
      <c r="W53" s="525"/>
      <c r="X53" s="525"/>
      <c r="Y53" s="525"/>
      <c r="Z53" s="807"/>
      <c r="AA53" s="765"/>
    </row>
    <row r="54" ht="15.75" customHeight="1" spans="1:27">
      <c r="A54" s="746"/>
      <c r="B54" s="747"/>
      <c r="C54" s="747"/>
      <c r="D54" s="748" t="s">
        <v>67</v>
      </c>
      <c r="E54" s="749">
        <f>E52*E52*E51*0.000000000001*350000*4</f>
        <v>0.105348579296858</v>
      </c>
      <c r="F54" s="750" t="s">
        <v>68</v>
      </c>
      <c r="G54" s="680"/>
      <c r="H54" s="746"/>
      <c r="I54" s="796"/>
      <c r="J54" s="796"/>
      <c r="K54" s="748" t="str">
        <f>CHOOSE(MODE,"","Snubber Resistor Power Dissipation Rating &gt;")</f>
        <v>Snubber Resistor Power Dissipation Rating &gt;</v>
      </c>
      <c r="L54" s="749">
        <f>CHOOSE(MODE,"",L52*L52*L51*0.000000000001*350000*4)</f>
        <v>0.00863095361737413</v>
      </c>
      <c r="M54" s="750" t="str">
        <f>CHOOSE(MODE,"","W")</f>
        <v>W</v>
      </c>
      <c r="N54" s="769"/>
      <c r="O54" s="769"/>
      <c r="P54" s="769"/>
      <c r="Q54" s="769"/>
      <c r="R54" s="530"/>
      <c r="S54" s="530"/>
      <c r="T54" s="525"/>
      <c r="U54" s="525"/>
      <c r="V54" s="525"/>
      <c r="W54" s="525"/>
      <c r="X54" s="525"/>
      <c r="Y54" s="525"/>
      <c r="Z54" s="807"/>
      <c r="AA54" s="765"/>
    </row>
    <row r="55" ht="15.75" customHeight="1" spans="1:27">
      <c r="A55" s="657"/>
      <c r="B55" s="680"/>
      <c r="C55" s="680"/>
      <c r="D55" s="702"/>
      <c r="E55" s="732"/>
      <c r="F55" s="737"/>
      <c r="G55" s="680"/>
      <c r="H55" s="680"/>
      <c r="I55" s="769"/>
      <c r="J55" s="769"/>
      <c r="K55" s="769"/>
      <c r="L55" s="769"/>
      <c r="M55" s="769"/>
      <c r="N55" s="769"/>
      <c r="O55" s="769"/>
      <c r="P55" s="769"/>
      <c r="Q55" s="769"/>
      <c r="R55" s="530"/>
      <c r="S55" s="530"/>
      <c r="T55" s="525"/>
      <c r="U55" s="525"/>
      <c r="V55" s="525"/>
      <c r="W55" s="525"/>
      <c r="X55" s="525"/>
      <c r="Y55" s="525"/>
      <c r="Z55" s="807"/>
      <c r="AA55" s="765"/>
    </row>
    <row r="56" ht="15.75" customHeight="1" spans="1:27">
      <c r="A56" s="638" t="s">
        <v>69</v>
      </c>
      <c r="B56" s="680"/>
      <c r="C56" s="680"/>
      <c r="D56" s="702"/>
      <c r="E56" s="732"/>
      <c r="F56" s="737"/>
      <c r="G56" s="737" t="s">
        <v>70</v>
      </c>
      <c r="H56" s="680"/>
      <c r="I56" s="769"/>
      <c r="J56" s="769"/>
      <c r="K56" s="769"/>
      <c r="L56" s="769"/>
      <c r="M56" s="769"/>
      <c r="N56" s="769"/>
      <c r="O56" s="769"/>
      <c r="P56" s="769"/>
      <c r="Q56" s="769"/>
      <c r="R56" s="530"/>
      <c r="S56" s="530"/>
      <c r="T56" s="525"/>
      <c r="U56" s="525"/>
      <c r="V56" s="525"/>
      <c r="W56" s="525"/>
      <c r="X56" s="525"/>
      <c r="Y56" s="525"/>
      <c r="Z56" s="807"/>
      <c r="AA56" s="765"/>
    </row>
    <row r="57" ht="15.75" customHeight="1" spans="1:27">
      <c r="A57" s="738"/>
      <c r="B57" s="739"/>
      <c r="C57" s="739"/>
      <c r="D57" s="751" t="str">
        <f>CHOOSE(MODE,"Min Load Current, IOUTmin ","Min Load Current, IOUT1min")</f>
        <v>Min Load Current, IOUT1min</v>
      </c>
      <c r="E57" s="752">
        <v>0.005</v>
      </c>
      <c r="F57" s="742" t="s">
        <v>18</v>
      </c>
      <c r="G57" s="680"/>
      <c r="H57" s="738"/>
      <c r="I57" s="795"/>
      <c r="J57" s="795"/>
      <c r="K57" s="751" t="str">
        <f>CHOOSE(MODE," ","Min Load Current, IOUT2min")</f>
        <v>Min Load Current, IOUT2min</v>
      </c>
      <c r="L57" s="797">
        <v>-0.005</v>
      </c>
      <c r="M57" s="798" t="str">
        <f>CHOOSE(MODE,"","A")</f>
        <v>A</v>
      </c>
      <c r="N57" s="769"/>
      <c r="O57" s="769"/>
      <c r="P57" s="769"/>
      <c r="Q57" s="769"/>
      <c r="R57" s="530"/>
      <c r="S57" s="530"/>
      <c r="T57" s="525"/>
      <c r="U57" s="525"/>
      <c r="V57" s="525"/>
      <c r="W57" s="525"/>
      <c r="X57" s="525"/>
      <c r="Y57" s="525"/>
      <c r="Z57" s="807"/>
      <c r="AA57" s="765"/>
    </row>
    <row r="58" ht="15.75" customHeight="1" spans="1:27">
      <c r="A58" s="743"/>
      <c r="B58" s="680"/>
      <c r="C58" s="680"/>
      <c r="D58" s="711" t="str">
        <f>CHOOSE(MODE,"Max Output Voltage Limit, VOUTmax","Max Output Voltage Limit, VOUT1max")</f>
        <v>Max Output Voltage Limit, VOUT1max</v>
      </c>
      <c r="E58" s="753">
        <v>20</v>
      </c>
      <c r="F58" s="744" t="s">
        <v>9</v>
      </c>
      <c r="G58" s="680"/>
      <c r="H58" s="743"/>
      <c r="I58" s="769"/>
      <c r="J58" s="769"/>
      <c r="K58" s="711" t="str">
        <f>CHOOSE(MODE,"","Max Output Voltage Limit, VOUT2max")</f>
        <v>Max Output Voltage Limit, VOUT2max</v>
      </c>
      <c r="L58" s="799">
        <v>-7</v>
      </c>
      <c r="M58" s="800" t="str">
        <f>CHOOSE(MODE,"","V")</f>
        <v>V</v>
      </c>
      <c r="N58" s="769"/>
      <c r="O58" s="769"/>
      <c r="P58" s="769"/>
      <c r="Q58" s="769"/>
      <c r="R58" s="530"/>
      <c r="S58" s="530"/>
      <c r="T58" s="525"/>
      <c r="U58" s="525"/>
      <c r="V58" s="525"/>
      <c r="W58" s="525"/>
      <c r="X58" s="525"/>
      <c r="Y58" s="525"/>
      <c r="Z58" s="807"/>
      <c r="AA58" s="765"/>
    </row>
    <row r="59" ht="15.75" customHeight="1" spans="1:27">
      <c r="A59" s="743"/>
      <c r="B59" s="680"/>
      <c r="C59" s="530"/>
      <c r="D59" s="702" t="str">
        <f>CHOOSE(MODE," Zener Clamp Dz or Dymmy Load Rdmy","Zener Clamp Dz1 or Dummy Load Rdmy1")</f>
        <v>Zener Clamp Dz1 or Dummy Load Rdmy1</v>
      </c>
      <c r="E59" s="754" t="str">
        <f>CHOOSE(MODE,IF('Calculations - Single'!G329="Yes",IF(E58&gt;ROUND(Vout*11.25,0)/10,"Dz","Rdmy"),"None"),IF('Calculations - Dual'!G329="Yes",IF(E58&gt;ROUND(Vout*11.25,0)/10,"Dz1","Rdmy1"),"None"))</f>
        <v>None</v>
      </c>
      <c r="F59" s="744" t="s">
        <v>52</v>
      </c>
      <c r="G59" s="680"/>
      <c r="H59" s="743"/>
      <c r="I59" s="769"/>
      <c r="J59" s="769"/>
      <c r="K59" s="702" t="str">
        <f>CHOOSE(MODE,"","Zener Clamp Dz2 or Dummy Load Rdmy2")</f>
        <v>Zener Clamp Dz2 or Dummy Load Rdmy2</v>
      </c>
      <c r="L59" s="754" t="str">
        <f>CHOOSE(MODE,"",IF('Calculations - Dual'!N329="Yes",IF(ABS(L58)&gt;ROUND(Vout2*11.25,0)/10,"Dz2","Rdmy2"),"None"))</f>
        <v>None</v>
      </c>
      <c r="M59" s="800"/>
      <c r="N59" s="769"/>
      <c r="O59" s="769"/>
      <c r="P59" s="769"/>
      <c r="Q59" s="769"/>
      <c r="R59" s="530"/>
      <c r="S59" s="530"/>
      <c r="T59" s="525"/>
      <c r="U59" s="525"/>
      <c r="V59" s="525"/>
      <c r="W59" s="525"/>
      <c r="X59" s="525"/>
      <c r="Y59" s="525"/>
      <c r="Z59" s="807"/>
      <c r="AA59" s="765"/>
    </row>
    <row r="60" ht="15.75" customHeight="1" spans="1:27">
      <c r="A60" s="743"/>
      <c r="B60" s="680"/>
      <c r="C60" s="681"/>
      <c r="D60" s="702" t="str">
        <f>"Selection "&amp;IF(E59="Dz","Zener Clamp (5%)",IF(E59="Rdym","Dummy Load (1%)",""))</f>
        <v>Selection </v>
      </c>
      <c r="E60" s="755" t="str">
        <f>CHOOSE(MODE,IF(OR(E59="Rdmy",E59="Rdmy1"),'Standard Value Calculator'!J23,IF(E59="None","None",ROUND(E58/0.0105,0)/100)),IF(OR(E59="Rdmy",E59="Rdmy1"),'Standard Value Calculator'!J24,IF(E59="None","None",ROUND(E58/0.0105,0)/100)))</f>
        <v>None</v>
      </c>
      <c r="F60" s="745" t="str">
        <f>IF(OR(E59="DZ",E59="DZ1"),"V",IF(OR(E59="Rdmy",E59="Rdmy1"),"Ohm",""))</f>
        <v/>
      </c>
      <c r="G60" s="680"/>
      <c r="H60" s="743"/>
      <c r="I60" s="769"/>
      <c r="J60" s="769"/>
      <c r="K60" s="702" t="str">
        <f>CHOOSE(MODE,"","Selection "&amp;IF(L59="Dz","Zener Clamp (5%)",IF(L59="Rdym","Dummy Load (1%)","")))</f>
        <v>Selection </v>
      </c>
      <c r="L60" s="801" t="str">
        <f>CHOOSE(MODE,"",IF(L59="Rdmy2",'Standard Value Calculator'!J25,IF(L59="None","None",ROUND(ABS(L58)/0.0105,0)/100)))</f>
        <v>None</v>
      </c>
      <c r="M60" s="745" t="str">
        <f>IF(L59="DZ2","V",IF(L59="Rdmy2","Ohm",""))</f>
        <v/>
      </c>
      <c r="N60" s="769"/>
      <c r="O60" s="769"/>
      <c r="P60" s="769"/>
      <c r="Q60" s="769"/>
      <c r="R60" s="530"/>
      <c r="S60" s="530"/>
      <c r="T60" s="525"/>
      <c r="U60" s="525"/>
      <c r="V60" s="525"/>
      <c r="W60" s="525"/>
      <c r="X60" s="525"/>
      <c r="Y60" s="525"/>
      <c r="Z60" s="807"/>
      <c r="AA60" s="765"/>
    </row>
    <row r="61" ht="15.75" customHeight="1" spans="1:27">
      <c r="A61" s="746"/>
      <c r="B61" s="747"/>
      <c r="C61" s="747"/>
      <c r="D61" s="748" t="s">
        <v>71</v>
      </c>
      <c r="E61" s="756" t="str">
        <f>IF(OR(E59="Rdmy",E59="Rdmy1"),(Vout*1.08)^2/E60*4,IF(OR(E59="Dz",E59="Dz1"),E60*1.065*E57*4*0+'Standard Value Calculator'!I27*5,"N/A"))</f>
        <v>N/A</v>
      </c>
      <c r="F61" s="750" t="s">
        <v>68</v>
      </c>
      <c r="G61" s="680"/>
      <c r="H61" s="746"/>
      <c r="I61" s="796"/>
      <c r="J61" s="796"/>
      <c r="K61" s="748" t="str">
        <f>CHOOSE(MODE,"","Selected Device Min Power Rating&gt;")</f>
        <v>Selected Device Min Power Rating&gt;</v>
      </c>
      <c r="L61" s="756" t="str">
        <f>CHOOSE(MODE,"",IF(L59="Rdmy2",(Vout2*1.08)^2/L60*4,IF(L59="Dz2",ABS(L60*1.065*L57*4*0+'Standard Value Calculator'!I29*5),"N/A")))</f>
        <v>N/A</v>
      </c>
      <c r="M61" s="750" t="str">
        <f>CHOOSE(MODE,"","W")</f>
        <v>W</v>
      </c>
      <c r="N61" s="769"/>
      <c r="O61" s="769"/>
      <c r="P61" s="769"/>
      <c r="Q61" s="769"/>
      <c r="R61" s="530"/>
      <c r="S61" s="530"/>
      <c r="T61" s="525"/>
      <c r="U61" s="525"/>
      <c r="V61" s="525"/>
      <c r="W61" s="525"/>
      <c r="X61" s="525"/>
      <c r="Y61" s="525"/>
      <c r="Z61" s="807"/>
      <c r="AA61" s="765"/>
    </row>
    <row r="62" ht="15.75" customHeight="1" spans="1:27">
      <c r="A62" s="657"/>
      <c r="B62" s="680"/>
      <c r="C62" s="680"/>
      <c r="D62" s="702"/>
      <c r="E62" s="732"/>
      <c r="F62" s="737"/>
      <c r="G62" s="680"/>
      <c r="H62" s="680"/>
      <c r="I62" s="769"/>
      <c r="J62" s="769"/>
      <c r="K62" s="769"/>
      <c r="L62" s="769"/>
      <c r="M62" s="769"/>
      <c r="N62" s="769"/>
      <c r="O62" s="769"/>
      <c r="P62" s="769"/>
      <c r="Q62" s="769"/>
      <c r="R62" s="530"/>
      <c r="S62" s="530"/>
      <c r="T62" s="525"/>
      <c r="U62" s="525"/>
      <c r="V62" s="525"/>
      <c r="W62" s="525"/>
      <c r="X62" s="525"/>
      <c r="Y62" s="525"/>
      <c r="Z62" s="807"/>
      <c r="AA62" s="765"/>
    </row>
    <row r="63" spans="1:35">
      <c r="A63" s="757"/>
      <c r="B63" s="758"/>
      <c r="C63" s="759"/>
      <c r="D63" s="759"/>
      <c r="E63" s="759"/>
      <c r="F63" s="759"/>
      <c r="G63" s="759"/>
      <c r="H63" s="759"/>
      <c r="I63" s="759"/>
      <c r="J63" s="759"/>
      <c r="K63" s="759"/>
      <c r="L63" s="759"/>
      <c r="M63" s="759"/>
      <c r="N63" s="759"/>
      <c r="O63" s="759"/>
      <c r="P63" s="759"/>
      <c r="Q63" s="759"/>
      <c r="R63" s="804"/>
      <c r="S63" s="804"/>
      <c r="T63" s="804"/>
      <c r="U63" s="765"/>
      <c r="V63" s="765"/>
      <c r="W63" s="804"/>
      <c r="X63" s="804"/>
      <c r="Y63" s="804"/>
      <c r="Z63" s="765"/>
      <c r="AA63" s="765"/>
      <c r="AB63" s="805"/>
      <c r="AC63" s="805"/>
      <c r="AD63" s="805"/>
      <c r="AG63" s="805"/>
      <c r="AH63" s="805"/>
      <c r="AI63" s="805"/>
    </row>
    <row r="64" spans="1:35">
      <c r="A64" s="760"/>
      <c r="B64" s="760"/>
      <c r="C64" s="760"/>
      <c r="D64" s="760"/>
      <c r="E64" s="760"/>
      <c r="F64" s="760"/>
      <c r="G64" s="760"/>
      <c r="H64" s="760"/>
      <c r="I64" s="760"/>
      <c r="J64" s="760"/>
      <c r="K64" s="760"/>
      <c r="L64" s="760"/>
      <c r="M64" s="760"/>
      <c r="N64" s="760"/>
      <c r="O64" s="760"/>
      <c r="P64" s="760"/>
      <c r="Q64" s="760"/>
      <c r="R64" s="805"/>
      <c r="S64" s="805"/>
      <c r="T64" s="805"/>
      <c r="W64" s="805"/>
      <c r="X64" s="805"/>
      <c r="Y64" s="805"/>
      <c r="AB64" s="805"/>
      <c r="AC64" s="805"/>
      <c r="AD64" s="805"/>
      <c r="AG64" s="805"/>
      <c r="AH64" s="805"/>
      <c r="AI64" s="805"/>
    </row>
    <row r="65" spans="2:35">
      <c r="B65" s="760"/>
      <c r="C65" s="760"/>
      <c r="D65" s="760"/>
      <c r="E65" s="760"/>
      <c r="F65" s="760"/>
      <c r="G65" s="760"/>
      <c r="H65" s="760"/>
      <c r="I65" s="760"/>
      <c r="J65" s="760"/>
      <c r="K65" s="760"/>
      <c r="L65" s="760"/>
      <c r="R65" s="805"/>
      <c r="S65" s="805"/>
      <c r="T65" s="805"/>
      <c r="W65" s="805"/>
      <c r="X65" s="805"/>
      <c r="Y65" s="805"/>
      <c r="AB65" s="805"/>
      <c r="AC65" s="805"/>
      <c r="AD65" s="805"/>
      <c r="AG65" s="805"/>
      <c r="AH65" s="805"/>
      <c r="AI65" s="805"/>
    </row>
    <row r="66" spans="2:35">
      <c r="B66" s="760"/>
      <c r="C66" s="760"/>
      <c r="D66" s="760"/>
      <c r="E66" s="760"/>
      <c r="F66" s="760"/>
      <c r="G66" s="760"/>
      <c r="H66" s="760"/>
      <c r="I66" s="760"/>
      <c r="J66" s="760"/>
      <c r="K66" s="760"/>
      <c r="L66" s="760"/>
      <c r="R66" s="805"/>
      <c r="S66" s="805"/>
      <c r="T66" s="805"/>
      <c r="W66" s="805"/>
      <c r="X66" s="805"/>
      <c r="Y66" s="805"/>
      <c r="AB66" s="805"/>
      <c r="AC66" s="805"/>
      <c r="AD66" s="805"/>
      <c r="AG66" s="805"/>
      <c r="AH66" s="805"/>
      <c r="AI66" s="805"/>
    </row>
    <row r="67" spans="2:35">
      <c r="B67" s="760"/>
      <c r="C67" s="760"/>
      <c r="D67" s="760"/>
      <c r="E67" s="760"/>
      <c r="F67" s="760"/>
      <c r="G67" s="760"/>
      <c r="H67" s="760"/>
      <c r="I67" s="760"/>
      <c r="J67" s="760"/>
      <c r="K67" s="760"/>
      <c r="L67" s="760"/>
      <c r="R67" s="805"/>
      <c r="S67" s="805"/>
      <c r="T67" s="805"/>
      <c r="W67" s="805"/>
      <c r="X67" s="805"/>
      <c r="Y67" s="805"/>
      <c r="AB67" s="805"/>
      <c r="AC67" s="805"/>
      <c r="AD67" s="805"/>
      <c r="AG67" s="805"/>
      <c r="AH67" s="805"/>
      <c r="AI67" s="805"/>
    </row>
    <row r="68" spans="2:35">
      <c r="B68" s="760"/>
      <c r="C68" s="760"/>
      <c r="D68" s="760"/>
      <c r="E68" s="760"/>
      <c r="F68" s="760"/>
      <c r="G68" s="760"/>
      <c r="H68" s="760"/>
      <c r="I68" s="760"/>
      <c r="J68" s="760"/>
      <c r="K68" s="760"/>
      <c r="L68" s="760"/>
      <c r="R68" s="805"/>
      <c r="S68" s="805"/>
      <c r="T68" s="805"/>
      <c r="W68" s="805"/>
      <c r="X68" s="805"/>
      <c r="Y68" s="805"/>
      <c r="AB68" s="805"/>
      <c r="AC68" s="805"/>
      <c r="AD68" s="805"/>
      <c r="AG68" s="805"/>
      <c r="AH68" s="805"/>
      <c r="AI68" s="805"/>
    </row>
  </sheetData>
  <sheetProtection algorithmName="SHA-512" hashValue="kEvJgdvDUWM9dPyD9Me/KI6MEWQ4Z+LHNJ/aaKk4E6mGOofAmvCd1PJnQ5k569ZC1kSdWfUQGVt9PdN5BussaA==" saltValue="iDpg6dRHi2Ul2+JebGkCOQ==" spinCount="100000" sheet="1" selectLockedCells="1" objects="1" scenarios="1"/>
  <conditionalFormatting sqref="E6">
    <cfRule type="cellIs" dxfId="0" priority="38" operator="notBetween">
      <formula>4.5</formula>
      <formula>VIN_MAX_RATING</formula>
    </cfRule>
  </conditionalFormatting>
  <conditionalFormatting sqref="E7">
    <cfRule type="cellIs" dxfId="1" priority="39" stopIfTrue="1" operator="notBetween">
      <formula>4.5</formula>
      <formula>VIN_MAX_RATING</formula>
    </cfRule>
    <cfRule type="cellIs" dxfId="0" priority="10" stopIfTrue="1" operator="lessThan">
      <formula>$E$6</formula>
    </cfRule>
  </conditionalFormatting>
  <conditionalFormatting sqref="L7">
    <cfRule type="expression" dxfId="2" priority="186">
      <formula>'Variable Mgmt'!$B$92&gt;'Variable Mgmt'!$B$81*1000000</formula>
    </cfRule>
  </conditionalFormatting>
  <conditionalFormatting sqref="E8">
    <cfRule type="cellIs" dxfId="3" priority="142" operator="notBetween">
      <formula>4.5</formula>
      <formula>VIN_MAX_RATING</formula>
    </cfRule>
    <cfRule type="cellIs" dxfId="0" priority="11" operator="lessThan">
      <formula>$E$7</formula>
    </cfRule>
  </conditionalFormatting>
  <conditionalFormatting sqref="E10">
    <cfRule type="cellIs" dxfId="4" priority="139" stopIfTrue="1" operator="notBetween">
      <formula>0</formula>
      <formula>200</formula>
    </cfRule>
  </conditionalFormatting>
  <conditionalFormatting sqref="L10">
    <cfRule type="expression" dxfId="5" priority="44">
      <formula>'Variable Mgmt'!$B$60=TRUE</formula>
    </cfRule>
  </conditionalFormatting>
  <conditionalFormatting sqref="A11:F11">
    <cfRule type="expression" dxfId="6" priority="52">
      <formula>'Variable Mgmt'!$B$60=FALSE</formula>
    </cfRule>
  </conditionalFormatting>
  <conditionalFormatting sqref="E11">
    <cfRule type="cellIs" dxfId="1" priority="67" operator="between">
      <formula>-0.0099</formula>
      <formula>0.0099</formula>
    </cfRule>
    <cfRule type="cellIs" dxfId="1" priority="9" operator="lessThan">
      <formula>0</formula>
    </cfRule>
    <cfRule type="expression" dxfId="2" priority="94">
      <formula>"Iout&gt;2"</formula>
    </cfRule>
  </conditionalFormatting>
  <conditionalFormatting sqref="A12:F12">
    <cfRule type="expression" dxfId="6" priority="53">
      <formula>'Variable Mgmt'!$B$60=FALSE</formula>
    </cfRule>
  </conditionalFormatting>
  <conditionalFormatting sqref="E12">
    <cfRule type="cellIs" dxfId="4" priority="66" operator="notBetween">
      <formula>-200</formula>
      <formula>200</formula>
    </cfRule>
  </conditionalFormatting>
  <conditionalFormatting sqref="L12">
    <cfRule type="expression" dxfId="7" priority="187">
      <formula>AND('Variable Mgmt'!#REF!&gt;'Variable Mgmt'!$B$64*1/1000,MODE=1)</formula>
    </cfRule>
  </conditionalFormatting>
  <conditionalFormatting sqref="E13">
    <cfRule type="cellIs" dxfId="1" priority="64" operator="between">
      <formula>-0.0099</formula>
      <formula>0.0099</formula>
    </cfRule>
    <cfRule type="expression" dxfId="2" priority="8">
      <formula>$E$12*$E$13&lt;0</formula>
    </cfRule>
    <cfRule type="expression" dxfId="2" priority="65">
      <formula>Iout2&gt;2</formula>
    </cfRule>
  </conditionalFormatting>
  <conditionalFormatting sqref="F14">
    <cfRule type="expression" dxfId="8" priority="30">
      <formula>(MODE=2)</formula>
    </cfRule>
  </conditionalFormatting>
  <conditionalFormatting sqref="F15">
    <cfRule type="expression" dxfId="8" priority="115">
      <formula>(MODE=2)</formula>
    </cfRule>
  </conditionalFormatting>
  <conditionalFormatting sqref="L15:M15">
    <cfRule type="expression" dxfId="9" priority="42">
      <formula>'Variable Mgmt'!$D$45=TRUE</formula>
    </cfRule>
  </conditionalFormatting>
  <conditionalFormatting sqref="L16:M16">
    <cfRule type="expression" dxfId="10" priority="41">
      <formula>'Variable Mgmt'!$D$69=TRUE</formula>
    </cfRule>
  </conditionalFormatting>
  <conditionalFormatting sqref="F17">
    <cfRule type="cellIs" dxfId="1" priority="68" stopIfTrue="1" operator="lessThanOrEqual">
      <formula>0</formula>
    </cfRule>
  </conditionalFormatting>
  <conditionalFormatting sqref="E18">
    <cfRule type="cellIs" dxfId="1" priority="132" stopIfTrue="1" operator="lessThan">
      <formula>$E$17</formula>
    </cfRule>
  </conditionalFormatting>
  <conditionalFormatting sqref="K18">
    <cfRule type="expression" dxfId="8" priority="29">
      <formula>'Variable Mgmt'!$B$60=FALSE</formula>
    </cfRule>
  </conditionalFormatting>
  <conditionalFormatting sqref="E19">
    <cfRule type="cellIs" dxfId="1" priority="131" stopIfTrue="1" operator="equal">
      <formula>0</formula>
    </cfRule>
  </conditionalFormatting>
  <conditionalFormatting sqref="F21">
    <cfRule type="cellIs" dxfId="1" priority="86" stopIfTrue="1" operator="lessThanOrEqual">
      <formula>0</formula>
    </cfRule>
  </conditionalFormatting>
  <conditionalFormatting sqref="M21">
    <cfRule type="cellIs" dxfId="1" priority="49" stopIfTrue="1" operator="lessThanOrEqual">
      <formula>0</formula>
    </cfRule>
  </conditionalFormatting>
  <conditionalFormatting sqref="E22">
    <cfRule type="cellIs" dxfId="1" priority="136" stopIfTrue="1" operator="lessThan">
      <formula>$E$21</formula>
    </cfRule>
  </conditionalFormatting>
  <conditionalFormatting sqref="L22">
    <cfRule type="cellIs" dxfId="1" priority="50" stopIfTrue="1" operator="lessThan">
      <formula>$L$21</formula>
    </cfRule>
  </conditionalFormatting>
  <conditionalFormatting sqref="E23">
    <cfRule type="cellIs" dxfId="1" priority="60" stopIfTrue="1" operator="equal">
      <formula>0</formula>
    </cfRule>
  </conditionalFormatting>
  <conditionalFormatting sqref="L23">
    <cfRule type="cellIs" dxfId="1" priority="48" stopIfTrue="1" operator="equal">
      <formula>0</formula>
    </cfRule>
  </conditionalFormatting>
  <conditionalFormatting sqref="D30">
    <cfRule type="expression" dxfId="11" priority="109">
      <formula>OR(MODE_SS=2,MODE_SS=3)</formula>
    </cfRule>
  </conditionalFormatting>
  <conditionalFormatting sqref="E30">
    <cfRule type="cellIs" dxfId="1" priority="126" operator="lessThan">
      <formula>6</formula>
    </cfRule>
  </conditionalFormatting>
  <conditionalFormatting sqref="E30:F30">
    <cfRule type="expression" dxfId="5" priority="110">
      <formula>OR(MODE_SS=2,MODE_SS=3)</formula>
    </cfRule>
  </conditionalFormatting>
  <conditionalFormatting sqref="D31:F31">
    <cfRule type="expression" dxfId="8" priority="108">
      <formula>OR(MODE_SS=2,MODE_SS=3)</formula>
    </cfRule>
  </conditionalFormatting>
  <conditionalFormatting sqref="D33">
    <cfRule type="expression" dxfId="11" priority="55">
      <formula>OR(TC=2)</formula>
    </cfRule>
  </conditionalFormatting>
  <conditionalFormatting sqref="D36">
    <cfRule type="expression" dxfId="11" priority="106">
      <formula>MODE_UVLO=2</formula>
    </cfRule>
  </conditionalFormatting>
  <conditionalFormatting sqref="E36">
    <cfRule type="cellIs" dxfId="1" priority="128" operator="notBetween">
      <formula>65</formula>
      <formula>4.5</formula>
    </cfRule>
    <cfRule type="cellIs" dxfId="0" priority="7" operator="greaterThan">
      <formula>$E$6</formula>
    </cfRule>
  </conditionalFormatting>
  <conditionalFormatting sqref="A37:F37">
    <cfRule type="expression" dxfId="6" priority="70">
      <formula>MODE_UVLO=1</formula>
    </cfRule>
  </conditionalFormatting>
  <conditionalFormatting sqref="D37">
    <cfRule type="expression" dxfId="11" priority="103">
      <formula>MODE_UVLO=2</formula>
    </cfRule>
  </conditionalFormatting>
  <conditionalFormatting sqref="E37">
    <cfRule type="cellIs" dxfId="1" priority="104" operator="notBetween">
      <formula>3.5</formula>
      <formula>$E$36</formula>
    </cfRule>
    <cfRule type="cellIs" dxfId="0" priority="6" operator="greaterThan">
      <formula>$E$36</formula>
    </cfRule>
  </conditionalFormatting>
  <conditionalFormatting sqref="J38">
    <cfRule type="cellIs" dxfId="12" priority="150" stopIfTrue="1" operator="notBetween">
      <formula>600</formula>
      <formula>50</formula>
    </cfRule>
    <cfRule type="cellIs" dxfId="13" priority="151" stopIfTrue="1" operator="greaterThan">
      <formula>$E$9</formula>
    </cfRule>
  </conditionalFormatting>
  <conditionalFormatting sqref="A40:F40">
    <cfRule type="expression" dxfId="14" priority="79">
      <formula>MODE_UVLO=2</formula>
    </cfRule>
  </conditionalFormatting>
  <conditionalFormatting sqref="E45">
    <cfRule type="cellIs" dxfId="1" priority="87" operator="notBetween">
      <formula>-40</formula>
      <formula>150</formula>
    </cfRule>
  </conditionalFormatting>
  <conditionalFormatting sqref="E52">
    <cfRule type="cellIs" dxfId="1" priority="28" operator="notBetween">
      <formula>-40</formula>
      <formula>150</formula>
    </cfRule>
  </conditionalFormatting>
  <conditionalFormatting sqref="L52">
    <cfRule type="cellIs" dxfId="1" priority="26" operator="notBetween">
      <formula>-40</formula>
      <formula>150</formula>
    </cfRule>
  </conditionalFormatting>
  <conditionalFormatting sqref="E57">
    <cfRule type="cellIs" dxfId="0" priority="5" operator="lessThan">
      <formula>0</formula>
    </cfRule>
  </conditionalFormatting>
  <conditionalFormatting sqref="L57">
    <cfRule type="expression" dxfId="2" priority="3">
      <formula>$L$57*$E$12&lt;0</formula>
    </cfRule>
  </conditionalFormatting>
  <conditionalFormatting sqref="E58">
    <cfRule type="cellIs" dxfId="0" priority="4" operator="lessThan">
      <formula>$E$10*1.05</formula>
    </cfRule>
  </conditionalFormatting>
  <conditionalFormatting sqref="L58">
    <cfRule type="expression" dxfId="2" priority="2">
      <formula>$E$12*$L$58&lt;0</formula>
    </cfRule>
    <cfRule type="expression" dxfId="2" priority="1">
      <formula>$L$58/$E$12&lt;1.05</formula>
    </cfRule>
  </conditionalFormatting>
  <conditionalFormatting sqref="E12:E13">
    <cfRule type="expression" dxfId="15" priority="180">
      <formula>'Variable Mgmt'!$B$60</formula>
    </cfRule>
  </conditionalFormatting>
  <conditionalFormatting sqref="F12:F13">
    <cfRule type="expression" dxfId="16" priority="183">
      <formula>'Variable Mgmt'!$B$60</formula>
    </cfRule>
  </conditionalFormatting>
  <conditionalFormatting sqref="F38:F39">
    <cfRule type="expression" dxfId="16" priority="78">
      <formula>MODE_UVLO=2</formula>
    </cfRule>
  </conditionalFormatting>
  <conditionalFormatting sqref="G22:G23">
    <cfRule type="expression" dxfId="17" priority="45">
      <formula>'Variable Mgmt'!$B$60=TRUE</formula>
    </cfRule>
  </conditionalFormatting>
  <conditionalFormatting sqref="L57:L58">
    <cfRule type="expression" dxfId="18" priority="12">
      <formula>NOT('Variable Mgmt'!$B$60=TRUE)</formula>
    </cfRule>
    <cfRule type="expression" dxfId="8" priority="13">
      <formula>'Variable Mgmt'!$B$60=TRUE</formula>
    </cfRule>
  </conditionalFormatting>
  <conditionalFormatting sqref="A12:F13 A14:D14">
    <cfRule type="expression" dxfId="6" priority="182">
      <formula>'Variable Mgmt'!$B$60</formula>
    </cfRule>
  </conditionalFormatting>
  <conditionalFormatting sqref="K17:M17 K19:M20 L18:M18">
    <cfRule type="expression" dxfId="8" priority="37">
      <formula>'Variable Mgmt'!$B$60=FALSE</formula>
    </cfRule>
  </conditionalFormatting>
  <conditionalFormatting sqref="H21:J24">
    <cfRule type="expression" dxfId="14" priority="46">
      <formula>'Variable Mgmt'!$B$60=TRUE</formula>
    </cfRule>
  </conditionalFormatting>
  <conditionalFormatting sqref="K21:M24">
    <cfRule type="expression" dxfId="19" priority="47">
      <formula>'Variable Mgmt'!$B$60=TRUE</formula>
    </cfRule>
  </conditionalFormatting>
  <conditionalFormatting sqref="D34:F34 E33:F33">
    <cfRule type="expression" dxfId="5" priority="54">
      <formula>OR(TC=2)</formula>
    </cfRule>
  </conditionalFormatting>
  <conditionalFormatting sqref="C38:F40 E36:F37">
    <cfRule type="expression" dxfId="5" priority="80">
      <formula>MODE_UVLO=2</formula>
    </cfRule>
  </conditionalFormatting>
  <conditionalFormatting sqref="G51:M54">
    <cfRule type="expression" priority="25">
      <formula>"MODE=true"</formula>
    </cfRule>
  </conditionalFormatting>
  <conditionalFormatting sqref="L51 L53:L54">
    <cfRule type="cellIs" dxfId="1" priority="27" operator="notBetween">
      <formula>-40</formula>
      <formula>150</formula>
    </cfRule>
  </conditionalFormatting>
  <hyperlinks>
    <hyperlink ref="C3" r:id="rId13" display="xx"/>
  </hyperlinks>
  <printOptions horizontalCentered="1" verticalCentered="1"/>
  <pageMargins left="0.1" right="0.1" top="0.1" bottom="0.1" header="0.25" footer="0.25"/>
  <pageSetup paperSize="1" scale="61" orientation="landscape"/>
  <headerFooter alignWithMargins="0"/>
  <rowBreaks count="1" manualBreakCount="1">
    <brk id="63" max="16383" man="1"/>
  </rowBreaks>
  <drawing r:id="rId2"/>
  <legacyDrawing r:id="rId3"/>
  <legacyDrawingHF r:id="rId12"/>
  <mc:AlternateContent xmlns:mc="http://schemas.openxmlformats.org/markup-compatibility/2006">
    <mc:Choice Requires="x14">
      <controls>
        <mc:AlternateContent xmlns:mc="http://schemas.openxmlformats.org/markup-compatibility/2006">
          <mc:Choice Requires="x14">
            <control shapeId="750825" name="Drop Down 5353" r:id="rId4">
              <controlPr defaultSize="0">
                <anchor moveWithCells="1">
                  <from>
                    <xdr:col>24</xdr:col>
                    <xdr:colOff>146050</xdr:colOff>
                    <xdr:row>0</xdr:row>
                    <xdr:rowOff>381000</xdr:rowOff>
                  </from>
                  <to>
                    <xdr:col>24</xdr:col>
                    <xdr:colOff>527050</xdr:colOff>
                    <xdr:row>1</xdr:row>
                    <xdr:rowOff>0</xdr:rowOff>
                  </to>
                </anchor>
              </controlPr>
            </control>
          </mc:Choice>
        </mc:AlternateContent>
        <mc:AlternateContent xmlns:mc="http://schemas.openxmlformats.org/markup-compatibility/2006">
          <mc:Choice Requires="x14">
            <control shapeId="672895" name="Spinner 127" r:id="rId5">
              <controlPr defaultSize="0">
                <anchor moveWithCells="1" sizeWithCells="1">
                  <from>
                    <xdr:col>5</xdr:col>
                    <xdr:colOff>127000</xdr:colOff>
                    <xdr:row>6</xdr:row>
                    <xdr:rowOff>12700</xdr:rowOff>
                  </from>
                  <to>
                    <xdr:col>5</xdr:col>
                    <xdr:colOff>304800</xdr:colOff>
                    <xdr:row>7</xdr:row>
                    <xdr:rowOff>31750</xdr:rowOff>
                  </to>
                </anchor>
              </controlPr>
            </control>
          </mc:Choice>
        </mc:AlternateContent>
        <mc:AlternateContent xmlns:mc="http://schemas.openxmlformats.org/markup-compatibility/2006">
          <mc:Choice Requires="x14">
            <control shapeId="672935" name="Drop Down 167" r:id="rId6">
              <controlPr defaultSize="0">
                <anchor moveWithCells="1">
                  <from>
                    <xdr:col>4</xdr:col>
                    <xdr:colOff>12700</xdr:colOff>
                    <xdr:row>28</xdr:row>
                    <xdr:rowOff>0</xdr:rowOff>
                  </from>
                  <to>
                    <xdr:col>5</xdr:col>
                    <xdr:colOff>279400</xdr:colOff>
                    <xdr:row>29</xdr:row>
                    <xdr:rowOff>31750</xdr:rowOff>
                  </to>
                </anchor>
              </controlPr>
            </control>
          </mc:Choice>
        </mc:AlternateContent>
        <mc:AlternateContent xmlns:mc="http://schemas.openxmlformats.org/markup-compatibility/2006">
          <mc:Choice Requires="x14">
            <control shapeId="673043" name="Drop Down 275" r:id="rId7">
              <controlPr defaultSize="0">
                <anchor moveWithCells="1">
                  <from>
                    <xdr:col>4</xdr:col>
                    <xdr:colOff>12700</xdr:colOff>
                    <xdr:row>34</xdr:row>
                    <xdr:rowOff>0</xdr:rowOff>
                  </from>
                  <to>
                    <xdr:col>5</xdr:col>
                    <xdr:colOff>260350</xdr:colOff>
                    <xdr:row>34</xdr:row>
                    <xdr:rowOff>203200</xdr:rowOff>
                  </to>
                </anchor>
              </controlPr>
            </control>
          </mc:Choice>
        </mc:AlternateContent>
        <mc:AlternateContent xmlns:mc="http://schemas.openxmlformats.org/markup-compatibility/2006">
          <mc:Choice Requires="x14">
            <control shapeId="697343" name="Drop Down 3071" r:id="rId8">
              <controlPr defaultSize="0">
                <anchor moveWithCells="1">
                  <from>
                    <xdr:col>11</xdr:col>
                    <xdr:colOff>12700</xdr:colOff>
                    <xdr:row>11</xdr:row>
                    <xdr:rowOff>0</xdr:rowOff>
                  </from>
                  <to>
                    <xdr:col>12</xdr:col>
                    <xdr:colOff>69850</xdr:colOff>
                    <xdr:row>12</xdr:row>
                    <xdr:rowOff>12700</xdr:rowOff>
                  </to>
                </anchor>
              </controlPr>
            </control>
          </mc:Choice>
        </mc:AlternateContent>
        <mc:AlternateContent xmlns:mc="http://schemas.openxmlformats.org/markup-compatibility/2006">
          <mc:Choice Requires="x14">
            <control shapeId="714798" name="Drop Down 3118" r:id="rId9">
              <controlPr defaultSize="0">
                <anchor moveWithCells="1">
                  <from>
                    <xdr:col>4</xdr:col>
                    <xdr:colOff>0</xdr:colOff>
                    <xdr:row>31</xdr:row>
                    <xdr:rowOff>12700</xdr:rowOff>
                  </from>
                  <to>
                    <xdr:col>5</xdr:col>
                    <xdr:colOff>266700</xdr:colOff>
                    <xdr:row>32</xdr:row>
                    <xdr:rowOff>12700</xdr:rowOff>
                  </to>
                </anchor>
              </controlPr>
            </control>
          </mc:Choice>
        </mc:AlternateContent>
        <mc:AlternateContent xmlns:mc="http://schemas.openxmlformats.org/markup-compatibility/2006">
          <mc:Choice Requires="x14">
            <control shapeId="715085" name="Drop Down 3405" r:id="rId10">
              <controlPr locked="0" defaultSize="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750660" name="Drop Down 5188" r:id="rId11">
              <controlPr locked="0" defaultSize="0">
                <anchor moveWithCells="1">
                  <from>
                    <xdr:col>4</xdr:col>
                    <xdr:colOff>31750</xdr:colOff>
                    <xdr:row>4</xdr:row>
                    <xdr:rowOff>12700</xdr:rowOff>
                  </from>
                  <to>
                    <xdr:col>5</xdr:col>
                    <xdr:colOff>400050</xdr:colOff>
                    <xdr:row>4</xdr:row>
                    <xdr:rowOff>241300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2:B7"/>
  <sheetViews>
    <sheetView topLeftCell="A4" workbookViewId="0">
      <selection activeCell="H7" sqref="H7"/>
    </sheetView>
  </sheetViews>
  <sheetFormatPr defaultColWidth="9" defaultRowHeight="12.5" outlineLevelRow="6" outlineLevelCol="1"/>
  <cols>
    <col min="2" max="2" width="126.454545454545" customWidth="1"/>
  </cols>
  <sheetData>
    <row r="2" ht="17.25" customHeight="1" spans="1:1">
      <c r="A2" s="2" t="str">
        <f>CHOOSE(MODE,"EFF_SINGLE","EFF_DUAL")</f>
        <v>EFF_DUAL</v>
      </c>
    </row>
    <row r="5" ht="409.5" customHeight="1" spans="2:2">
      <c r="B5" s="7"/>
    </row>
    <row r="6" ht="17.15" customHeight="1"/>
    <row r="7" ht="409.5" customHeight="1" spans="2:2">
      <c r="B7" s="7"/>
    </row>
  </sheetData>
  <pageMargins left="0.7" right="0.7" top="0.75" bottom="0.75" header="0.3" footer="0.3"/>
  <pageSetup paperSize="1" orientation="portrait"/>
  <headerFooter/>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2:B7"/>
  <sheetViews>
    <sheetView workbookViewId="0">
      <selection activeCell="C7" sqref="C7"/>
    </sheetView>
  </sheetViews>
  <sheetFormatPr defaultColWidth="9" defaultRowHeight="12.5" outlineLevelRow="6" outlineLevelCol="1"/>
  <cols>
    <col min="2" max="2" width="126.454545454545" customWidth="1"/>
  </cols>
  <sheetData>
    <row r="2" ht="17.25" customHeight="1" spans="1:1">
      <c r="A2" s="2" t="str">
        <f>CHOOSE(MODE,"Fsw_SINGLE","Fsw_DUAL")</f>
        <v>Fsw_DUAL</v>
      </c>
    </row>
    <row r="5" ht="409.5" customHeight="1" spans="2:2">
      <c r="B5" s="7"/>
    </row>
    <row r="6" ht="17.15" customHeight="1"/>
    <row r="7" ht="409.5" customHeight="1" spans="2:2">
      <c r="B7" s="7"/>
    </row>
  </sheetData>
  <pageMargins left="0.7" right="0.7" top="0.75" bottom="0.75" header="0.3" footer="0.3"/>
  <pageSetup paperSize="1" orientation="portrait"/>
  <headerFooter/>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B050"/>
  </sheetPr>
  <dimension ref="A2:T67"/>
  <sheetViews>
    <sheetView zoomScale="25" zoomScaleNormal="25" zoomScaleSheetLayoutView="145" workbookViewId="0">
      <selection activeCell="H23" sqref="H23"/>
    </sheetView>
  </sheetViews>
  <sheetFormatPr defaultColWidth="9" defaultRowHeight="12.5"/>
  <cols>
    <col min="1" max="1" width="12.7272727272727" style="7" customWidth="1"/>
    <col min="2" max="2" width="124.727272727273" style="8" customWidth="1"/>
    <col min="3" max="4" width="9.18181818181818" style="7"/>
    <col min="5" max="5" width="124.727272727273" style="9" customWidth="1"/>
    <col min="8" max="8" width="124.727272727273" style="10" customWidth="1"/>
  </cols>
  <sheetData>
    <row r="2" spans="1:1">
      <c r="A2" s="7" t="str">
        <f>'Variable Mgmt'!K52</f>
        <v>SCH_BIPOLAR_UVLOadj_SSint_TCyes</v>
      </c>
    </row>
    <row r="5" s="7" customFormat="1" ht="13.5" customHeight="1" spans="5:8">
      <c r="E5" s="10"/>
      <c r="H5" s="10"/>
    </row>
    <row r="6" s="7" customFormat="1" ht="16.5" customHeight="1" spans="5:8">
      <c r="E6" s="10"/>
      <c r="H6" s="10"/>
    </row>
    <row r="7" ht="357" customHeight="1" spans="2:14">
      <c r="B7" s="11"/>
      <c r="E7" s="12"/>
      <c r="F7" s="8"/>
      <c r="G7" s="8"/>
      <c r="I7" s="8"/>
      <c r="J7" s="8"/>
      <c r="K7" s="8"/>
      <c r="L7" s="8"/>
      <c r="M7" s="8"/>
      <c r="N7" s="8"/>
    </row>
    <row r="8" s="7" customFormat="1" ht="17.25" customHeight="1" spans="2:15">
      <c r="B8" s="10"/>
      <c r="E8" s="10"/>
      <c r="H8" s="10"/>
      <c r="O8" s="15"/>
    </row>
    <row r="9" ht="357" customHeight="1" spans="2:15">
      <c r="B9" s="13"/>
      <c r="D9" s="10"/>
      <c r="E9" s="12"/>
      <c r="F9" s="7"/>
      <c r="G9" s="8"/>
      <c r="I9" s="8"/>
      <c r="J9" s="8"/>
      <c r="K9" s="8"/>
      <c r="L9" s="8"/>
      <c r="M9" s="8"/>
      <c r="N9" s="8"/>
      <c r="O9" s="16"/>
    </row>
    <row r="10" s="7" customFormat="1" spans="5:8">
      <c r="E10" s="10"/>
      <c r="H10" s="10"/>
    </row>
    <row r="11" ht="357" customHeight="1" spans="2:15">
      <c r="B11" s="12"/>
      <c r="D11" s="10"/>
      <c r="E11" s="10"/>
      <c r="F11" s="7"/>
      <c r="G11" s="8"/>
      <c r="I11" s="8"/>
      <c r="J11" s="8"/>
      <c r="K11" s="8"/>
      <c r="L11" s="8"/>
      <c r="M11" s="8"/>
      <c r="N11" s="8"/>
      <c r="O11" s="16"/>
    </row>
    <row r="12" spans="2:14">
      <c r="B12" s="7"/>
      <c r="E12" s="10"/>
      <c r="F12" s="7"/>
      <c r="G12" s="8"/>
      <c r="I12" s="8"/>
      <c r="J12" s="8"/>
      <c r="K12" s="8"/>
      <c r="L12" s="8"/>
      <c r="M12" s="8"/>
      <c r="N12" s="8"/>
    </row>
    <row r="13" ht="357" customHeight="1" spans="2:15">
      <c r="B13" s="12"/>
      <c r="E13" s="10"/>
      <c r="F13" s="7"/>
      <c r="G13" s="8"/>
      <c r="I13" s="8"/>
      <c r="J13" s="8"/>
      <c r="K13" s="8"/>
      <c r="L13" s="8"/>
      <c r="M13" s="8"/>
      <c r="N13" s="8"/>
      <c r="O13" s="16"/>
    </row>
    <row r="14" spans="2:14">
      <c r="B14" s="7"/>
      <c r="E14" s="10"/>
      <c r="F14" s="7"/>
      <c r="G14" s="8"/>
      <c r="I14" s="8"/>
      <c r="J14" s="8"/>
      <c r="K14" s="8"/>
      <c r="L14" s="8"/>
      <c r="M14" s="8"/>
      <c r="N14" s="8"/>
    </row>
    <row r="15" ht="357" customHeight="1" spans="5:15">
      <c r="E15" s="10"/>
      <c r="F15" s="7"/>
      <c r="G15" s="8"/>
      <c r="I15" s="8"/>
      <c r="J15" s="8"/>
      <c r="K15" s="8"/>
      <c r="L15" s="8"/>
      <c r="M15" s="8"/>
      <c r="N15" s="8"/>
      <c r="O15" s="16"/>
    </row>
    <row r="16" spans="2:14">
      <c r="B16" s="7"/>
      <c r="E16" s="10"/>
      <c r="F16" s="8"/>
      <c r="G16" s="8"/>
      <c r="I16" s="8"/>
      <c r="J16" s="8"/>
      <c r="K16" s="8"/>
      <c r="L16" s="8"/>
      <c r="M16" s="8"/>
      <c r="N16" s="8"/>
    </row>
    <row r="17" ht="357" customHeight="1" spans="2:15">
      <c r="B17" s="12"/>
      <c r="E17" s="10"/>
      <c r="F17" s="7"/>
      <c r="G17" s="8"/>
      <c r="I17" s="8"/>
      <c r="J17" s="8"/>
      <c r="K17" s="8"/>
      <c r="L17" s="8"/>
      <c r="M17" s="8"/>
      <c r="N17" s="8"/>
      <c r="O17" s="16"/>
    </row>
    <row r="18" ht="12" customHeight="1" spans="2:14">
      <c r="B18" s="7"/>
      <c r="E18" s="10"/>
      <c r="F18" s="8"/>
      <c r="G18" s="8"/>
      <c r="I18" s="8"/>
      <c r="J18" s="8"/>
      <c r="K18" s="8"/>
      <c r="L18" s="8"/>
      <c r="M18" s="8"/>
      <c r="N18" s="8"/>
    </row>
    <row r="19" ht="357" customHeight="1" spans="2:14">
      <c r="B19" s="7"/>
      <c r="E19" s="10"/>
      <c r="F19" s="8"/>
      <c r="G19" s="8"/>
      <c r="I19" s="8"/>
      <c r="J19" s="8"/>
      <c r="K19" s="8"/>
      <c r="L19" s="8"/>
      <c r="M19" s="8"/>
      <c r="N19" s="8"/>
    </row>
    <row r="20" ht="13.5" customHeight="1" spans="2:14">
      <c r="B20" s="7"/>
      <c r="E20" s="10"/>
      <c r="F20" s="8"/>
      <c r="G20" s="8"/>
      <c r="I20" s="8"/>
      <c r="J20" s="8"/>
      <c r="K20" s="8"/>
      <c r="L20" s="8"/>
      <c r="M20" s="8"/>
      <c r="N20" s="8"/>
    </row>
    <row r="21" ht="357" customHeight="1" spans="2:14">
      <c r="B21" s="7"/>
      <c r="E21" s="10"/>
      <c r="F21" s="8"/>
      <c r="G21" s="8"/>
      <c r="I21" s="8"/>
      <c r="J21" s="8"/>
      <c r="K21" s="8"/>
      <c r="L21" s="8"/>
      <c r="M21" s="8"/>
      <c r="N21" s="8"/>
    </row>
    <row r="22" spans="2:14">
      <c r="B22" s="7"/>
      <c r="E22" s="10"/>
      <c r="F22" s="8"/>
      <c r="G22" s="8"/>
      <c r="I22" s="8"/>
      <c r="J22" s="8"/>
      <c r="K22" s="8"/>
      <c r="L22" s="8"/>
      <c r="M22" s="8"/>
      <c r="N22" s="8"/>
    </row>
    <row r="23" ht="357" customHeight="1" spans="2:14">
      <c r="B23" s="7"/>
      <c r="E23" s="10"/>
      <c r="F23" s="8"/>
      <c r="G23" s="8"/>
      <c r="I23" s="8"/>
      <c r="J23" s="8"/>
      <c r="K23" s="8"/>
      <c r="L23" s="8"/>
      <c r="M23" s="8"/>
      <c r="N23" s="8"/>
    </row>
    <row r="24" spans="2:14">
      <c r="B24" s="7"/>
      <c r="E24" s="10"/>
      <c r="F24" s="8"/>
      <c r="G24" s="8"/>
      <c r="I24" s="8"/>
      <c r="J24" s="8"/>
      <c r="K24" s="8"/>
      <c r="L24" s="8"/>
      <c r="M24" s="8"/>
      <c r="N24" s="8"/>
    </row>
    <row r="25" ht="327.75" customHeight="1" spans="2:14">
      <c r="B25" s="7"/>
      <c r="E25" s="10"/>
      <c r="F25" s="8"/>
      <c r="G25" s="8"/>
      <c r="I25" s="8"/>
      <c r="J25" s="8"/>
      <c r="K25" s="8"/>
      <c r="L25" s="8"/>
      <c r="M25" s="8"/>
      <c r="N25" s="8"/>
    </row>
    <row r="26" spans="5:14">
      <c r="E26" s="10"/>
      <c r="F26" s="8"/>
      <c r="G26" s="8"/>
      <c r="I26" s="8"/>
      <c r="J26" s="8"/>
      <c r="K26" s="8"/>
      <c r="L26" s="8"/>
      <c r="M26" s="8"/>
      <c r="N26" s="8"/>
    </row>
    <row r="27" ht="327.65" customHeight="1" spans="2:14">
      <c r="B27" s="7"/>
      <c r="E27" s="10"/>
      <c r="F27" s="8"/>
      <c r="G27" s="8"/>
      <c r="I27" s="8"/>
      <c r="J27" s="8"/>
      <c r="K27" s="8"/>
      <c r="L27" s="8"/>
      <c r="M27" s="8"/>
      <c r="N27" s="8"/>
    </row>
    <row r="28" spans="2:14">
      <c r="B28" s="7"/>
      <c r="E28" s="10"/>
      <c r="F28" s="8"/>
      <c r="G28" s="8"/>
      <c r="I28" s="8"/>
      <c r="J28" s="8"/>
      <c r="K28" s="8"/>
      <c r="L28" s="8"/>
      <c r="M28" s="8"/>
      <c r="N28" s="8"/>
    </row>
    <row r="29" ht="327.75" customHeight="1" spans="2:14">
      <c r="B29" s="7"/>
      <c r="E29" s="10"/>
      <c r="F29" s="8"/>
      <c r="G29" s="8"/>
      <c r="I29" s="8"/>
      <c r="J29" s="8"/>
      <c r="K29" s="8"/>
      <c r="L29" s="8"/>
      <c r="M29" s="8"/>
      <c r="N29" s="8"/>
    </row>
    <row r="30" ht="13.5" customHeight="1" spans="2:14">
      <c r="B30" s="7"/>
      <c r="E30" s="10"/>
      <c r="F30" s="8"/>
      <c r="G30" s="8"/>
      <c r="I30" s="8"/>
      <c r="J30" s="8"/>
      <c r="K30" s="8"/>
      <c r="L30" s="8"/>
      <c r="M30" s="8"/>
      <c r="N30" s="8"/>
    </row>
    <row r="31" ht="327.75" customHeight="1" spans="2:14">
      <c r="B31" s="7"/>
      <c r="E31" s="10"/>
      <c r="F31" s="8"/>
      <c r="G31" s="8"/>
      <c r="I31" s="8"/>
      <c r="J31" s="8"/>
      <c r="K31" s="8"/>
      <c r="L31" s="8"/>
      <c r="M31" s="8"/>
      <c r="N31" s="8"/>
    </row>
    <row r="32" ht="13.5" customHeight="1" spans="2:14">
      <c r="B32" s="7"/>
      <c r="E32" s="10"/>
      <c r="F32" s="8"/>
      <c r="G32" s="8"/>
      <c r="I32" s="8"/>
      <c r="J32" s="8"/>
      <c r="K32" s="8"/>
      <c r="L32" s="8"/>
      <c r="M32" s="8"/>
      <c r="N32" s="8"/>
    </row>
    <row r="33" ht="327.75" customHeight="1" spans="2:14">
      <c r="B33" s="7"/>
      <c r="E33" s="10"/>
      <c r="F33" s="8"/>
      <c r="G33" s="8"/>
      <c r="I33" s="8"/>
      <c r="J33" s="8"/>
      <c r="K33" s="8"/>
      <c r="L33" s="8"/>
      <c r="M33" s="8"/>
      <c r="N33" s="8"/>
    </row>
    <row r="34" ht="13.5" customHeight="1" spans="2:14">
      <c r="B34" s="7"/>
      <c r="E34" s="10"/>
      <c r="F34" s="8"/>
      <c r="G34" s="8"/>
      <c r="I34" s="8"/>
      <c r="J34" s="8"/>
      <c r="K34" s="8"/>
      <c r="L34" s="8"/>
      <c r="M34" s="8"/>
      <c r="N34" s="8"/>
    </row>
    <row r="35" ht="327.65" customHeight="1" spans="2:14">
      <c r="B35" s="7"/>
      <c r="E35" s="10"/>
      <c r="F35" s="8"/>
      <c r="G35" s="8"/>
      <c r="I35" s="8"/>
      <c r="J35" s="8"/>
      <c r="K35" s="8"/>
      <c r="L35" s="8"/>
      <c r="M35" s="8"/>
      <c r="N35" s="8"/>
    </row>
    <row r="36" ht="13.5" customHeight="1" spans="2:14">
      <c r="B36" s="7"/>
      <c r="E36" s="10"/>
      <c r="F36" s="8"/>
      <c r="G36" s="8"/>
      <c r="I36" s="8"/>
      <c r="J36" s="8"/>
      <c r="K36" s="8"/>
      <c r="L36" s="8"/>
      <c r="M36" s="8"/>
      <c r="N36" s="8"/>
    </row>
    <row r="37" ht="327.75" customHeight="1" spans="2:14">
      <c r="B37" s="7"/>
      <c r="E37" s="10"/>
      <c r="F37" s="8"/>
      <c r="G37" s="8"/>
      <c r="I37" s="8"/>
      <c r="J37" s="8"/>
      <c r="K37" s="8"/>
      <c r="L37" s="8"/>
      <c r="M37" s="8"/>
      <c r="N37" s="8"/>
    </row>
    <row r="38" ht="13.5" customHeight="1" spans="2:14">
      <c r="B38" s="7"/>
      <c r="E38" s="10"/>
      <c r="F38" s="8"/>
      <c r="G38" s="14"/>
      <c r="I38" s="17"/>
      <c r="J38" s="8"/>
      <c r="K38" s="8"/>
      <c r="L38" s="8"/>
      <c r="M38" s="8"/>
      <c r="N38" s="8"/>
    </row>
    <row r="39" ht="327.75" customHeight="1" spans="2:14">
      <c r="B39" s="7"/>
      <c r="E39" s="10"/>
      <c r="F39" s="8"/>
      <c r="G39" s="8"/>
      <c r="I39" s="17"/>
      <c r="J39" s="8"/>
      <c r="K39" s="8"/>
      <c r="L39" s="8"/>
      <c r="M39" s="8"/>
      <c r="N39" s="8"/>
    </row>
    <row r="40" spans="2:20">
      <c r="B40" s="7"/>
      <c r="E40" s="10"/>
      <c r="F40" s="8"/>
      <c r="G40" s="8"/>
      <c r="I40" s="8"/>
      <c r="J40" s="8"/>
      <c r="K40" s="8"/>
      <c r="L40" s="8"/>
      <c r="M40" s="8"/>
      <c r="N40" s="8"/>
      <c r="O40" s="8"/>
      <c r="P40" s="8"/>
      <c r="Q40" s="18"/>
      <c r="S40" s="19"/>
      <c r="T40" s="19"/>
    </row>
    <row r="41" ht="327.75" customHeight="1" spans="2:19">
      <c r="B41" s="7"/>
      <c r="E41" s="10"/>
      <c r="F41" s="8"/>
      <c r="G41" s="8"/>
      <c r="I41" s="8"/>
      <c r="J41" s="8"/>
      <c r="K41" s="8"/>
      <c r="L41" s="8"/>
      <c r="M41" s="8"/>
      <c r="N41" s="8"/>
      <c r="O41" s="8"/>
      <c r="P41" s="8"/>
      <c r="Q41" s="18"/>
      <c r="S41" s="19"/>
    </row>
    <row r="42" spans="2:19">
      <c r="B42" s="7"/>
      <c r="E42" s="10"/>
      <c r="F42" s="8"/>
      <c r="G42" s="8"/>
      <c r="I42" s="8"/>
      <c r="J42" s="8"/>
      <c r="K42" s="8"/>
      <c r="L42" s="8"/>
      <c r="M42" s="8"/>
      <c r="N42" s="8"/>
      <c r="O42" s="8"/>
      <c r="P42" s="8"/>
      <c r="Q42" s="18"/>
      <c r="S42" s="19"/>
    </row>
    <row r="43" ht="327.75" customHeight="1" spans="2:19">
      <c r="B43" s="7"/>
      <c r="E43" s="10"/>
      <c r="F43" s="8"/>
      <c r="G43" s="8"/>
      <c r="I43" s="8"/>
      <c r="J43" s="8"/>
      <c r="K43" s="8"/>
      <c r="L43" s="8"/>
      <c r="M43" s="8"/>
      <c r="N43" s="8"/>
      <c r="O43" s="8"/>
      <c r="P43" s="8"/>
      <c r="Q43" s="18"/>
      <c r="S43" s="19"/>
    </row>
    <row r="44" spans="2:19">
      <c r="B44" s="7"/>
      <c r="E44" s="10"/>
      <c r="F44" s="8"/>
      <c r="G44" s="8"/>
      <c r="I44" s="8"/>
      <c r="J44" s="8"/>
      <c r="K44" s="8"/>
      <c r="L44" s="8"/>
      <c r="M44" s="8"/>
      <c r="N44" s="8"/>
      <c r="O44" s="8"/>
      <c r="P44" s="8"/>
      <c r="Q44" s="18"/>
      <c r="S44" s="19"/>
    </row>
    <row r="45" ht="327.75" customHeight="1" spans="2:19">
      <c r="B45" s="7"/>
      <c r="E45" s="10"/>
      <c r="F45" s="8"/>
      <c r="G45" s="8"/>
      <c r="I45" s="8"/>
      <c r="J45" s="8"/>
      <c r="K45" s="8"/>
      <c r="L45" s="8"/>
      <c r="M45" s="8"/>
      <c r="N45" s="8"/>
      <c r="O45" s="8"/>
      <c r="P45" s="8"/>
      <c r="Q45" s="18"/>
      <c r="S45" s="19"/>
    </row>
    <row r="46" spans="2:19">
      <c r="B46" s="7"/>
      <c r="E46" s="10"/>
      <c r="F46" s="8"/>
      <c r="G46" s="8"/>
      <c r="I46" s="8"/>
      <c r="J46" s="8"/>
      <c r="K46" s="8"/>
      <c r="L46" s="8"/>
      <c r="M46" s="8"/>
      <c r="N46" s="8"/>
      <c r="O46" s="8"/>
      <c r="P46" s="8"/>
      <c r="Q46" s="18"/>
      <c r="S46" s="19"/>
    </row>
    <row r="47" ht="327.75" customHeight="1" spans="2:19">
      <c r="B47" s="7"/>
      <c r="E47" s="10"/>
      <c r="F47" s="8"/>
      <c r="G47" s="8"/>
      <c r="I47" s="8"/>
      <c r="J47" s="8"/>
      <c r="K47" s="8"/>
      <c r="L47" s="8"/>
      <c r="M47" s="8"/>
      <c r="N47" s="8"/>
      <c r="O47" s="8"/>
      <c r="P47" s="8"/>
      <c r="Q47" s="18"/>
      <c r="S47" s="20"/>
    </row>
    <row r="48" spans="2:19">
      <c r="B48" s="7"/>
      <c r="E48" s="10"/>
      <c r="F48" s="8"/>
      <c r="G48" s="8"/>
      <c r="I48" s="8"/>
      <c r="J48" s="8"/>
      <c r="K48" s="8"/>
      <c r="L48" s="8"/>
      <c r="M48" s="8"/>
      <c r="N48" s="8"/>
      <c r="O48" s="8"/>
      <c r="P48" s="8"/>
      <c r="Q48" s="18"/>
      <c r="S48" s="19"/>
    </row>
    <row r="49" ht="327.75" customHeight="1" spans="2:19">
      <c r="B49" s="7"/>
      <c r="E49" s="10"/>
      <c r="F49" s="8"/>
      <c r="G49" s="8"/>
      <c r="I49" s="8"/>
      <c r="J49" s="8"/>
      <c r="K49" s="8"/>
      <c r="L49" s="8"/>
      <c r="M49" s="8"/>
      <c r="N49" s="8"/>
      <c r="O49" s="8"/>
      <c r="P49" s="8"/>
      <c r="Q49" s="18"/>
      <c r="S49" s="19"/>
    </row>
    <row r="50" spans="2:19">
      <c r="B50" s="7"/>
      <c r="E50" s="10"/>
      <c r="F50" s="8"/>
      <c r="G50" s="8"/>
      <c r="I50" s="8"/>
      <c r="J50" s="8"/>
      <c r="K50" s="8"/>
      <c r="L50" s="8"/>
      <c r="M50" s="8"/>
      <c r="N50" s="8"/>
      <c r="O50" s="8"/>
      <c r="P50" s="8"/>
      <c r="Q50" s="18"/>
      <c r="S50" s="19"/>
    </row>
    <row r="51" spans="2:19">
      <c r="B51" s="7"/>
      <c r="E51" s="10"/>
      <c r="F51" s="8"/>
      <c r="G51" s="8"/>
      <c r="I51" s="8"/>
      <c r="J51" s="8"/>
      <c r="K51" s="8"/>
      <c r="L51" s="8"/>
      <c r="M51" s="8"/>
      <c r="N51" s="8"/>
      <c r="O51" s="8"/>
      <c r="P51" s="8"/>
      <c r="Q51" s="18"/>
      <c r="S51" s="19"/>
    </row>
    <row r="52" spans="2:19">
      <c r="B52" s="7"/>
      <c r="E52" s="10"/>
      <c r="F52" s="8"/>
      <c r="G52" s="8"/>
      <c r="I52" s="8"/>
      <c r="J52" s="8"/>
      <c r="K52" s="8"/>
      <c r="L52" s="8"/>
      <c r="M52" s="8"/>
      <c r="N52" s="8"/>
      <c r="O52" s="8"/>
      <c r="P52" s="8"/>
      <c r="Q52" s="18"/>
      <c r="S52" s="19"/>
    </row>
    <row r="53" spans="2:14">
      <c r="B53" s="7"/>
      <c r="E53" s="10"/>
      <c r="F53" s="8"/>
      <c r="G53" s="8"/>
      <c r="I53" s="8"/>
      <c r="J53" s="8"/>
      <c r="K53" s="8"/>
      <c r="L53" s="8"/>
      <c r="M53" s="8"/>
      <c r="N53" s="8"/>
    </row>
    <row r="54" spans="2:14">
      <c r="B54" s="7"/>
      <c r="E54" s="10"/>
      <c r="F54" s="8"/>
      <c r="G54" s="8"/>
      <c r="I54" s="8"/>
      <c r="J54" s="8"/>
      <c r="K54" s="8"/>
      <c r="L54" s="8"/>
      <c r="M54" s="8"/>
      <c r="N54" s="8"/>
    </row>
    <row r="55" ht="13" spans="2:18">
      <c r="B55" s="7"/>
      <c r="E55" s="10"/>
      <c r="F55" s="8"/>
      <c r="G55" s="8"/>
      <c r="I55" s="8"/>
      <c r="J55" s="8"/>
      <c r="K55" s="8"/>
      <c r="L55" s="8"/>
      <c r="M55" s="8"/>
      <c r="N55" s="8"/>
      <c r="R55" s="21"/>
    </row>
    <row r="56" spans="2:14">
      <c r="B56" s="7"/>
      <c r="E56" s="10"/>
      <c r="F56" s="8"/>
      <c r="G56" s="8"/>
      <c r="I56" s="8"/>
      <c r="J56" s="8"/>
      <c r="K56" s="8"/>
      <c r="L56" s="8"/>
      <c r="M56" s="8"/>
      <c r="N56" s="8"/>
    </row>
    <row r="57" spans="2:14">
      <c r="B57" s="7"/>
      <c r="E57" s="10"/>
      <c r="F57" s="8"/>
      <c r="G57" s="8"/>
      <c r="I57" s="8"/>
      <c r="J57" s="8"/>
      <c r="K57" s="8"/>
      <c r="L57" s="8"/>
      <c r="M57" s="8"/>
      <c r="N57" s="8"/>
    </row>
    <row r="58" spans="5:14">
      <c r="E58" s="11"/>
      <c r="F58" s="8"/>
      <c r="G58" s="8"/>
      <c r="I58" s="8"/>
      <c r="J58" s="8"/>
      <c r="K58" s="8"/>
      <c r="L58" s="8"/>
      <c r="M58" s="8"/>
      <c r="N58" s="8"/>
    </row>
    <row r="59" spans="5:14">
      <c r="E59" s="11"/>
      <c r="F59" s="8"/>
      <c r="G59" s="8"/>
      <c r="I59" s="8"/>
      <c r="J59" s="8"/>
      <c r="K59" s="8"/>
      <c r="L59" s="8"/>
      <c r="M59" s="8"/>
      <c r="N59" s="8"/>
    </row>
    <row r="60" spans="5:14">
      <c r="E60" s="11"/>
      <c r="F60" s="8"/>
      <c r="G60" s="8"/>
      <c r="I60" s="8"/>
      <c r="J60" s="8"/>
      <c r="K60" s="8"/>
      <c r="L60" s="8"/>
      <c r="M60" s="8"/>
      <c r="N60" s="8"/>
    </row>
    <row r="61" spans="5:14">
      <c r="E61" s="11"/>
      <c r="F61" s="8"/>
      <c r="G61" s="8"/>
      <c r="I61" s="8"/>
      <c r="J61" s="8"/>
      <c r="K61" s="8"/>
      <c r="L61" s="8"/>
      <c r="M61" s="8"/>
      <c r="N61" s="8"/>
    </row>
    <row r="62" spans="5:14">
      <c r="E62" s="11"/>
      <c r="F62" s="8"/>
      <c r="G62" s="8"/>
      <c r="I62" s="8"/>
      <c r="J62" s="8"/>
      <c r="K62" s="8"/>
      <c r="L62" s="8"/>
      <c r="M62" s="8"/>
      <c r="N62" s="8"/>
    </row>
    <row r="63" spans="5:14">
      <c r="E63" s="11"/>
      <c r="F63" s="8"/>
      <c r="G63" s="8"/>
      <c r="I63" s="8"/>
      <c r="J63" s="8"/>
      <c r="K63" s="8"/>
      <c r="L63" s="8"/>
      <c r="M63" s="8"/>
      <c r="N63" s="8"/>
    </row>
    <row r="64" spans="5:14">
      <c r="E64" s="11"/>
      <c r="F64" s="8"/>
      <c r="G64" s="8"/>
      <c r="I64" s="8"/>
      <c r="J64" s="8"/>
      <c r="K64" s="8"/>
      <c r="L64" s="8"/>
      <c r="M64" s="8"/>
      <c r="N64" s="8"/>
    </row>
    <row r="65" spans="5:14">
      <c r="E65" s="11"/>
      <c r="F65" s="8"/>
      <c r="G65" s="8"/>
      <c r="I65" s="8"/>
      <c r="J65" s="8"/>
      <c r="K65" s="8"/>
      <c r="L65" s="8"/>
      <c r="M65" s="8"/>
      <c r="N65" s="8"/>
    </row>
    <row r="66" ht="13" spans="5:18">
      <c r="E66" s="11"/>
      <c r="F66" s="8"/>
      <c r="G66" s="8"/>
      <c r="I66" s="8"/>
      <c r="J66" s="8"/>
      <c r="K66" s="8"/>
      <c r="L66" s="8"/>
      <c r="M66" s="8"/>
      <c r="N66" s="8"/>
      <c r="R66" s="21"/>
    </row>
    <row r="67" spans="5:14">
      <c r="E67" s="11"/>
      <c r="F67" s="8"/>
      <c r="G67" s="8"/>
      <c r="I67" s="8"/>
      <c r="J67" s="8"/>
      <c r="K67" s="8"/>
      <c r="L67" s="8"/>
      <c r="M67" s="8"/>
      <c r="N67" s="8"/>
    </row>
  </sheetData>
  <conditionalFormatting sqref="O6">
    <cfRule type="cellIs" dxfId="22" priority="1" stopIfTrue="1" operator="equal">
      <formula>"n"</formula>
    </cfRule>
  </conditionalFormatting>
  <pageMargins left="0.75" right="0.75" top="1" bottom="1" header="0.5" footer="0.5"/>
  <pageSetup paperSize="1" scale="83" orientation="portrait"/>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2:K159"/>
  <sheetViews>
    <sheetView workbookViewId="0">
      <selection activeCell="H27" sqref="H27"/>
    </sheetView>
  </sheetViews>
  <sheetFormatPr defaultColWidth="9" defaultRowHeight="12.5"/>
  <cols>
    <col min="1" max="1" width="17.2636363636364" customWidth="1"/>
    <col min="2" max="2" width="12" customWidth="1"/>
    <col min="8" max="8" width="12.1818181818182" customWidth="1"/>
    <col min="9" max="9" width="12.4545454545455" customWidth="1"/>
    <col min="10" max="10" width="15.4545454545455" customWidth="1"/>
  </cols>
  <sheetData>
    <row r="2" spans="1:5">
      <c r="A2" t="s">
        <v>839</v>
      </c>
      <c r="B2" t="s">
        <v>368</v>
      </c>
      <c r="C2" t="s">
        <v>320</v>
      </c>
      <c r="D2" t="s">
        <v>350</v>
      </c>
      <c r="E2" t="s">
        <v>840</v>
      </c>
    </row>
    <row r="3" ht="13" spans="1:10">
      <c r="A3" t="s">
        <v>841</v>
      </c>
      <c r="B3">
        <f>Css</f>
        <v>4.5e-8</v>
      </c>
      <c r="C3">
        <f>Cout</f>
        <v>22</v>
      </c>
      <c r="D3">
        <f>Cin</f>
        <v>100</v>
      </c>
      <c r="E3">
        <f>Cb</f>
        <v>0</v>
      </c>
      <c r="H3" t="s">
        <v>842</v>
      </c>
      <c r="I3" t="s">
        <v>843</v>
      </c>
      <c r="J3" s="3" t="s">
        <v>844</v>
      </c>
    </row>
    <row r="4" ht="13" spans="1:11">
      <c r="A4" s="1" t="s">
        <v>844</v>
      </c>
      <c r="B4" s="1">
        <f>SUM(B6:B158)/1000000000000</f>
        <v>4.7e-8</v>
      </c>
      <c r="C4" s="1">
        <f>SUM(C6:C158)/1000000000000</f>
        <v>0</v>
      </c>
      <c r="D4" s="1">
        <f>SUM(D6:D158)/1000000000000</f>
        <v>0</v>
      </c>
      <c r="E4" s="1">
        <f t="shared" ref="E4" si="0">IF(E3="OPEN","OPEN",SUM(E6:E158)/1000000000000)</f>
        <v>0</v>
      </c>
      <c r="H4" s="2" t="s">
        <v>438</v>
      </c>
      <c r="I4" t="e">
        <f>Rt</f>
        <v>#NAME?</v>
      </c>
      <c r="J4" s="3" t="e">
        <f t="shared" ref="J4:J9" si="1">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4" t="s">
        <v>66</v>
      </c>
    </row>
    <row r="5" ht="13" spans="1:11">
      <c r="A5" t="s">
        <v>845</v>
      </c>
      <c r="J5" s="3"/>
      <c r="K5" s="4"/>
    </row>
    <row r="6" ht="13" spans="1:11">
      <c r="A6">
        <v>0.47</v>
      </c>
      <c r="B6">
        <f t="shared" ref="B6:E6" si="2">IF(IF((B$3*10^12-$A7)*(B$3*10^12-$A6)*-1&lt;0,0,1)*IF(ABS(B$3*10^12-$A7)&gt;(B$3*10^12-$A6),$A6,$A7)=B7,0,IF((B$3*10^12-$A7)*(B$3*10^12-$A6)*-1&lt;0,0,1)*IF(ABS(B$3*10^12-$A7)&gt;(B$3*10^12-$A6),$A6,$A7))</f>
        <v>0</v>
      </c>
      <c r="C6">
        <f t="shared" si="2"/>
        <v>0</v>
      </c>
      <c r="D6">
        <f t="shared" si="2"/>
        <v>0</v>
      </c>
      <c r="E6">
        <f t="shared" si="2"/>
        <v>0</v>
      </c>
      <c r="H6" s="2" t="s">
        <v>846</v>
      </c>
      <c r="I6" t="e">
        <f>Rshunt</f>
        <v>#NAME?</v>
      </c>
      <c r="J6" s="3" t="e">
        <f t="shared" si="1"/>
        <v>#NAME?</v>
      </c>
      <c r="K6" s="4" t="s">
        <v>66</v>
      </c>
    </row>
    <row r="7" ht="13" spans="1:11">
      <c r="A7">
        <v>0.56</v>
      </c>
      <c r="B7">
        <f t="shared" ref="B7:B70" si="3">IF(IF((B$3*10^12-$A8)*(B$3*10^12-$A7)*-1&lt;0,0,1)*IF(ABS(B$3*10^12-$A8)&gt;(B$3*10^12-$A7),$A7,$A8)=B8,0,IF((B$3*10^12-$A8)*(B$3*10^12-$A7)*-1&lt;0,0,1)*IF(ABS(B$3*10^12-$A8)&gt;(B$3*10^12-$A7),$A7,$A8))</f>
        <v>0</v>
      </c>
      <c r="C7">
        <f t="shared" ref="C7:C69" si="4">IF(IF((C$3*10^12-$A8)*(C$3*10^12-$A7)*-1&lt;0,0,1)*IF(ABS(C$3*10^12-$A8)&gt;(C$3*10^12-$A7),$A7,$A8)=C8,0,IF((C$3*10^12-$A8)*(C$3*10^12-$A7)*-1&lt;0,0,1)*IF(ABS(C$3*10^12-$A8)&gt;(C$3*10^12-$A7),$A7,$A8))</f>
        <v>0</v>
      </c>
      <c r="D7">
        <f t="shared" ref="D7:D69" si="5">IF(IF((D$3*10^12-$A8)*(D$3*10^12-$A7)*-1&lt;0,0,1)*IF(ABS(D$3*10^12-$A8)&gt;(D$3*10^12-$A7),$A7,$A8)=D8,0,IF((D$3*10^12-$A8)*(D$3*10^12-$A7)*-1&lt;0,0,1)*IF(ABS(D$3*10^12-$A8)&gt;(D$3*10^12-$A7),$A7,$A8))</f>
        <v>0</v>
      </c>
      <c r="E7">
        <f t="shared" ref="E7:E37" si="6">IF(IF((E$3*10^12-$A8)*(E$3*10^12-$A7)*-1&lt;0,0,1)*IF(ABS(E$3*10^12-$A8)&gt;(E$3*10^12-$A7),$A7,$A8)=E8,0,IF((E$3*10^12-$A8)*(E$3*10^12-$A7)*-1&lt;0,0,1)*IF(ABS(E$3*10^12-$A8)&gt;(E$3*10^12-$A7),$A7,$A8))</f>
        <v>0</v>
      </c>
      <c r="H7" t="s">
        <v>847</v>
      </c>
      <c r="I7">
        <v>6220.353447</v>
      </c>
      <c r="J7" s="3">
        <f t="shared" si="1"/>
        <v>6190</v>
      </c>
      <c r="K7" s="4" t="s">
        <v>66</v>
      </c>
    </row>
    <row r="8" ht="13" spans="1:11">
      <c r="A8">
        <v>0.68</v>
      </c>
      <c r="B8">
        <f t="shared" si="3"/>
        <v>0</v>
      </c>
      <c r="C8">
        <f t="shared" si="4"/>
        <v>0</v>
      </c>
      <c r="D8">
        <f t="shared" si="5"/>
        <v>0</v>
      </c>
      <c r="E8">
        <f t="shared" si="6"/>
        <v>0</v>
      </c>
      <c r="J8" s="3"/>
      <c r="K8" s="4"/>
    </row>
    <row r="9" ht="13" spans="1:11">
      <c r="A9">
        <v>0.82</v>
      </c>
      <c r="B9">
        <f t="shared" si="3"/>
        <v>0</v>
      </c>
      <c r="C9">
        <f t="shared" si="4"/>
        <v>0</v>
      </c>
      <c r="D9">
        <f t="shared" si="5"/>
        <v>0</v>
      </c>
      <c r="E9">
        <f t="shared" si="6"/>
        <v>0</v>
      </c>
      <c r="H9" t="s">
        <v>440</v>
      </c>
      <c r="I9">
        <f>RTC_1</f>
        <v>587706.146926537</v>
      </c>
      <c r="J9" s="3">
        <f t="shared" si="1"/>
        <v>590000</v>
      </c>
      <c r="K9" s="4" t="s">
        <v>66</v>
      </c>
    </row>
    <row r="10" ht="13" spans="1:11">
      <c r="A10">
        <v>1</v>
      </c>
      <c r="B10">
        <f t="shared" si="3"/>
        <v>0</v>
      </c>
      <c r="C10">
        <f t="shared" si="4"/>
        <v>0</v>
      </c>
      <c r="D10">
        <f t="shared" si="5"/>
        <v>0</v>
      </c>
      <c r="E10">
        <f t="shared" si="6"/>
        <v>0</v>
      </c>
      <c r="H10" t="s">
        <v>848</v>
      </c>
      <c r="I10">
        <f>Rfb</f>
        <v>196000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196000</v>
      </c>
      <c r="K10" s="4" t="s">
        <v>66</v>
      </c>
    </row>
    <row r="11" ht="13" spans="1:10">
      <c r="A11">
        <v>1.2</v>
      </c>
      <c r="B11">
        <f t="shared" si="3"/>
        <v>0</v>
      </c>
      <c r="C11">
        <f t="shared" si="4"/>
        <v>0</v>
      </c>
      <c r="D11">
        <f t="shared" si="5"/>
        <v>0</v>
      </c>
      <c r="E11">
        <f t="shared" si="6"/>
        <v>0</v>
      </c>
      <c r="J11" s="3"/>
    </row>
    <row r="12" ht="13" spans="1:10">
      <c r="A12">
        <v>1.5</v>
      </c>
      <c r="B12">
        <f t="shared" si="3"/>
        <v>0</v>
      </c>
      <c r="C12">
        <f t="shared" si="4"/>
        <v>0</v>
      </c>
      <c r="D12">
        <f t="shared" si="5"/>
        <v>0</v>
      </c>
      <c r="E12">
        <f t="shared" si="6"/>
        <v>0</v>
      </c>
      <c r="J12" s="3"/>
    </row>
    <row r="13" ht="13" spans="1:11">
      <c r="A13">
        <v>1.8</v>
      </c>
      <c r="B13">
        <f t="shared" si="3"/>
        <v>0</v>
      </c>
      <c r="C13">
        <f t="shared" si="4"/>
        <v>0</v>
      </c>
      <c r="D13">
        <f t="shared" si="5"/>
        <v>0</v>
      </c>
      <c r="E13">
        <f t="shared" si="6"/>
        <v>0</v>
      </c>
      <c r="H13" s="2" t="s">
        <v>849</v>
      </c>
      <c r="I13">
        <v>6.376536194916</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4" t="s">
        <v>356</v>
      </c>
    </row>
    <row r="14" spans="1:11">
      <c r="A14">
        <v>2.2</v>
      </c>
      <c r="B14">
        <f t="shared" ref="B14:E14" si="7">IF(IF((B$3*10^12-$A15)*(B$3*10^12-$A14)*-1&lt;0,0,1)*IF(ABS(B$3*10^12-$A15)&gt;(B$3*10^12-$A14),$A14,$A15)=B15,0,IF((B$3*10^12-$A15)*(B$3*10^12-$A14)*-1&lt;0,0,1)*IF(ABS(B$3*10^12-$A15)&gt;(B$3*10^12-$A14),$A14,$A15))</f>
        <v>0</v>
      </c>
      <c r="C14">
        <f t="shared" si="7"/>
        <v>0</v>
      </c>
      <c r="D14">
        <f t="shared" si="7"/>
        <v>0</v>
      </c>
      <c r="E14">
        <f t="shared" si="7"/>
        <v>0</v>
      </c>
      <c r="H14" s="2" t="s">
        <v>850</v>
      </c>
      <c r="I14" t="e">
        <f>Cslope_ideal</f>
        <v>#NAME?</v>
      </c>
      <c r="J14" t="e">
        <f>#REF!*1000000000000</f>
        <v>#REF!</v>
      </c>
      <c r="K14" s="2" t="s">
        <v>64</v>
      </c>
    </row>
    <row r="15" spans="1:5">
      <c r="A15">
        <v>2.7</v>
      </c>
      <c r="B15">
        <f t="shared" si="3"/>
        <v>0</v>
      </c>
      <c r="C15">
        <f t="shared" si="4"/>
        <v>0</v>
      </c>
      <c r="D15">
        <f t="shared" si="5"/>
        <v>0</v>
      </c>
      <c r="E15">
        <f t="shared" si="6"/>
        <v>0</v>
      </c>
    </row>
    <row r="16" ht="13" spans="1:11">
      <c r="A16">
        <v>3.3</v>
      </c>
      <c r="B16">
        <f t="shared" si="3"/>
        <v>0</v>
      </c>
      <c r="C16">
        <f t="shared" si="4"/>
        <v>0</v>
      </c>
      <c r="D16">
        <f t="shared" si="5"/>
        <v>0</v>
      </c>
      <c r="E16">
        <f t="shared" si="6"/>
        <v>0</v>
      </c>
      <c r="H16" s="2" t="s">
        <v>851</v>
      </c>
      <c r="I16">
        <f>Ruvlo1</f>
        <v>333.333333333333</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332</v>
      </c>
      <c r="K16" s="4" t="s">
        <v>382</v>
      </c>
    </row>
    <row r="17" ht="13" spans="1:11">
      <c r="A17">
        <v>3.9</v>
      </c>
      <c r="B17">
        <f t="shared" si="3"/>
        <v>0</v>
      </c>
      <c r="C17">
        <f t="shared" si="4"/>
        <v>0</v>
      </c>
      <c r="D17">
        <f t="shared" si="5"/>
        <v>0</v>
      </c>
      <c r="E17">
        <f t="shared" si="6"/>
        <v>0</v>
      </c>
      <c r="H17" s="2" t="s">
        <v>852</v>
      </c>
      <c r="I17" s="5">
        <f>Ruvlo2</f>
        <v>58.5882352941176</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59</v>
      </c>
      <c r="K17" s="4" t="s">
        <v>382</v>
      </c>
    </row>
    <row r="18" ht="13" spans="1:11">
      <c r="A18">
        <v>4.7</v>
      </c>
      <c r="B18">
        <f t="shared" si="3"/>
        <v>0</v>
      </c>
      <c r="C18">
        <f t="shared" si="4"/>
        <v>0</v>
      </c>
      <c r="D18">
        <f t="shared" si="5"/>
        <v>0</v>
      </c>
      <c r="E18">
        <f t="shared" si="6"/>
        <v>0</v>
      </c>
      <c r="H18" s="2" t="s">
        <v>853</v>
      </c>
      <c r="I18" s="5"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4" t="s">
        <v>382</v>
      </c>
    </row>
    <row r="19" spans="1:5">
      <c r="A19">
        <v>5.6</v>
      </c>
      <c r="B19">
        <f t="shared" si="3"/>
        <v>0</v>
      </c>
      <c r="C19">
        <f t="shared" si="4"/>
        <v>0</v>
      </c>
      <c r="D19">
        <f t="shared" si="5"/>
        <v>0</v>
      </c>
      <c r="E19">
        <f t="shared" si="6"/>
        <v>0</v>
      </c>
    </row>
    <row r="20" ht="13" spans="1:10">
      <c r="A20">
        <v>6.8</v>
      </c>
      <c r="B20">
        <f t="shared" si="3"/>
        <v>0</v>
      </c>
      <c r="C20">
        <f t="shared" si="4"/>
        <v>0</v>
      </c>
      <c r="D20">
        <f t="shared" si="5"/>
        <v>0</v>
      </c>
      <c r="E20">
        <f t="shared" si="6"/>
        <v>0</v>
      </c>
      <c r="H20" s="2"/>
      <c r="J20" s="3"/>
    </row>
    <row r="21" ht="13" spans="1:10">
      <c r="A21">
        <v>8.2</v>
      </c>
      <c r="B21">
        <f t="shared" si="3"/>
        <v>0</v>
      </c>
      <c r="C21">
        <f t="shared" si="4"/>
        <v>0</v>
      </c>
      <c r="D21">
        <f t="shared" si="5"/>
        <v>0</v>
      </c>
      <c r="E21">
        <f t="shared" si="6"/>
        <v>0</v>
      </c>
      <c r="J21" s="3">
        <f>IF(I21=0,0,IF(I21&gt;(INT(0.5+100*POWER(10,IF(96*(LOG(I21)-INT(LOG(I21)))-ROUND(96*(LOG(I21)-INT(LOG(I21))),0)&lt;0,ROUND(96*(LOG(I21)-INT(LOG(I21))),0)-1,ROUND(96*(LOG(I21)-INT(LOG(I21))),0))/96))*POWER(10,INT(LOG(I21))-2)+INT(0.5+100*POWER(10,(IF(96*(LOG(I21)-INT(LOG(I21)))-ROUND(96*(LOG(I21)-INT(LOG(I21))),0)&lt;0,ROUND(96*(LOG(I21)-INT(LOG(I21))),0)-1,ROUND(96*(LOG(I21)-INT(LOG(I21))),0))+1)/96))*POWER(10,INT(LOG(I21))-2))/2,INT(0.5+100*POWER(10,(IF(96*(LOG(I21)-INT(LOG(I21)))-ROUND(96*(LOG(I21)-INT(LOG(I21))),0)&lt;0,ROUND(96*(LOG(I21)-INT(LOG(I21))),0)-1,ROUND(96*(LOG(I21)-INT(LOG(I21))),0))+1)/96))*POWER(10,INT(LOG(I21))-2),INT(0.5+100*POWER(10,IF(96*(LOG(I21)-INT(LOG(I21)))-ROUND(96*(LOG(I21)-INT(LOG(I21))),0)&lt;0,ROUND(96*(LOG(I21)-INT(LOG(I21))),0)-1,ROUND(96*(LOG(I21)-INT(LOG(I21))),0))/96))*POWER(10,INT(LOG(I21))-2)))</f>
        <v>0</v>
      </c>
    </row>
    <row r="22" ht="13" spans="1:11">
      <c r="A22">
        <v>10</v>
      </c>
      <c r="B22">
        <f t="shared" si="3"/>
        <v>0</v>
      </c>
      <c r="C22">
        <f t="shared" si="4"/>
        <v>0</v>
      </c>
      <c r="D22">
        <f t="shared" si="5"/>
        <v>0</v>
      </c>
      <c r="E22">
        <f t="shared" si="6"/>
        <v>0</v>
      </c>
      <c r="H22" s="2"/>
      <c r="J22" s="3"/>
      <c r="K22" s="4"/>
    </row>
    <row r="23" ht="13" spans="1:11">
      <c r="A23">
        <v>12</v>
      </c>
      <c r="B23">
        <f t="shared" si="3"/>
        <v>0</v>
      </c>
      <c r="C23">
        <f t="shared" si="4"/>
        <v>0</v>
      </c>
      <c r="D23">
        <f t="shared" si="5"/>
        <v>0</v>
      </c>
      <c r="E23">
        <f t="shared" si="6"/>
        <v>0</v>
      </c>
      <c r="H23" t="s">
        <v>854</v>
      </c>
      <c r="I23">
        <f>'Calculations - Single'!H329</f>
        <v>-4087.69453768691</v>
      </c>
      <c r="J23" s="3" t="e">
        <f t="shared" ref="J23:J25" si="8">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#NUM!</v>
      </c>
      <c r="K23" s="4" t="s">
        <v>66</v>
      </c>
    </row>
    <row r="24" ht="13" spans="1:10">
      <c r="A24">
        <v>15</v>
      </c>
      <c r="B24">
        <f t="shared" si="3"/>
        <v>0</v>
      </c>
      <c r="C24">
        <f t="shared" si="4"/>
        <v>0</v>
      </c>
      <c r="D24">
        <f t="shared" si="5"/>
        <v>0</v>
      </c>
      <c r="E24">
        <f t="shared" si="6"/>
        <v>0</v>
      </c>
      <c r="H24" t="s">
        <v>855</v>
      </c>
      <c r="I24">
        <f>'Calculations - Dual'!H329</f>
        <v>-4087.69453768691</v>
      </c>
      <c r="J24" s="3" t="e">
        <f t="shared" si="8"/>
        <v>#NUM!</v>
      </c>
    </row>
    <row r="25" ht="13" spans="1:11">
      <c r="A25">
        <v>18</v>
      </c>
      <c r="B25">
        <f t="shared" si="3"/>
        <v>0</v>
      </c>
      <c r="C25">
        <f t="shared" si="4"/>
        <v>0</v>
      </c>
      <c r="D25">
        <f t="shared" si="5"/>
        <v>0</v>
      </c>
      <c r="E25">
        <f t="shared" si="6"/>
        <v>0</v>
      </c>
      <c r="H25" s="2" t="s">
        <v>856</v>
      </c>
      <c r="I25">
        <f>'Calculations - Dual'!O329</f>
        <v>-1231.20160810006</v>
      </c>
      <c r="J25" s="3" t="e">
        <f t="shared" si="8"/>
        <v>#NUM!</v>
      </c>
      <c r="K25" s="4"/>
    </row>
    <row r="26" spans="1:5">
      <c r="A26">
        <v>22</v>
      </c>
      <c r="B26">
        <f t="shared" si="3"/>
        <v>0</v>
      </c>
      <c r="C26">
        <f t="shared" si="4"/>
        <v>0</v>
      </c>
      <c r="D26">
        <f t="shared" si="5"/>
        <v>0</v>
      </c>
      <c r="E26">
        <f t="shared" si="6"/>
        <v>0</v>
      </c>
    </row>
    <row r="27" spans="1:9">
      <c r="A27">
        <v>27</v>
      </c>
      <c r="B27">
        <f t="shared" si="3"/>
        <v>0</v>
      </c>
      <c r="C27">
        <f t="shared" si="4"/>
        <v>0</v>
      </c>
      <c r="D27">
        <f t="shared" si="5"/>
        <v>0</v>
      </c>
      <c r="E27">
        <f t="shared" si="6"/>
        <v>0</v>
      </c>
      <c r="H27" t="s">
        <v>857</v>
      </c>
      <c r="I27">
        <f>'Calculations - Single'!G327</f>
        <v>0.00261333333333333</v>
      </c>
    </row>
    <row r="28" ht="13" spans="1:11">
      <c r="A28">
        <v>33</v>
      </c>
      <c r="B28">
        <f t="shared" si="3"/>
        <v>0</v>
      </c>
      <c r="C28">
        <f t="shared" si="4"/>
        <v>0</v>
      </c>
      <c r="D28">
        <f t="shared" si="5"/>
        <v>0</v>
      </c>
      <c r="E28">
        <f t="shared" si="6"/>
        <v>0</v>
      </c>
      <c r="H28" s="2" t="s">
        <v>858</v>
      </c>
      <c r="I28">
        <f>'Calculations - Dual'!G327</f>
        <v>0.00261333333333333</v>
      </c>
      <c r="K28" s="4"/>
    </row>
    <row r="29" spans="1:11">
      <c r="A29">
        <v>39</v>
      </c>
      <c r="B29">
        <f t="shared" si="3"/>
        <v>0</v>
      </c>
      <c r="C29">
        <f t="shared" si="4"/>
        <v>0</v>
      </c>
      <c r="D29">
        <f t="shared" si="5"/>
        <v>0</v>
      </c>
      <c r="E29">
        <f t="shared" si="6"/>
        <v>0</v>
      </c>
      <c r="H29" s="2" t="s">
        <v>859</v>
      </c>
      <c r="I29">
        <f>'Calculations - Dual'!N327</f>
        <v>0.00261333333333333</v>
      </c>
      <c r="K29" s="2"/>
    </row>
    <row r="30" spans="1:11">
      <c r="A30">
        <v>47</v>
      </c>
      <c r="B30">
        <f t="shared" si="3"/>
        <v>0</v>
      </c>
      <c r="C30">
        <f t="shared" si="4"/>
        <v>0</v>
      </c>
      <c r="D30">
        <f t="shared" si="5"/>
        <v>0</v>
      </c>
      <c r="E30">
        <f t="shared" si="6"/>
        <v>0</v>
      </c>
      <c r="H30" s="2"/>
      <c r="K30" s="2"/>
    </row>
    <row r="31" ht="13" spans="1:11">
      <c r="A31">
        <v>56</v>
      </c>
      <c r="B31">
        <f t="shared" si="3"/>
        <v>0</v>
      </c>
      <c r="C31">
        <f t="shared" si="4"/>
        <v>0</v>
      </c>
      <c r="D31">
        <f t="shared" si="5"/>
        <v>0</v>
      </c>
      <c r="E31">
        <f t="shared" si="6"/>
        <v>0</v>
      </c>
      <c r="H31" s="2">
        <f>Npri_sec2</f>
        <v>2.27274074074074</v>
      </c>
      <c r="K31" s="4"/>
    </row>
    <row r="32" spans="1:11">
      <c r="A32">
        <v>68</v>
      </c>
      <c r="B32">
        <f t="shared" si="3"/>
        <v>0</v>
      </c>
      <c r="C32">
        <f t="shared" si="4"/>
        <v>0</v>
      </c>
      <c r="D32">
        <f t="shared" si="5"/>
        <v>0</v>
      </c>
      <c r="E32">
        <f t="shared" si="6"/>
        <v>0</v>
      </c>
      <c r="H32" s="2"/>
      <c r="K32" s="2"/>
    </row>
    <row r="33" spans="1:5">
      <c r="A33">
        <v>82</v>
      </c>
      <c r="B33">
        <f t="shared" si="3"/>
        <v>0</v>
      </c>
      <c r="C33">
        <f t="shared" si="4"/>
        <v>0</v>
      </c>
      <c r="D33">
        <f t="shared" si="5"/>
        <v>0</v>
      </c>
      <c r="E33">
        <f t="shared" si="6"/>
        <v>0</v>
      </c>
    </row>
    <row r="34" spans="1:8">
      <c r="A34">
        <f>A22*10</f>
        <v>100</v>
      </c>
      <c r="B34">
        <f t="shared" si="3"/>
        <v>0</v>
      </c>
      <c r="C34">
        <f t="shared" si="4"/>
        <v>0</v>
      </c>
      <c r="D34">
        <f t="shared" si="5"/>
        <v>0</v>
      </c>
      <c r="E34">
        <f t="shared" si="6"/>
        <v>0</v>
      </c>
      <c r="H34" s="2"/>
    </row>
    <row r="35" spans="1:8">
      <c r="A35">
        <f t="shared" ref="A35:A98" si="9">A23*10</f>
        <v>120</v>
      </c>
      <c r="B35">
        <f t="shared" si="3"/>
        <v>0</v>
      </c>
      <c r="C35">
        <f t="shared" si="4"/>
        <v>0</v>
      </c>
      <c r="D35">
        <f t="shared" si="5"/>
        <v>0</v>
      </c>
      <c r="E35">
        <f t="shared" si="6"/>
        <v>0</v>
      </c>
      <c r="H35" s="2"/>
    </row>
    <row r="36" spans="1:5">
      <c r="A36">
        <f t="shared" si="9"/>
        <v>150</v>
      </c>
      <c r="B36">
        <f t="shared" si="3"/>
        <v>0</v>
      </c>
      <c r="C36">
        <f t="shared" si="4"/>
        <v>0</v>
      </c>
      <c r="D36">
        <f t="shared" si="5"/>
        <v>0</v>
      </c>
      <c r="E36">
        <f t="shared" si="6"/>
        <v>0</v>
      </c>
    </row>
    <row r="37" spans="1:5">
      <c r="A37">
        <f t="shared" si="9"/>
        <v>180</v>
      </c>
      <c r="B37">
        <f t="shared" si="3"/>
        <v>0</v>
      </c>
      <c r="C37">
        <f t="shared" si="4"/>
        <v>0</v>
      </c>
      <c r="D37">
        <f t="shared" si="5"/>
        <v>0</v>
      </c>
      <c r="E37">
        <f t="shared" si="6"/>
        <v>0</v>
      </c>
    </row>
    <row r="38" spans="1:5">
      <c r="A38">
        <f t="shared" si="9"/>
        <v>220</v>
      </c>
      <c r="B38">
        <f t="shared" si="3"/>
        <v>0</v>
      </c>
      <c r="C38">
        <f t="shared" si="4"/>
        <v>0</v>
      </c>
      <c r="D38">
        <f t="shared" si="5"/>
        <v>0</v>
      </c>
      <c r="E38">
        <f t="shared" ref="E38:E69" si="10">IF(IF((E$3*10^12-$A39)*(E$3*10^12-$A38)*-1&lt;0,0,1)*IF(ABS(E$3*10^12-$A39)&gt;(E$3*10^12-$A38),$A38,$A39)=E39,0,IF((E$3*10^12-$A39)*(E$3*10^12-$A38)*-1&lt;0,0,1)*IF(ABS(E$3*10^12-$A39)&gt;(E$3*10^12-$A38),$A38,$A39))</f>
        <v>0</v>
      </c>
    </row>
    <row r="39" spans="1:5">
      <c r="A39">
        <f t="shared" si="9"/>
        <v>270</v>
      </c>
      <c r="B39">
        <f t="shared" si="3"/>
        <v>0</v>
      </c>
      <c r="C39">
        <f t="shared" si="4"/>
        <v>0</v>
      </c>
      <c r="D39">
        <f t="shared" si="5"/>
        <v>0</v>
      </c>
      <c r="E39">
        <f t="shared" si="10"/>
        <v>0</v>
      </c>
    </row>
    <row r="40" spans="1:5">
      <c r="A40">
        <f t="shared" si="9"/>
        <v>330</v>
      </c>
      <c r="B40">
        <f t="shared" si="3"/>
        <v>0</v>
      </c>
      <c r="C40">
        <f t="shared" si="4"/>
        <v>0</v>
      </c>
      <c r="D40">
        <f t="shared" si="5"/>
        <v>0</v>
      </c>
      <c r="E40">
        <f t="shared" si="10"/>
        <v>0</v>
      </c>
    </row>
    <row r="41" spans="1:5">
      <c r="A41">
        <f t="shared" si="9"/>
        <v>390</v>
      </c>
      <c r="B41">
        <f t="shared" si="3"/>
        <v>0</v>
      </c>
      <c r="C41">
        <f t="shared" si="4"/>
        <v>0</v>
      </c>
      <c r="D41">
        <f t="shared" si="5"/>
        <v>0</v>
      </c>
      <c r="E41">
        <f t="shared" si="10"/>
        <v>0</v>
      </c>
    </row>
    <row r="42" spans="1:5">
      <c r="A42">
        <f t="shared" si="9"/>
        <v>470</v>
      </c>
      <c r="B42">
        <f t="shared" si="3"/>
        <v>0</v>
      </c>
      <c r="C42">
        <f t="shared" si="4"/>
        <v>0</v>
      </c>
      <c r="D42">
        <f t="shared" si="5"/>
        <v>0</v>
      </c>
      <c r="E42">
        <f t="shared" si="10"/>
        <v>0</v>
      </c>
    </row>
    <row r="43" spans="1:5">
      <c r="A43">
        <f t="shared" si="9"/>
        <v>560</v>
      </c>
      <c r="B43">
        <f t="shared" si="3"/>
        <v>0</v>
      </c>
      <c r="C43">
        <f t="shared" si="4"/>
        <v>0</v>
      </c>
      <c r="D43">
        <f t="shared" si="5"/>
        <v>0</v>
      </c>
      <c r="E43">
        <f t="shared" si="10"/>
        <v>0</v>
      </c>
    </row>
    <row r="44" spans="1:5">
      <c r="A44">
        <f t="shared" si="9"/>
        <v>680</v>
      </c>
      <c r="B44">
        <f t="shared" si="3"/>
        <v>0</v>
      </c>
      <c r="C44">
        <f t="shared" si="4"/>
        <v>0</v>
      </c>
      <c r="D44">
        <f t="shared" si="5"/>
        <v>0</v>
      </c>
      <c r="E44">
        <f t="shared" si="10"/>
        <v>0</v>
      </c>
    </row>
    <row r="45" spans="1:5">
      <c r="A45">
        <f t="shared" si="9"/>
        <v>820</v>
      </c>
      <c r="B45">
        <f t="shared" si="3"/>
        <v>0</v>
      </c>
      <c r="C45">
        <f t="shared" si="4"/>
        <v>0</v>
      </c>
      <c r="D45">
        <f t="shared" si="5"/>
        <v>0</v>
      </c>
      <c r="E45">
        <f t="shared" si="10"/>
        <v>0</v>
      </c>
    </row>
    <row r="46" spans="1:5">
      <c r="A46">
        <f t="shared" si="9"/>
        <v>1000</v>
      </c>
      <c r="B46">
        <f t="shared" si="3"/>
        <v>0</v>
      </c>
      <c r="C46">
        <f t="shared" si="4"/>
        <v>0</v>
      </c>
      <c r="D46">
        <f t="shared" si="5"/>
        <v>0</v>
      </c>
      <c r="E46">
        <f t="shared" si="10"/>
        <v>0</v>
      </c>
    </row>
    <row r="47" spans="1:5">
      <c r="A47">
        <f t="shared" si="9"/>
        <v>1200</v>
      </c>
      <c r="B47">
        <f t="shared" si="3"/>
        <v>0</v>
      </c>
      <c r="C47">
        <f t="shared" si="4"/>
        <v>0</v>
      </c>
      <c r="D47">
        <f t="shared" si="5"/>
        <v>0</v>
      </c>
      <c r="E47">
        <f t="shared" si="10"/>
        <v>0</v>
      </c>
    </row>
    <row r="48" spans="1:5">
      <c r="A48">
        <f t="shared" si="9"/>
        <v>1500</v>
      </c>
      <c r="B48">
        <f t="shared" si="3"/>
        <v>0</v>
      </c>
      <c r="C48">
        <f t="shared" si="4"/>
        <v>0</v>
      </c>
      <c r="D48">
        <f t="shared" si="5"/>
        <v>0</v>
      </c>
      <c r="E48">
        <f t="shared" si="10"/>
        <v>0</v>
      </c>
    </row>
    <row r="49" spans="1:5">
      <c r="A49">
        <f t="shared" si="9"/>
        <v>1800</v>
      </c>
      <c r="B49">
        <f t="shared" si="3"/>
        <v>0</v>
      </c>
      <c r="C49">
        <f t="shared" si="4"/>
        <v>0</v>
      </c>
      <c r="D49">
        <f t="shared" si="5"/>
        <v>0</v>
      </c>
      <c r="E49">
        <f t="shared" si="10"/>
        <v>0</v>
      </c>
    </row>
    <row r="50" spans="1:5">
      <c r="A50">
        <f t="shared" si="9"/>
        <v>2200</v>
      </c>
      <c r="B50">
        <f t="shared" si="3"/>
        <v>0</v>
      </c>
      <c r="C50">
        <f t="shared" si="4"/>
        <v>0</v>
      </c>
      <c r="D50">
        <f t="shared" si="5"/>
        <v>0</v>
      </c>
      <c r="E50">
        <f t="shared" si="10"/>
        <v>0</v>
      </c>
    </row>
    <row r="51" spans="1:5">
      <c r="A51">
        <f t="shared" si="9"/>
        <v>2700</v>
      </c>
      <c r="B51">
        <f t="shared" si="3"/>
        <v>0</v>
      </c>
      <c r="C51">
        <f t="shared" si="4"/>
        <v>0</v>
      </c>
      <c r="D51">
        <f t="shared" si="5"/>
        <v>0</v>
      </c>
      <c r="E51">
        <f t="shared" si="10"/>
        <v>0</v>
      </c>
    </row>
    <row r="52" spans="1:5">
      <c r="A52">
        <f t="shared" si="9"/>
        <v>3300</v>
      </c>
      <c r="B52">
        <f t="shared" si="3"/>
        <v>0</v>
      </c>
      <c r="C52">
        <f t="shared" si="4"/>
        <v>0</v>
      </c>
      <c r="D52">
        <f t="shared" si="5"/>
        <v>0</v>
      </c>
      <c r="E52">
        <f t="shared" si="10"/>
        <v>0</v>
      </c>
    </row>
    <row r="53" spans="1:5">
      <c r="A53">
        <f t="shared" si="9"/>
        <v>3900</v>
      </c>
      <c r="B53">
        <f t="shared" si="3"/>
        <v>0</v>
      </c>
      <c r="C53">
        <f t="shared" si="4"/>
        <v>0</v>
      </c>
      <c r="D53">
        <f t="shared" si="5"/>
        <v>0</v>
      </c>
      <c r="E53">
        <f t="shared" si="10"/>
        <v>0</v>
      </c>
    </row>
    <row r="54" spans="1:5">
      <c r="A54">
        <f t="shared" si="9"/>
        <v>4700</v>
      </c>
      <c r="B54">
        <f t="shared" si="3"/>
        <v>0</v>
      </c>
      <c r="C54">
        <f t="shared" si="4"/>
        <v>0</v>
      </c>
      <c r="D54">
        <f t="shared" si="5"/>
        <v>0</v>
      </c>
      <c r="E54">
        <f t="shared" si="10"/>
        <v>0</v>
      </c>
    </row>
    <row r="55" spans="1:5">
      <c r="A55">
        <f t="shared" si="9"/>
        <v>5600</v>
      </c>
      <c r="B55">
        <f t="shared" si="3"/>
        <v>0</v>
      </c>
      <c r="C55">
        <f t="shared" si="4"/>
        <v>0</v>
      </c>
      <c r="D55">
        <f t="shared" si="5"/>
        <v>0</v>
      </c>
      <c r="E55">
        <f t="shared" si="10"/>
        <v>0</v>
      </c>
    </row>
    <row r="56" spans="1:5">
      <c r="A56">
        <f t="shared" si="9"/>
        <v>6800</v>
      </c>
      <c r="B56">
        <f t="shared" si="3"/>
        <v>0</v>
      </c>
      <c r="C56">
        <f t="shared" si="4"/>
        <v>0</v>
      </c>
      <c r="D56">
        <f t="shared" si="5"/>
        <v>0</v>
      </c>
      <c r="E56">
        <f t="shared" si="10"/>
        <v>0</v>
      </c>
    </row>
    <row r="57" spans="1:5">
      <c r="A57">
        <f t="shared" si="9"/>
        <v>8200</v>
      </c>
      <c r="B57">
        <f t="shared" si="3"/>
        <v>0</v>
      </c>
      <c r="C57">
        <f t="shared" si="4"/>
        <v>0</v>
      </c>
      <c r="D57">
        <f t="shared" si="5"/>
        <v>0</v>
      </c>
      <c r="E57">
        <f t="shared" si="10"/>
        <v>0</v>
      </c>
    </row>
    <row r="58" spans="1:5">
      <c r="A58">
        <f t="shared" si="9"/>
        <v>10000</v>
      </c>
      <c r="B58">
        <f t="shared" si="3"/>
        <v>0</v>
      </c>
      <c r="C58">
        <f t="shared" si="4"/>
        <v>0</v>
      </c>
      <c r="D58">
        <f t="shared" si="5"/>
        <v>0</v>
      </c>
      <c r="E58">
        <f t="shared" si="10"/>
        <v>0</v>
      </c>
    </row>
    <row r="59" spans="1:5">
      <c r="A59">
        <f t="shared" si="9"/>
        <v>12000</v>
      </c>
      <c r="B59">
        <f t="shared" si="3"/>
        <v>0</v>
      </c>
      <c r="C59">
        <f t="shared" si="4"/>
        <v>0</v>
      </c>
      <c r="D59">
        <f t="shared" si="5"/>
        <v>0</v>
      </c>
      <c r="E59">
        <f t="shared" si="10"/>
        <v>0</v>
      </c>
    </row>
    <row r="60" spans="1:5">
      <c r="A60">
        <f t="shared" si="9"/>
        <v>15000</v>
      </c>
      <c r="B60">
        <f t="shared" si="3"/>
        <v>0</v>
      </c>
      <c r="C60">
        <f t="shared" si="4"/>
        <v>0</v>
      </c>
      <c r="D60">
        <f t="shared" si="5"/>
        <v>0</v>
      </c>
      <c r="E60">
        <f t="shared" si="10"/>
        <v>0</v>
      </c>
    </row>
    <row r="61" spans="1:5">
      <c r="A61">
        <f t="shared" si="9"/>
        <v>18000</v>
      </c>
      <c r="B61">
        <f t="shared" si="3"/>
        <v>0</v>
      </c>
      <c r="C61">
        <f t="shared" si="4"/>
        <v>0</v>
      </c>
      <c r="D61">
        <f t="shared" si="5"/>
        <v>0</v>
      </c>
      <c r="E61">
        <f t="shared" si="10"/>
        <v>0</v>
      </c>
    </row>
    <row r="62" spans="1:5">
      <c r="A62">
        <f t="shared" si="9"/>
        <v>22000</v>
      </c>
      <c r="B62">
        <f t="shared" si="3"/>
        <v>0</v>
      </c>
      <c r="C62">
        <f t="shared" si="4"/>
        <v>0</v>
      </c>
      <c r="D62">
        <f t="shared" si="5"/>
        <v>0</v>
      </c>
      <c r="E62">
        <f t="shared" si="10"/>
        <v>0</v>
      </c>
    </row>
    <row r="63" spans="1:5">
      <c r="A63">
        <f t="shared" si="9"/>
        <v>27000</v>
      </c>
      <c r="B63">
        <f t="shared" si="3"/>
        <v>0</v>
      </c>
      <c r="C63">
        <f t="shared" si="4"/>
        <v>0</v>
      </c>
      <c r="D63">
        <f t="shared" si="5"/>
        <v>0</v>
      </c>
      <c r="E63">
        <f t="shared" si="10"/>
        <v>0</v>
      </c>
    </row>
    <row r="64" spans="1:5">
      <c r="A64">
        <f t="shared" si="9"/>
        <v>33000</v>
      </c>
      <c r="B64">
        <f t="shared" si="3"/>
        <v>0</v>
      </c>
      <c r="C64">
        <f t="shared" si="4"/>
        <v>0</v>
      </c>
      <c r="D64">
        <f t="shared" si="5"/>
        <v>0</v>
      </c>
      <c r="E64">
        <f t="shared" si="10"/>
        <v>0</v>
      </c>
    </row>
    <row r="65" spans="1:5">
      <c r="A65">
        <f t="shared" si="9"/>
        <v>39000</v>
      </c>
      <c r="B65">
        <f t="shared" si="3"/>
        <v>47000</v>
      </c>
      <c r="C65">
        <f t="shared" si="4"/>
        <v>0</v>
      </c>
      <c r="D65">
        <f t="shared" si="5"/>
        <v>0</v>
      </c>
      <c r="E65">
        <f t="shared" si="10"/>
        <v>0</v>
      </c>
    </row>
    <row r="66" spans="1:5">
      <c r="A66">
        <f t="shared" si="9"/>
        <v>47000</v>
      </c>
      <c r="B66">
        <f t="shared" si="3"/>
        <v>0</v>
      </c>
      <c r="C66">
        <f t="shared" si="4"/>
        <v>0</v>
      </c>
      <c r="D66">
        <f t="shared" si="5"/>
        <v>0</v>
      </c>
      <c r="E66">
        <f t="shared" si="10"/>
        <v>0</v>
      </c>
    </row>
    <row r="67" spans="1:5">
      <c r="A67">
        <f t="shared" si="9"/>
        <v>56000</v>
      </c>
      <c r="B67">
        <f t="shared" si="3"/>
        <v>0</v>
      </c>
      <c r="C67">
        <f t="shared" si="4"/>
        <v>0</v>
      </c>
      <c r="D67">
        <f t="shared" si="5"/>
        <v>0</v>
      </c>
      <c r="E67">
        <f t="shared" si="10"/>
        <v>0</v>
      </c>
    </row>
    <row r="68" spans="1:5">
      <c r="A68">
        <f t="shared" si="9"/>
        <v>68000</v>
      </c>
      <c r="B68">
        <f t="shared" si="3"/>
        <v>0</v>
      </c>
      <c r="C68">
        <f t="shared" si="4"/>
        <v>0</v>
      </c>
      <c r="D68">
        <f t="shared" si="5"/>
        <v>0</v>
      </c>
      <c r="E68">
        <f t="shared" si="10"/>
        <v>0</v>
      </c>
    </row>
    <row r="69" spans="1:5">
      <c r="A69">
        <f t="shared" si="9"/>
        <v>82000</v>
      </c>
      <c r="B69">
        <f t="shared" si="3"/>
        <v>0</v>
      </c>
      <c r="C69">
        <f t="shared" si="4"/>
        <v>0</v>
      </c>
      <c r="D69">
        <f t="shared" si="5"/>
        <v>0</v>
      </c>
      <c r="E69">
        <f t="shared" si="10"/>
        <v>0</v>
      </c>
    </row>
    <row r="70" spans="1:5">
      <c r="A70">
        <f t="shared" si="9"/>
        <v>100000</v>
      </c>
      <c r="B70">
        <f t="shared" si="3"/>
        <v>0</v>
      </c>
      <c r="C70">
        <f t="shared" ref="C70:D70" si="11">IF(IF((C$3*10^12-$A71)*(C$3*10^12-$A70)*-1&lt;0,0,1)*IF(ABS(C$3*10^12-$A71)&gt;(C$3*10^12-$A70),$A70,$A71)=C71,0,IF((C$3*10^12-$A71)*(C$3*10^12-$A70)*-1&lt;0,0,1)*IF(ABS(C$3*10^12-$A71)&gt;(C$3*10^12-$A70),$A70,$A71))</f>
        <v>0</v>
      </c>
      <c r="D70">
        <f t="shared" si="11"/>
        <v>0</v>
      </c>
      <c r="E70">
        <f t="shared" ref="E70:E101" si="12">IF(IF((E$3*10^12-$A71)*(E$3*10^12-$A70)*-1&lt;0,0,1)*IF(ABS(E$3*10^12-$A71)&gt;(E$3*10^12-$A70),$A70,$A71)=E71,0,IF((E$3*10^12-$A71)*(E$3*10^12-$A70)*-1&lt;0,0,1)*IF(ABS(E$3*10^12-$A71)&gt;(E$3*10^12-$A70),$A70,$A71))</f>
        <v>0</v>
      </c>
    </row>
    <row r="71" spans="1:5">
      <c r="A71">
        <f t="shared" si="9"/>
        <v>120000</v>
      </c>
      <c r="B71">
        <f t="shared" ref="B71:B134" si="13">IF(IF((B$3*10^12-$A72)*(B$3*10^12-$A71)*-1&lt;0,0,1)*IF(ABS(B$3*10^12-$A72)&gt;(B$3*10^12-$A71),$A71,$A72)=B72,0,IF((B$3*10^12-$A72)*(B$3*10^12-$A71)*-1&lt;0,0,1)*IF(ABS(B$3*10^12-$A72)&gt;(B$3*10^12-$A71),$A71,$A72))</f>
        <v>0</v>
      </c>
      <c r="C71">
        <f t="shared" ref="C71:C133" si="14">IF(IF((C$3*10^12-$A72)*(C$3*10^12-$A71)*-1&lt;0,0,1)*IF(ABS(C$3*10^12-$A72)&gt;(C$3*10^12-$A71),$A71,$A72)=C72,0,IF((C$3*10^12-$A72)*(C$3*10^12-$A71)*-1&lt;0,0,1)*IF(ABS(C$3*10^12-$A72)&gt;(C$3*10^12-$A71),$A71,$A72))</f>
        <v>0</v>
      </c>
      <c r="D71">
        <f t="shared" ref="D71:D102" si="15">IF(IF((D$3*10^12-$A72)*(D$3*10^12-$A71)*-1&lt;0,0,1)*IF(ABS(D$3*10^12-$A72)&gt;(D$3*10^12-$A71),$A71,$A72)=D72,0,IF((D$3*10^12-$A72)*(D$3*10^12-$A71)*-1&lt;0,0,1)*IF(ABS(D$3*10^12-$A72)&gt;(D$3*10^12-$A71),$A71,$A72))</f>
        <v>0</v>
      </c>
      <c r="E71">
        <f t="shared" si="12"/>
        <v>0</v>
      </c>
    </row>
    <row r="72" spans="1:5">
      <c r="A72">
        <f t="shared" si="9"/>
        <v>150000</v>
      </c>
      <c r="B72">
        <f t="shared" si="13"/>
        <v>0</v>
      </c>
      <c r="C72">
        <f t="shared" si="14"/>
        <v>0</v>
      </c>
      <c r="D72">
        <f t="shared" si="15"/>
        <v>0</v>
      </c>
      <c r="E72">
        <f t="shared" si="12"/>
        <v>0</v>
      </c>
    </row>
    <row r="73" spans="1:5">
      <c r="A73">
        <f t="shared" si="9"/>
        <v>180000</v>
      </c>
      <c r="B73">
        <f t="shared" si="13"/>
        <v>0</v>
      </c>
      <c r="C73">
        <f t="shared" si="14"/>
        <v>0</v>
      </c>
      <c r="D73">
        <f t="shared" si="15"/>
        <v>0</v>
      </c>
      <c r="E73">
        <f t="shared" si="12"/>
        <v>0</v>
      </c>
    </row>
    <row r="74" spans="1:5">
      <c r="A74">
        <f t="shared" si="9"/>
        <v>220000</v>
      </c>
      <c r="B74">
        <f t="shared" si="13"/>
        <v>0</v>
      </c>
      <c r="C74">
        <f t="shared" si="14"/>
        <v>0</v>
      </c>
      <c r="D74">
        <f t="shared" si="15"/>
        <v>0</v>
      </c>
      <c r="E74">
        <f t="shared" si="12"/>
        <v>0</v>
      </c>
    </row>
    <row r="75" spans="1:5">
      <c r="A75">
        <f t="shared" si="9"/>
        <v>270000</v>
      </c>
      <c r="B75">
        <f t="shared" si="13"/>
        <v>0</v>
      </c>
      <c r="C75">
        <f t="shared" si="14"/>
        <v>0</v>
      </c>
      <c r="D75">
        <f t="shared" si="15"/>
        <v>0</v>
      </c>
      <c r="E75">
        <f t="shared" si="12"/>
        <v>0</v>
      </c>
    </row>
    <row r="76" spans="1:5">
      <c r="A76">
        <f t="shared" si="9"/>
        <v>330000</v>
      </c>
      <c r="B76">
        <f t="shared" si="13"/>
        <v>0</v>
      </c>
      <c r="C76">
        <f t="shared" si="14"/>
        <v>0</v>
      </c>
      <c r="D76">
        <f t="shared" si="15"/>
        <v>0</v>
      </c>
      <c r="E76">
        <f t="shared" si="12"/>
        <v>0</v>
      </c>
    </row>
    <row r="77" spans="1:5">
      <c r="A77">
        <f t="shared" si="9"/>
        <v>390000</v>
      </c>
      <c r="B77">
        <f t="shared" si="13"/>
        <v>0</v>
      </c>
      <c r="C77">
        <f t="shared" si="14"/>
        <v>0</v>
      </c>
      <c r="D77">
        <f t="shared" si="15"/>
        <v>0</v>
      </c>
      <c r="E77">
        <f t="shared" si="12"/>
        <v>0</v>
      </c>
    </row>
    <row r="78" spans="1:5">
      <c r="A78">
        <f t="shared" si="9"/>
        <v>470000</v>
      </c>
      <c r="B78">
        <f t="shared" si="13"/>
        <v>0</v>
      </c>
      <c r="C78">
        <f t="shared" si="14"/>
        <v>0</v>
      </c>
      <c r="D78">
        <f t="shared" si="15"/>
        <v>0</v>
      </c>
      <c r="E78">
        <f t="shared" si="12"/>
        <v>0</v>
      </c>
    </row>
    <row r="79" spans="1:5">
      <c r="A79">
        <f t="shared" si="9"/>
        <v>560000</v>
      </c>
      <c r="B79">
        <f t="shared" si="13"/>
        <v>0</v>
      </c>
      <c r="C79">
        <f t="shared" si="14"/>
        <v>0</v>
      </c>
      <c r="D79">
        <f t="shared" si="15"/>
        <v>0</v>
      </c>
      <c r="E79">
        <f t="shared" si="12"/>
        <v>0</v>
      </c>
    </row>
    <row r="80" spans="1:5">
      <c r="A80">
        <f t="shared" si="9"/>
        <v>680000</v>
      </c>
      <c r="B80">
        <f t="shared" si="13"/>
        <v>0</v>
      </c>
      <c r="C80">
        <f t="shared" si="14"/>
        <v>0</v>
      </c>
      <c r="D80">
        <f t="shared" si="15"/>
        <v>0</v>
      </c>
      <c r="E80">
        <f t="shared" si="12"/>
        <v>0</v>
      </c>
    </row>
    <row r="81" spans="1:5">
      <c r="A81">
        <f t="shared" si="9"/>
        <v>820000</v>
      </c>
      <c r="B81">
        <f t="shared" si="13"/>
        <v>0</v>
      </c>
      <c r="C81">
        <f t="shared" si="14"/>
        <v>0</v>
      </c>
      <c r="D81">
        <f t="shared" si="15"/>
        <v>0</v>
      </c>
      <c r="E81">
        <f t="shared" si="12"/>
        <v>0</v>
      </c>
    </row>
    <row r="82" spans="1:5">
      <c r="A82">
        <f t="shared" si="9"/>
        <v>1000000</v>
      </c>
      <c r="B82">
        <f t="shared" si="13"/>
        <v>0</v>
      </c>
      <c r="C82">
        <f t="shared" si="14"/>
        <v>0</v>
      </c>
      <c r="D82">
        <f t="shared" si="15"/>
        <v>0</v>
      </c>
      <c r="E82">
        <f t="shared" si="12"/>
        <v>0</v>
      </c>
    </row>
    <row r="83" spans="1:5">
      <c r="A83">
        <f t="shared" si="9"/>
        <v>1200000</v>
      </c>
      <c r="B83">
        <f t="shared" si="13"/>
        <v>0</v>
      </c>
      <c r="C83">
        <f t="shared" si="14"/>
        <v>0</v>
      </c>
      <c r="D83">
        <f t="shared" si="15"/>
        <v>0</v>
      </c>
      <c r="E83">
        <f t="shared" si="12"/>
        <v>0</v>
      </c>
    </row>
    <row r="84" spans="1:5">
      <c r="A84">
        <f t="shared" si="9"/>
        <v>1500000</v>
      </c>
      <c r="B84">
        <f t="shared" si="13"/>
        <v>0</v>
      </c>
      <c r="C84">
        <f t="shared" si="14"/>
        <v>0</v>
      </c>
      <c r="D84">
        <f t="shared" si="15"/>
        <v>0</v>
      </c>
      <c r="E84">
        <f t="shared" si="12"/>
        <v>0</v>
      </c>
    </row>
    <row r="85" spans="1:5">
      <c r="A85">
        <f t="shared" si="9"/>
        <v>1800000</v>
      </c>
      <c r="B85">
        <f t="shared" si="13"/>
        <v>0</v>
      </c>
      <c r="C85">
        <f t="shared" si="14"/>
        <v>0</v>
      </c>
      <c r="D85">
        <f t="shared" si="15"/>
        <v>0</v>
      </c>
      <c r="E85">
        <f t="shared" si="12"/>
        <v>0</v>
      </c>
    </row>
    <row r="86" spans="1:5">
      <c r="A86">
        <f t="shared" si="9"/>
        <v>2200000</v>
      </c>
      <c r="B86">
        <f t="shared" si="13"/>
        <v>0</v>
      </c>
      <c r="C86">
        <f t="shared" si="14"/>
        <v>0</v>
      </c>
      <c r="D86">
        <f t="shared" si="15"/>
        <v>0</v>
      </c>
      <c r="E86">
        <f t="shared" si="12"/>
        <v>0</v>
      </c>
    </row>
    <row r="87" spans="1:5">
      <c r="A87">
        <f t="shared" si="9"/>
        <v>2700000</v>
      </c>
      <c r="B87">
        <f t="shared" si="13"/>
        <v>0</v>
      </c>
      <c r="C87">
        <f t="shared" si="14"/>
        <v>0</v>
      </c>
      <c r="D87">
        <f t="shared" si="15"/>
        <v>0</v>
      </c>
      <c r="E87">
        <f t="shared" si="12"/>
        <v>0</v>
      </c>
    </row>
    <row r="88" spans="1:5">
      <c r="A88">
        <f t="shared" si="9"/>
        <v>3300000</v>
      </c>
      <c r="B88">
        <f t="shared" si="13"/>
        <v>0</v>
      </c>
      <c r="C88">
        <f t="shared" si="14"/>
        <v>0</v>
      </c>
      <c r="D88">
        <f t="shared" si="15"/>
        <v>0</v>
      </c>
      <c r="E88">
        <f t="shared" si="12"/>
        <v>0</v>
      </c>
    </row>
    <row r="89" spans="1:5">
      <c r="A89">
        <f t="shared" si="9"/>
        <v>3900000</v>
      </c>
      <c r="B89">
        <f t="shared" si="13"/>
        <v>0</v>
      </c>
      <c r="C89">
        <f t="shared" si="14"/>
        <v>0</v>
      </c>
      <c r="D89">
        <f t="shared" si="15"/>
        <v>0</v>
      </c>
      <c r="E89">
        <f t="shared" si="12"/>
        <v>0</v>
      </c>
    </row>
    <row r="90" spans="1:5">
      <c r="A90">
        <f t="shared" si="9"/>
        <v>4700000</v>
      </c>
      <c r="B90">
        <f t="shared" si="13"/>
        <v>0</v>
      </c>
      <c r="C90">
        <f t="shared" si="14"/>
        <v>0</v>
      </c>
      <c r="D90">
        <f t="shared" si="15"/>
        <v>0</v>
      </c>
      <c r="E90">
        <f t="shared" si="12"/>
        <v>0</v>
      </c>
    </row>
    <row r="91" spans="1:5">
      <c r="A91">
        <f t="shared" si="9"/>
        <v>5600000</v>
      </c>
      <c r="B91">
        <f t="shared" si="13"/>
        <v>0</v>
      </c>
      <c r="C91">
        <f t="shared" si="14"/>
        <v>0</v>
      </c>
      <c r="D91">
        <f t="shared" si="15"/>
        <v>0</v>
      </c>
      <c r="E91">
        <f t="shared" si="12"/>
        <v>0</v>
      </c>
    </row>
    <row r="92" spans="1:5">
      <c r="A92">
        <f t="shared" si="9"/>
        <v>6800000</v>
      </c>
      <c r="B92">
        <f t="shared" si="13"/>
        <v>0</v>
      </c>
      <c r="C92">
        <f t="shared" si="14"/>
        <v>0</v>
      </c>
      <c r="D92">
        <f t="shared" si="15"/>
        <v>0</v>
      </c>
      <c r="E92">
        <f t="shared" si="12"/>
        <v>0</v>
      </c>
    </row>
    <row r="93" spans="1:5">
      <c r="A93">
        <f t="shared" si="9"/>
        <v>8200000</v>
      </c>
      <c r="B93">
        <f t="shared" si="13"/>
        <v>0</v>
      </c>
      <c r="C93">
        <f t="shared" si="14"/>
        <v>0</v>
      </c>
      <c r="D93">
        <f t="shared" si="15"/>
        <v>0</v>
      </c>
      <c r="E93">
        <f t="shared" si="12"/>
        <v>0</v>
      </c>
    </row>
    <row r="94" spans="1:5">
      <c r="A94">
        <f t="shared" si="9"/>
        <v>10000000</v>
      </c>
      <c r="B94">
        <f t="shared" si="13"/>
        <v>0</v>
      </c>
      <c r="C94">
        <f t="shared" si="14"/>
        <v>0</v>
      </c>
      <c r="D94">
        <f t="shared" si="15"/>
        <v>0</v>
      </c>
      <c r="E94">
        <f t="shared" si="12"/>
        <v>0</v>
      </c>
    </row>
    <row r="95" spans="1:5">
      <c r="A95">
        <f t="shared" si="9"/>
        <v>12000000</v>
      </c>
      <c r="B95">
        <f t="shared" si="13"/>
        <v>0</v>
      </c>
      <c r="C95">
        <f t="shared" si="14"/>
        <v>0</v>
      </c>
      <c r="D95">
        <f t="shared" si="15"/>
        <v>0</v>
      </c>
      <c r="E95">
        <f t="shared" si="12"/>
        <v>0</v>
      </c>
    </row>
    <row r="96" spans="1:5">
      <c r="A96">
        <f t="shared" si="9"/>
        <v>15000000</v>
      </c>
      <c r="B96">
        <f t="shared" si="13"/>
        <v>0</v>
      </c>
      <c r="C96">
        <f t="shared" si="14"/>
        <v>0</v>
      </c>
      <c r="D96">
        <f t="shared" si="15"/>
        <v>0</v>
      </c>
      <c r="E96">
        <f t="shared" si="12"/>
        <v>0</v>
      </c>
    </row>
    <row r="97" spans="1:5">
      <c r="A97">
        <f t="shared" si="9"/>
        <v>18000000</v>
      </c>
      <c r="B97">
        <f t="shared" si="13"/>
        <v>0</v>
      </c>
      <c r="C97">
        <f t="shared" si="14"/>
        <v>0</v>
      </c>
      <c r="D97">
        <f t="shared" si="15"/>
        <v>0</v>
      </c>
      <c r="E97">
        <f t="shared" si="12"/>
        <v>0</v>
      </c>
    </row>
    <row r="98" spans="1:5">
      <c r="A98">
        <f t="shared" si="9"/>
        <v>22000000</v>
      </c>
      <c r="B98">
        <f t="shared" si="13"/>
        <v>0</v>
      </c>
      <c r="C98">
        <f t="shared" si="14"/>
        <v>0</v>
      </c>
      <c r="D98">
        <f t="shared" si="15"/>
        <v>0</v>
      </c>
      <c r="E98">
        <f t="shared" si="12"/>
        <v>0</v>
      </c>
    </row>
    <row r="99" spans="1:5">
      <c r="A99">
        <f t="shared" ref="A99:A159" si="16">A87*10</f>
        <v>27000000</v>
      </c>
      <c r="B99">
        <f t="shared" si="13"/>
        <v>0</v>
      </c>
      <c r="C99">
        <f t="shared" si="14"/>
        <v>0</v>
      </c>
      <c r="D99">
        <f t="shared" si="15"/>
        <v>0</v>
      </c>
      <c r="E99">
        <f t="shared" si="12"/>
        <v>0</v>
      </c>
    </row>
    <row r="100" spans="1:5">
      <c r="A100">
        <f t="shared" si="16"/>
        <v>33000000</v>
      </c>
      <c r="B100">
        <f t="shared" si="13"/>
        <v>0</v>
      </c>
      <c r="C100">
        <f t="shared" si="14"/>
        <v>0</v>
      </c>
      <c r="D100">
        <f t="shared" si="15"/>
        <v>0</v>
      </c>
      <c r="E100">
        <f t="shared" si="12"/>
        <v>0</v>
      </c>
    </row>
    <row r="101" spans="1:5">
      <c r="A101">
        <f t="shared" si="16"/>
        <v>39000000</v>
      </c>
      <c r="B101">
        <f t="shared" si="13"/>
        <v>0</v>
      </c>
      <c r="C101">
        <f t="shared" si="14"/>
        <v>0</v>
      </c>
      <c r="D101">
        <f t="shared" si="15"/>
        <v>0</v>
      </c>
      <c r="E101">
        <f t="shared" si="12"/>
        <v>0</v>
      </c>
    </row>
    <row r="102" spans="1:5">
      <c r="A102">
        <f t="shared" si="16"/>
        <v>47000000</v>
      </c>
      <c r="B102">
        <f t="shared" si="13"/>
        <v>0</v>
      </c>
      <c r="C102">
        <f t="shared" si="14"/>
        <v>0</v>
      </c>
      <c r="D102">
        <f t="shared" si="15"/>
        <v>0</v>
      </c>
      <c r="E102">
        <f t="shared" ref="E102:E133" si="17">IF(IF((E$3*10^12-$A103)*(E$3*10^12-$A102)*-1&lt;0,0,1)*IF(ABS(E$3*10^12-$A103)&gt;(E$3*10^12-$A102),$A102,$A103)=E103,0,IF((E$3*10^12-$A103)*(E$3*10^12-$A102)*-1&lt;0,0,1)*IF(ABS(E$3*10^12-$A103)&gt;(E$3*10^12-$A102),$A102,$A103))</f>
        <v>0</v>
      </c>
    </row>
    <row r="103" spans="1:5">
      <c r="A103">
        <f t="shared" si="16"/>
        <v>56000000</v>
      </c>
      <c r="B103">
        <f t="shared" si="13"/>
        <v>0</v>
      </c>
      <c r="C103">
        <f t="shared" si="14"/>
        <v>0</v>
      </c>
      <c r="D103">
        <f t="shared" ref="D103:D134" si="18">IF(IF((D$3*10^12-$A104)*(D$3*10^12-$A103)*-1&lt;0,0,1)*IF(ABS(D$3*10^12-$A104)&gt;(D$3*10^12-$A103),$A103,$A104)=D104,0,IF((D$3*10^12-$A104)*(D$3*10^12-$A103)*-1&lt;0,0,1)*IF(ABS(D$3*10^12-$A104)&gt;(D$3*10^12-$A103),$A103,$A104))</f>
        <v>0</v>
      </c>
      <c r="E103">
        <f t="shared" si="17"/>
        <v>0</v>
      </c>
    </row>
    <row r="104" spans="1:5">
      <c r="A104">
        <f t="shared" si="16"/>
        <v>68000000</v>
      </c>
      <c r="B104">
        <f t="shared" si="13"/>
        <v>0</v>
      </c>
      <c r="C104">
        <f t="shared" si="14"/>
        <v>0</v>
      </c>
      <c r="D104">
        <f t="shared" si="18"/>
        <v>0</v>
      </c>
      <c r="E104">
        <f t="shared" si="17"/>
        <v>0</v>
      </c>
    </row>
    <row r="105" spans="1:5">
      <c r="A105">
        <f t="shared" si="16"/>
        <v>82000000</v>
      </c>
      <c r="B105">
        <f t="shared" si="13"/>
        <v>0</v>
      </c>
      <c r="C105">
        <f t="shared" si="14"/>
        <v>0</v>
      </c>
      <c r="D105">
        <f t="shared" si="18"/>
        <v>0</v>
      </c>
      <c r="E105">
        <f t="shared" si="17"/>
        <v>0</v>
      </c>
    </row>
    <row r="106" spans="1:5">
      <c r="A106">
        <f t="shared" si="16"/>
        <v>100000000</v>
      </c>
      <c r="B106">
        <f t="shared" si="13"/>
        <v>0</v>
      </c>
      <c r="C106">
        <f t="shared" si="14"/>
        <v>0</v>
      </c>
      <c r="D106">
        <f t="shared" si="18"/>
        <v>0</v>
      </c>
      <c r="E106">
        <f t="shared" si="17"/>
        <v>0</v>
      </c>
    </row>
    <row r="107" spans="1:5">
      <c r="A107">
        <f t="shared" si="16"/>
        <v>120000000</v>
      </c>
      <c r="B107">
        <f t="shared" si="13"/>
        <v>0</v>
      </c>
      <c r="C107">
        <f t="shared" si="14"/>
        <v>0</v>
      </c>
      <c r="D107">
        <f t="shared" si="18"/>
        <v>0</v>
      </c>
      <c r="E107">
        <f t="shared" si="17"/>
        <v>0</v>
      </c>
    </row>
    <row r="108" spans="1:5">
      <c r="A108">
        <f t="shared" si="16"/>
        <v>150000000</v>
      </c>
      <c r="B108">
        <f t="shared" si="13"/>
        <v>0</v>
      </c>
      <c r="C108">
        <f t="shared" si="14"/>
        <v>0</v>
      </c>
      <c r="D108">
        <f t="shared" si="18"/>
        <v>0</v>
      </c>
      <c r="E108">
        <f t="shared" si="17"/>
        <v>0</v>
      </c>
    </row>
    <row r="109" spans="1:5">
      <c r="A109">
        <f t="shared" si="16"/>
        <v>180000000</v>
      </c>
      <c r="B109">
        <f t="shared" si="13"/>
        <v>0</v>
      </c>
      <c r="C109">
        <f t="shared" si="14"/>
        <v>0</v>
      </c>
      <c r="D109">
        <f t="shared" si="18"/>
        <v>0</v>
      </c>
      <c r="E109">
        <f t="shared" si="17"/>
        <v>0</v>
      </c>
    </row>
    <row r="110" spans="1:5">
      <c r="A110">
        <f t="shared" si="16"/>
        <v>220000000</v>
      </c>
      <c r="B110">
        <f t="shared" si="13"/>
        <v>0</v>
      </c>
      <c r="C110">
        <f t="shared" si="14"/>
        <v>0</v>
      </c>
      <c r="D110">
        <f t="shared" si="18"/>
        <v>0</v>
      </c>
      <c r="E110">
        <f t="shared" si="17"/>
        <v>0</v>
      </c>
    </row>
    <row r="111" spans="1:5">
      <c r="A111">
        <f t="shared" si="16"/>
        <v>270000000</v>
      </c>
      <c r="B111">
        <f t="shared" si="13"/>
        <v>0</v>
      </c>
      <c r="C111">
        <f t="shared" si="14"/>
        <v>0</v>
      </c>
      <c r="D111">
        <f t="shared" si="18"/>
        <v>0</v>
      </c>
      <c r="E111">
        <f t="shared" si="17"/>
        <v>0</v>
      </c>
    </row>
    <row r="112" spans="1:5">
      <c r="A112">
        <f t="shared" si="16"/>
        <v>330000000</v>
      </c>
      <c r="B112">
        <f t="shared" si="13"/>
        <v>0</v>
      </c>
      <c r="C112">
        <f t="shared" si="14"/>
        <v>0</v>
      </c>
      <c r="D112">
        <f t="shared" si="18"/>
        <v>0</v>
      </c>
      <c r="E112">
        <f t="shared" si="17"/>
        <v>0</v>
      </c>
    </row>
    <row r="113" spans="1:5">
      <c r="A113">
        <f t="shared" si="16"/>
        <v>390000000</v>
      </c>
      <c r="B113">
        <f t="shared" si="13"/>
        <v>0</v>
      </c>
      <c r="C113">
        <f t="shared" si="14"/>
        <v>0</v>
      </c>
      <c r="D113">
        <f t="shared" si="18"/>
        <v>0</v>
      </c>
      <c r="E113">
        <f t="shared" si="17"/>
        <v>0</v>
      </c>
    </row>
    <row r="114" spans="1:5">
      <c r="A114">
        <f t="shared" si="16"/>
        <v>470000000</v>
      </c>
      <c r="B114">
        <f t="shared" si="13"/>
        <v>0</v>
      </c>
      <c r="C114">
        <f t="shared" si="14"/>
        <v>0</v>
      </c>
      <c r="D114">
        <f t="shared" si="18"/>
        <v>0</v>
      </c>
      <c r="E114">
        <f t="shared" si="17"/>
        <v>0</v>
      </c>
    </row>
    <row r="115" spans="1:5">
      <c r="A115">
        <f t="shared" si="16"/>
        <v>560000000</v>
      </c>
      <c r="B115">
        <f t="shared" si="13"/>
        <v>0</v>
      </c>
      <c r="C115">
        <f t="shared" si="14"/>
        <v>0</v>
      </c>
      <c r="D115">
        <f t="shared" si="18"/>
        <v>0</v>
      </c>
      <c r="E115">
        <f t="shared" si="17"/>
        <v>0</v>
      </c>
    </row>
    <row r="116" spans="1:5">
      <c r="A116">
        <f t="shared" si="16"/>
        <v>680000000</v>
      </c>
      <c r="B116">
        <f t="shared" si="13"/>
        <v>0</v>
      </c>
      <c r="C116">
        <f t="shared" si="14"/>
        <v>0</v>
      </c>
      <c r="D116">
        <f t="shared" si="18"/>
        <v>0</v>
      </c>
      <c r="E116">
        <f t="shared" si="17"/>
        <v>0</v>
      </c>
    </row>
    <row r="117" spans="1:5">
      <c r="A117">
        <f t="shared" si="16"/>
        <v>820000000</v>
      </c>
      <c r="B117">
        <f t="shared" si="13"/>
        <v>0</v>
      </c>
      <c r="C117">
        <f t="shared" si="14"/>
        <v>0</v>
      </c>
      <c r="D117">
        <f t="shared" si="18"/>
        <v>0</v>
      </c>
      <c r="E117">
        <f t="shared" si="17"/>
        <v>0</v>
      </c>
    </row>
    <row r="118" spans="1:5">
      <c r="A118">
        <f t="shared" si="16"/>
        <v>1000000000</v>
      </c>
      <c r="B118">
        <f t="shared" si="13"/>
        <v>0</v>
      </c>
      <c r="C118">
        <f t="shared" si="14"/>
        <v>0</v>
      </c>
      <c r="D118">
        <f t="shared" si="18"/>
        <v>0</v>
      </c>
      <c r="E118">
        <f t="shared" si="17"/>
        <v>0</v>
      </c>
    </row>
    <row r="119" spans="1:5">
      <c r="A119">
        <f t="shared" si="16"/>
        <v>1200000000</v>
      </c>
      <c r="B119">
        <f t="shared" si="13"/>
        <v>0</v>
      </c>
      <c r="C119">
        <f t="shared" si="14"/>
        <v>0</v>
      </c>
      <c r="D119">
        <f t="shared" si="18"/>
        <v>0</v>
      </c>
      <c r="E119">
        <f t="shared" si="17"/>
        <v>0</v>
      </c>
    </row>
    <row r="120" spans="1:5">
      <c r="A120">
        <f t="shared" si="16"/>
        <v>1500000000</v>
      </c>
      <c r="B120">
        <f t="shared" si="13"/>
        <v>0</v>
      </c>
      <c r="C120">
        <f t="shared" si="14"/>
        <v>0</v>
      </c>
      <c r="D120">
        <f t="shared" si="18"/>
        <v>0</v>
      </c>
      <c r="E120">
        <f t="shared" si="17"/>
        <v>0</v>
      </c>
    </row>
    <row r="121" spans="1:5">
      <c r="A121">
        <f t="shared" si="16"/>
        <v>1800000000</v>
      </c>
      <c r="B121">
        <f t="shared" si="13"/>
        <v>0</v>
      </c>
      <c r="C121">
        <f t="shared" si="14"/>
        <v>0</v>
      </c>
      <c r="D121">
        <f t="shared" si="18"/>
        <v>0</v>
      </c>
      <c r="E121">
        <f t="shared" si="17"/>
        <v>0</v>
      </c>
    </row>
    <row r="122" spans="1:5">
      <c r="A122">
        <f t="shared" si="16"/>
        <v>2200000000</v>
      </c>
      <c r="B122">
        <f t="shared" si="13"/>
        <v>0</v>
      </c>
      <c r="C122">
        <f t="shared" si="14"/>
        <v>0</v>
      </c>
      <c r="D122">
        <f t="shared" si="18"/>
        <v>0</v>
      </c>
      <c r="E122">
        <f t="shared" si="17"/>
        <v>0</v>
      </c>
    </row>
    <row r="123" spans="1:5">
      <c r="A123">
        <f t="shared" si="16"/>
        <v>2700000000</v>
      </c>
      <c r="B123">
        <f t="shared" si="13"/>
        <v>0</v>
      </c>
      <c r="C123">
        <f t="shared" si="14"/>
        <v>0</v>
      </c>
      <c r="D123">
        <f t="shared" si="18"/>
        <v>0</v>
      </c>
      <c r="E123">
        <f t="shared" si="17"/>
        <v>0</v>
      </c>
    </row>
    <row r="124" spans="1:5">
      <c r="A124">
        <f t="shared" si="16"/>
        <v>3300000000</v>
      </c>
      <c r="B124">
        <f t="shared" si="13"/>
        <v>0</v>
      </c>
      <c r="C124">
        <f t="shared" si="14"/>
        <v>0</v>
      </c>
      <c r="D124">
        <f t="shared" si="18"/>
        <v>0</v>
      </c>
      <c r="E124">
        <f t="shared" si="17"/>
        <v>0</v>
      </c>
    </row>
    <row r="125" spans="1:5">
      <c r="A125">
        <f t="shared" si="16"/>
        <v>3900000000</v>
      </c>
      <c r="B125">
        <f t="shared" si="13"/>
        <v>0</v>
      </c>
      <c r="C125">
        <f t="shared" si="14"/>
        <v>0</v>
      </c>
      <c r="D125">
        <f t="shared" si="18"/>
        <v>0</v>
      </c>
      <c r="E125">
        <f t="shared" si="17"/>
        <v>0</v>
      </c>
    </row>
    <row r="126" spans="1:5">
      <c r="A126">
        <f t="shared" si="16"/>
        <v>4700000000</v>
      </c>
      <c r="B126">
        <f t="shared" si="13"/>
        <v>0</v>
      </c>
      <c r="C126">
        <f t="shared" si="14"/>
        <v>0</v>
      </c>
      <c r="D126">
        <f t="shared" si="18"/>
        <v>0</v>
      </c>
      <c r="E126">
        <f t="shared" si="17"/>
        <v>0</v>
      </c>
    </row>
    <row r="127" spans="1:5">
      <c r="A127">
        <f t="shared" si="16"/>
        <v>5600000000</v>
      </c>
      <c r="B127">
        <f t="shared" si="13"/>
        <v>0</v>
      </c>
      <c r="C127">
        <f t="shared" si="14"/>
        <v>0</v>
      </c>
      <c r="D127">
        <f t="shared" si="18"/>
        <v>0</v>
      </c>
      <c r="E127">
        <f t="shared" si="17"/>
        <v>0</v>
      </c>
    </row>
    <row r="128" spans="1:5">
      <c r="A128">
        <f t="shared" si="16"/>
        <v>6800000000</v>
      </c>
      <c r="B128">
        <f t="shared" si="13"/>
        <v>0</v>
      </c>
      <c r="C128">
        <f t="shared" si="14"/>
        <v>0</v>
      </c>
      <c r="D128">
        <f t="shared" si="18"/>
        <v>0</v>
      </c>
      <c r="E128">
        <f t="shared" si="17"/>
        <v>0</v>
      </c>
    </row>
    <row r="129" spans="1:5">
      <c r="A129">
        <f t="shared" si="16"/>
        <v>8200000000</v>
      </c>
      <c r="B129">
        <f t="shared" si="13"/>
        <v>0</v>
      </c>
      <c r="C129">
        <f t="shared" si="14"/>
        <v>0</v>
      </c>
      <c r="D129">
        <f t="shared" si="18"/>
        <v>0</v>
      </c>
      <c r="E129">
        <f t="shared" si="17"/>
        <v>0</v>
      </c>
    </row>
    <row r="130" spans="1:5">
      <c r="A130">
        <f t="shared" si="16"/>
        <v>10000000000</v>
      </c>
      <c r="B130">
        <f t="shared" si="13"/>
        <v>0</v>
      </c>
      <c r="C130">
        <f t="shared" si="14"/>
        <v>0</v>
      </c>
      <c r="D130">
        <f t="shared" si="18"/>
        <v>0</v>
      </c>
      <c r="E130">
        <f t="shared" si="17"/>
        <v>0</v>
      </c>
    </row>
    <row r="131" spans="1:5">
      <c r="A131">
        <f t="shared" si="16"/>
        <v>12000000000</v>
      </c>
      <c r="B131">
        <f t="shared" si="13"/>
        <v>0</v>
      </c>
      <c r="C131">
        <f t="shared" si="14"/>
        <v>0</v>
      </c>
      <c r="D131">
        <f t="shared" si="18"/>
        <v>0</v>
      </c>
      <c r="E131">
        <f t="shared" si="17"/>
        <v>0</v>
      </c>
    </row>
    <row r="132" spans="1:5">
      <c r="A132">
        <f t="shared" si="16"/>
        <v>15000000000</v>
      </c>
      <c r="B132">
        <f t="shared" si="13"/>
        <v>0</v>
      </c>
      <c r="C132">
        <f t="shared" si="14"/>
        <v>0</v>
      </c>
      <c r="D132">
        <f t="shared" si="18"/>
        <v>0</v>
      </c>
      <c r="E132">
        <f t="shared" si="17"/>
        <v>0</v>
      </c>
    </row>
    <row r="133" spans="1:5">
      <c r="A133">
        <f t="shared" si="16"/>
        <v>18000000000</v>
      </c>
      <c r="B133">
        <f t="shared" si="13"/>
        <v>0</v>
      </c>
      <c r="C133">
        <f t="shared" si="14"/>
        <v>0</v>
      </c>
      <c r="D133">
        <f t="shared" si="18"/>
        <v>0</v>
      </c>
      <c r="E133">
        <f t="shared" si="17"/>
        <v>0</v>
      </c>
    </row>
    <row r="134" spans="1:5">
      <c r="A134">
        <f t="shared" si="16"/>
        <v>22000000000</v>
      </c>
      <c r="B134">
        <f t="shared" si="13"/>
        <v>0</v>
      </c>
      <c r="C134">
        <f t="shared" ref="C134:D159" si="19">IF(IF((C$3*10^12-$A135)*(C$3*10^12-$A134)*-1&lt;0,0,1)*IF(ABS(C$3*10^12-$A135)&gt;(C$3*10^12-$A134),$A134,$A135)=C135,0,IF((C$3*10^12-$A135)*(C$3*10^12-$A134)*-1&lt;0,0,1)*IF(ABS(C$3*10^12-$A135)&gt;(C$3*10^12-$A134),$A134,$A135))</f>
        <v>0</v>
      </c>
      <c r="D134">
        <f t="shared" si="18"/>
        <v>0</v>
      </c>
      <c r="E134">
        <f t="shared" ref="E134:E159" si="20">IF(IF((E$3*10^12-$A135)*(E$3*10^12-$A134)*-1&lt;0,0,1)*IF(ABS(E$3*10^12-$A135)&gt;(E$3*10^12-$A134),$A134,$A135)=E135,0,IF((E$3*10^12-$A135)*(E$3*10^12-$A134)*-1&lt;0,0,1)*IF(ABS(E$3*10^12-$A135)&gt;(E$3*10^12-$A134),$A134,$A135))</f>
        <v>0</v>
      </c>
    </row>
    <row r="135" spans="1:5">
      <c r="A135">
        <f t="shared" si="16"/>
        <v>27000000000</v>
      </c>
      <c r="B135">
        <f t="shared" ref="B135:B159" si="21">IF(IF((B$3*10^12-$A136)*(B$3*10^12-$A135)*-1&lt;0,0,1)*IF(ABS(B$3*10^12-$A136)&gt;(B$3*10^12-$A135),$A135,$A136)=B136,0,IF((B$3*10^12-$A136)*(B$3*10^12-$A135)*-1&lt;0,0,1)*IF(ABS(B$3*10^12-$A136)&gt;(B$3*10^12-$A135),$A135,$A136))</f>
        <v>0</v>
      </c>
      <c r="C135">
        <f t="shared" si="19"/>
        <v>0</v>
      </c>
      <c r="D135">
        <f t="shared" si="19"/>
        <v>0</v>
      </c>
      <c r="E135">
        <f t="shared" si="20"/>
        <v>0</v>
      </c>
    </row>
    <row r="136" spans="1:5">
      <c r="A136">
        <f t="shared" si="16"/>
        <v>33000000000</v>
      </c>
      <c r="B136">
        <f t="shared" si="21"/>
        <v>0</v>
      </c>
      <c r="C136">
        <f t="shared" si="19"/>
        <v>0</v>
      </c>
      <c r="D136">
        <f t="shared" si="19"/>
        <v>0</v>
      </c>
      <c r="E136">
        <f t="shared" si="20"/>
        <v>0</v>
      </c>
    </row>
    <row r="137" spans="1:5">
      <c r="A137">
        <f t="shared" si="16"/>
        <v>39000000000</v>
      </c>
      <c r="B137">
        <f t="shared" si="21"/>
        <v>0</v>
      </c>
      <c r="C137">
        <f t="shared" si="19"/>
        <v>0</v>
      </c>
      <c r="D137">
        <f t="shared" si="19"/>
        <v>0</v>
      </c>
      <c r="E137">
        <f t="shared" si="20"/>
        <v>0</v>
      </c>
    </row>
    <row r="138" spans="1:5">
      <c r="A138">
        <f t="shared" si="16"/>
        <v>47000000000</v>
      </c>
      <c r="B138">
        <f t="shared" si="21"/>
        <v>0</v>
      </c>
      <c r="C138">
        <f t="shared" si="19"/>
        <v>0</v>
      </c>
      <c r="D138">
        <f t="shared" si="19"/>
        <v>0</v>
      </c>
      <c r="E138">
        <f t="shared" si="20"/>
        <v>0</v>
      </c>
    </row>
    <row r="139" spans="1:5">
      <c r="A139">
        <f t="shared" si="16"/>
        <v>56000000000</v>
      </c>
      <c r="B139">
        <f t="shared" si="21"/>
        <v>0</v>
      </c>
      <c r="C139">
        <f t="shared" si="19"/>
        <v>0</v>
      </c>
      <c r="D139">
        <f t="shared" si="19"/>
        <v>0</v>
      </c>
      <c r="E139">
        <f t="shared" si="20"/>
        <v>0</v>
      </c>
    </row>
    <row r="140" spans="1:5">
      <c r="A140">
        <f t="shared" si="16"/>
        <v>68000000000</v>
      </c>
      <c r="B140">
        <f t="shared" si="21"/>
        <v>0</v>
      </c>
      <c r="C140">
        <f t="shared" si="19"/>
        <v>0</v>
      </c>
      <c r="D140">
        <f t="shared" si="19"/>
        <v>0</v>
      </c>
      <c r="E140">
        <f t="shared" si="20"/>
        <v>0</v>
      </c>
    </row>
    <row r="141" spans="1:5">
      <c r="A141">
        <f t="shared" si="16"/>
        <v>82000000000</v>
      </c>
      <c r="B141">
        <f t="shared" si="21"/>
        <v>0</v>
      </c>
      <c r="C141">
        <f t="shared" si="19"/>
        <v>0</v>
      </c>
      <c r="D141">
        <f t="shared" si="19"/>
        <v>0</v>
      </c>
      <c r="E141">
        <f t="shared" si="20"/>
        <v>0</v>
      </c>
    </row>
    <row r="142" spans="1:5">
      <c r="A142">
        <f t="shared" si="16"/>
        <v>100000000000</v>
      </c>
      <c r="B142">
        <f t="shared" si="21"/>
        <v>0</v>
      </c>
      <c r="C142">
        <f t="shared" si="19"/>
        <v>0</v>
      </c>
      <c r="D142">
        <f t="shared" si="19"/>
        <v>0</v>
      </c>
      <c r="E142">
        <f t="shared" si="20"/>
        <v>0</v>
      </c>
    </row>
    <row r="143" spans="1:5">
      <c r="A143">
        <f t="shared" si="16"/>
        <v>120000000000</v>
      </c>
      <c r="B143">
        <f t="shared" si="21"/>
        <v>0</v>
      </c>
      <c r="C143">
        <f t="shared" si="19"/>
        <v>0</v>
      </c>
      <c r="D143">
        <f t="shared" si="19"/>
        <v>0</v>
      </c>
      <c r="E143">
        <f t="shared" si="20"/>
        <v>0</v>
      </c>
    </row>
    <row r="144" spans="1:5">
      <c r="A144">
        <f t="shared" si="16"/>
        <v>150000000000</v>
      </c>
      <c r="B144">
        <f t="shared" si="21"/>
        <v>0</v>
      </c>
      <c r="C144">
        <f t="shared" si="19"/>
        <v>0</v>
      </c>
      <c r="D144">
        <f t="shared" si="19"/>
        <v>0</v>
      </c>
      <c r="E144">
        <f t="shared" si="20"/>
        <v>0</v>
      </c>
    </row>
    <row r="145" spans="1:5">
      <c r="A145">
        <f t="shared" si="16"/>
        <v>180000000000</v>
      </c>
      <c r="B145">
        <f t="shared" si="21"/>
        <v>0</v>
      </c>
      <c r="C145">
        <f t="shared" si="19"/>
        <v>0</v>
      </c>
      <c r="D145">
        <f t="shared" si="19"/>
        <v>0</v>
      </c>
      <c r="E145">
        <f t="shared" si="20"/>
        <v>0</v>
      </c>
    </row>
    <row r="146" spans="1:5">
      <c r="A146">
        <f t="shared" si="16"/>
        <v>220000000000</v>
      </c>
      <c r="B146">
        <f t="shared" si="21"/>
        <v>0</v>
      </c>
      <c r="C146">
        <f t="shared" si="19"/>
        <v>0</v>
      </c>
      <c r="D146">
        <f t="shared" si="19"/>
        <v>0</v>
      </c>
      <c r="E146">
        <f t="shared" si="20"/>
        <v>0</v>
      </c>
    </row>
    <row r="147" spans="1:5">
      <c r="A147">
        <f t="shared" si="16"/>
        <v>270000000000</v>
      </c>
      <c r="B147">
        <f t="shared" si="21"/>
        <v>0</v>
      </c>
      <c r="C147">
        <f t="shared" si="19"/>
        <v>0</v>
      </c>
      <c r="D147">
        <f t="shared" si="19"/>
        <v>0</v>
      </c>
      <c r="E147">
        <f t="shared" si="20"/>
        <v>0</v>
      </c>
    </row>
    <row r="148" spans="1:5">
      <c r="A148">
        <f t="shared" si="16"/>
        <v>330000000000</v>
      </c>
      <c r="B148">
        <f t="shared" si="21"/>
        <v>0</v>
      </c>
      <c r="C148">
        <f t="shared" si="19"/>
        <v>0</v>
      </c>
      <c r="D148">
        <f t="shared" si="19"/>
        <v>0</v>
      </c>
      <c r="E148">
        <f t="shared" si="20"/>
        <v>0</v>
      </c>
    </row>
    <row r="149" spans="1:5">
      <c r="A149">
        <f t="shared" si="16"/>
        <v>390000000000</v>
      </c>
      <c r="B149">
        <f t="shared" si="21"/>
        <v>0</v>
      </c>
      <c r="C149">
        <f t="shared" si="19"/>
        <v>0</v>
      </c>
      <c r="D149">
        <f t="shared" si="19"/>
        <v>0</v>
      </c>
      <c r="E149">
        <f t="shared" si="20"/>
        <v>0</v>
      </c>
    </row>
    <row r="150" spans="1:5">
      <c r="A150">
        <f t="shared" si="16"/>
        <v>470000000000</v>
      </c>
      <c r="B150">
        <f t="shared" si="21"/>
        <v>0</v>
      </c>
      <c r="C150">
        <f t="shared" si="19"/>
        <v>0</v>
      </c>
      <c r="D150">
        <f t="shared" si="19"/>
        <v>0</v>
      </c>
      <c r="E150">
        <f t="shared" si="20"/>
        <v>0</v>
      </c>
    </row>
    <row r="151" spans="1:5">
      <c r="A151">
        <f t="shared" si="16"/>
        <v>560000000000</v>
      </c>
      <c r="B151">
        <f t="shared" si="21"/>
        <v>0</v>
      </c>
      <c r="C151">
        <f t="shared" si="19"/>
        <v>0</v>
      </c>
      <c r="D151">
        <f t="shared" si="19"/>
        <v>0</v>
      </c>
      <c r="E151">
        <f t="shared" si="20"/>
        <v>0</v>
      </c>
    </row>
    <row r="152" spans="1:5">
      <c r="A152">
        <f t="shared" si="16"/>
        <v>680000000000</v>
      </c>
      <c r="B152">
        <f t="shared" si="21"/>
        <v>0</v>
      </c>
      <c r="C152">
        <f t="shared" si="19"/>
        <v>0</v>
      </c>
      <c r="D152">
        <f t="shared" si="19"/>
        <v>0</v>
      </c>
      <c r="E152">
        <f t="shared" si="20"/>
        <v>0</v>
      </c>
    </row>
    <row r="153" spans="1:5">
      <c r="A153">
        <f t="shared" si="16"/>
        <v>820000000000</v>
      </c>
      <c r="B153">
        <f t="shared" si="21"/>
        <v>0</v>
      </c>
      <c r="C153">
        <f t="shared" si="19"/>
        <v>0</v>
      </c>
      <c r="D153">
        <f t="shared" si="19"/>
        <v>0</v>
      </c>
      <c r="E153">
        <f t="shared" si="20"/>
        <v>0</v>
      </c>
    </row>
    <row r="154" spans="1:5">
      <c r="A154">
        <f t="shared" si="16"/>
        <v>1000000000000</v>
      </c>
      <c r="B154">
        <f t="shared" si="21"/>
        <v>0</v>
      </c>
      <c r="C154">
        <f t="shared" si="19"/>
        <v>0</v>
      </c>
      <c r="D154">
        <f t="shared" si="19"/>
        <v>0</v>
      </c>
      <c r="E154">
        <f t="shared" si="20"/>
        <v>0</v>
      </c>
    </row>
    <row r="155" spans="1:5">
      <c r="A155">
        <f t="shared" si="16"/>
        <v>1200000000000</v>
      </c>
      <c r="B155">
        <f t="shared" si="21"/>
        <v>0</v>
      </c>
      <c r="C155">
        <f t="shared" si="19"/>
        <v>0</v>
      </c>
      <c r="D155">
        <f t="shared" si="19"/>
        <v>0</v>
      </c>
      <c r="E155">
        <f t="shared" si="20"/>
        <v>0</v>
      </c>
    </row>
    <row r="156" spans="1:5">
      <c r="A156">
        <f t="shared" si="16"/>
        <v>1500000000000</v>
      </c>
      <c r="B156">
        <f t="shared" si="21"/>
        <v>0</v>
      </c>
      <c r="C156">
        <f t="shared" si="19"/>
        <v>0</v>
      </c>
      <c r="D156">
        <f t="shared" si="19"/>
        <v>0</v>
      </c>
      <c r="E156">
        <f t="shared" si="20"/>
        <v>0</v>
      </c>
    </row>
    <row r="157" spans="1:5">
      <c r="A157">
        <f t="shared" si="16"/>
        <v>1800000000000</v>
      </c>
      <c r="B157">
        <f t="shared" si="21"/>
        <v>0</v>
      </c>
      <c r="C157">
        <f t="shared" si="19"/>
        <v>0</v>
      </c>
      <c r="D157">
        <f t="shared" si="19"/>
        <v>0</v>
      </c>
      <c r="E157">
        <f t="shared" si="20"/>
        <v>0</v>
      </c>
    </row>
    <row r="158" spans="1:5">
      <c r="A158">
        <f t="shared" si="16"/>
        <v>2200000000000</v>
      </c>
      <c r="B158">
        <f t="shared" si="21"/>
        <v>0</v>
      </c>
      <c r="C158">
        <f t="shared" si="19"/>
        <v>0</v>
      </c>
      <c r="D158">
        <f t="shared" si="19"/>
        <v>0</v>
      </c>
      <c r="E158">
        <f t="shared" si="20"/>
        <v>0</v>
      </c>
    </row>
    <row r="159" spans="1:5">
      <c r="A159" s="6">
        <f t="shared" si="16"/>
        <v>2700000000000</v>
      </c>
      <c r="B159">
        <f t="shared" si="21"/>
        <v>2700000000000</v>
      </c>
      <c r="C159">
        <f t="shared" si="19"/>
        <v>0</v>
      </c>
      <c r="D159">
        <f t="shared" si="19"/>
        <v>0</v>
      </c>
      <c r="E159">
        <f t="shared" si="20"/>
        <v>2700000000000</v>
      </c>
    </row>
  </sheetData>
  <sheetProtection algorithmName="SHA-512" hashValue="nxn/g3jr+CcxXjjtGC2w9QiSZZ+oY583y5MklWduaLQg7SO3Au4IW+w1sYyn+hSqeBt1fNjpn0diym8vCKvXUw==" saltValue="/AHogwTYZOK7V88alwi9gA==" spinCount="100000" sheet="1" objects="1" scenarios="1"/>
  <pageMargins left="0.75" right="0.75" top="1" bottom="1" header="0.5" footer="0.5"/>
  <pageSetup paperSize="1"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0000"/>
  </sheetPr>
  <dimension ref="A1:U55"/>
  <sheetViews>
    <sheetView zoomScale="85" zoomScaleNormal="85" topLeftCell="A24" workbookViewId="0">
      <selection activeCell="J20" sqref="J20"/>
    </sheetView>
  </sheetViews>
  <sheetFormatPr defaultColWidth="9" defaultRowHeight="12.5"/>
  <cols>
    <col min="1" max="1" width="9.54545454545454" style="534" customWidth="1"/>
    <col min="2" max="2" width="11.4545454545455" style="534" customWidth="1"/>
    <col min="3" max="3" width="13.4545454545455" style="534" customWidth="1"/>
    <col min="4" max="4" width="20.1818181818182" style="534" customWidth="1"/>
    <col min="5" max="5" width="17.2636363636364" style="534" customWidth="1"/>
    <col min="6" max="6" width="13.5454545454545" style="534" customWidth="1"/>
    <col min="7" max="7" width="16.1818181818182" style="534" customWidth="1"/>
    <col min="8" max="8" width="18.1818181818182" style="534" customWidth="1"/>
    <col min="9" max="9" width="10.8181818181818" style="534" customWidth="1"/>
    <col min="10" max="10" width="15.8181818181818" style="534" customWidth="1"/>
    <col min="11" max="11" width="11.8181818181818" style="535" customWidth="1"/>
    <col min="12" max="12" width="7.81818181818182" style="536" customWidth="1"/>
    <col min="13" max="13" width="11.7272727272727" style="534" customWidth="1"/>
    <col min="14" max="254" width="9.18181818181818" style="534"/>
    <col min="255" max="255" width="8.72727272727273" style="534" customWidth="1"/>
    <col min="256" max="256" width="13.2636363636364" style="534" customWidth="1"/>
    <col min="257" max="257" width="16.1818181818182" style="534" customWidth="1"/>
    <col min="258" max="258" width="23.5454545454545" style="534" customWidth="1"/>
    <col min="259" max="259" width="17.2636363636364" style="534" customWidth="1"/>
    <col min="260" max="260" width="20.5454545454545" style="534" customWidth="1"/>
    <col min="261" max="261" width="17.1818181818182" style="534" customWidth="1"/>
    <col min="262" max="262" width="21.8181818181818" style="534" customWidth="1"/>
    <col min="263" max="263" width="17.1818181818182" style="534" customWidth="1"/>
    <col min="264" max="264" width="18.1818181818182" style="534" customWidth="1"/>
    <col min="265" max="265" width="26.4545454545455" style="534" customWidth="1"/>
    <col min="266" max="510" width="9.18181818181818" style="534"/>
    <col min="511" max="511" width="8.72727272727273" style="534" customWidth="1"/>
    <col min="512" max="512" width="13.2636363636364" style="534" customWidth="1"/>
    <col min="513" max="513" width="16.1818181818182" style="534" customWidth="1"/>
    <col min="514" max="514" width="23.5454545454545" style="534" customWidth="1"/>
    <col min="515" max="515" width="17.2636363636364" style="534" customWidth="1"/>
    <col min="516" max="516" width="20.5454545454545" style="534" customWidth="1"/>
    <col min="517" max="517" width="17.1818181818182" style="534" customWidth="1"/>
    <col min="518" max="518" width="21.8181818181818" style="534" customWidth="1"/>
    <col min="519" max="519" width="17.1818181818182" style="534" customWidth="1"/>
    <col min="520" max="520" width="18.1818181818182" style="534" customWidth="1"/>
    <col min="521" max="521" width="26.4545454545455" style="534" customWidth="1"/>
    <col min="522" max="766" width="9.18181818181818" style="534"/>
    <col min="767" max="767" width="8.72727272727273" style="534" customWidth="1"/>
    <col min="768" max="768" width="13.2636363636364" style="534" customWidth="1"/>
    <col min="769" max="769" width="16.1818181818182" style="534" customWidth="1"/>
    <col min="770" max="770" width="23.5454545454545" style="534" customWidth="1"/>
    <col min="771" max="771" width="17.2636363636364" style="534" customWidth="1"/>
    <col min="772" max="772" width="20.5454545454545" style="534" customWidth="1"/>
    <col min="773" max="773" width="17.1818181818182" style="534" customWidth="1"/>
    <col min="774" max="774" width="21.8181818181818" style="534" customWidth="1"/>
    <col min="775" max="775" width="17.1818181818182" style="534" customWidth="1"/>
    <col min="776" max="776" width="18.1818181818182" style="534" customWidth="1"/>
    <col min="777" max="777" width="26.4545454545455" style="534" customWidth="1"/>
    <col min="778" max="1022" width="9.18181818181818" style="534"/>
    <col min="1023" max="1023" width="8.72727272727273" style="534" customWidth="1"/>
    <col min="1024" max="1024" width="13.2636363636364" style="534" customWidth="1"/>
    <col min="1025" max="1025" width="16.1818181818182" style="534" customWidth="1"/>
    <col min="1026" max="1026" width="23.5454545454545" style="534" customWidth="1"/>
    <col min="1027" max="1027" width="17.2636363636364" style="534" customWidth="1"/>
    <col min="1028" max="1028" width="20.5454545454545" style="534" customWidth="1"/>
    <col min="1029" max="1029" width="17.1818181818182" style="534" customWidth="1"/>
    <col min="1030" max="1030" width="21.8181818181818" style="534" customWidth="1"/>
    <col min="1031" max="1031" width="17.1818181818182" style="534" customWidth="1"/>
    <col min="1032" max="1032" width="18.1818181818182" style="534" customWidth="1"/>
    <col min="1033" max="1033" width="26.4545454545455" style="534" customWidth="1"/>
    <col min="1034" max="1278" width="9.18181818181818" style="534"/>
    <col min="1279" max="1279" width="8.72727272727273" style="534" customWidth="1"/>
    <col min="1280" max="1280" width="13.2636363636364" style="534" customWidth="1"/>
    <col min="1281" max="1281" width="16.1818181818182" style="534" customWidth="1"/>
    <col min="1282" max="1282" width="23.5454545454545" style="534" customWidth="1"/>
    <col min="1283" max="1283" width="17.2636363636364" style="534" customWidth="1"/>
    <col min="1284" max="1284" width="20.5454545454545" style="534" customWidth="1"/>
    <col min="1285" max="1285" width="17.1818181818182" style="534" customWidth="1"/>
    <col min="1286" max="1286" width="21.8181818181818" style="534" customWidth="1"/>
    <col min="1287" max="1287" width="17.1818181818182" style="534" customWidth="1"/>
    <col min="1288" max="1288" width="18.1818181818182" style="534" customWidth="1"/>
    <col min="1289" max="1289" width="26.4545454545455" style="534" customWidth="1"/>
    <col min="1290" max="1534" width="9.18181818181818" style="534"/>
    <col min="1535" max="1535" width="8.72727272727273" style="534" customWidth="1"/>
    <col min="1536" max="1536" width="13.2636363636364" style="534" customWidth="1"/>
    <col min="1537" max="1537" width="16.1818181818182" style="534" customWidth="1"/>
    <col min="1538" max="1538" width="23.5454545454545" style="534" customWidth="1"/>
    <col min="1539" max="1539" width="17.2636363636364" style="534" customWidth="1"/>
    <col min="1540" max="1540" width="20.5454545454545" style="534" customWidth="1"/>
    <col min="1541" max="1541" width="17.1818181818182" style="534" customWidth="1"/>
    <col min="1542" max="1542" width="21.8181818181818" style="534" customWidth="1"/>
    <col min="1543" max="1543" width="17.1818181818182" style="534" customWidth="1"/>
    <col min="1544" max="1544" width="18.1818181818182" style="534" customWidth="1"/>
    <col min="1545" max="1545" width="26.4545454545455" style="534" customWidth="1"/>
    <col min="1546" max="1790" width="9.18181818181818" style="534"/>
    <col min="1791" max="1791" width="8.72727272727273" style="534" customWidth="1"/>
    <col min="1792" max="1792" width="13.2636363636364" style="534" customWidth="1"/>
    <col min="1793" max="1793" width="16.1818181818182" style="534" customWidth="1"/>
    <col min="1794" max="1794" width="23.5454545454545" style="534" customWidth="1"/>
    <col min="1795" max="1795" width="17.2636363636364" style="534" customWidth="1"/>
    <col min="1796" max="1796" width="20.5454545454545" style="534" customWidth="1"/>
    <col min="1797" max="1797" width="17.1818181818182" style="534" customWidth="1"/>
    <col min="1798" max="1798" width="21.8181818181818" style="534" customWidth="1"/>
    <col min="1799" max="1799" width="17.1818181818182" style="534" customWidth="1"/>
    <col min="1800" max="1800" width="18.1818181818182" style="534" customWidth="1"/>
    <col min="1801" max="1801" width="26.4545454545455" style="534" customWidth="1"/>
    <col min="1802" max="2046" width="9.18181818181818" style="534"/>
    <col min="2047" max="2047" width="8.72727272727273" style="534" customWidth="1"/>
    <col min="2048" max="2048" width="13.2636363636364" style="534" customWidth="1"/>
    <col min="2049" max="2049" width="16.1818181818182" style="534" customWidth="1"/>
    <col min="2050" max="2050" width="23.5454545454545" style="534" customWidth="1"/>
    <col min="2051" max="2051" width="17.2636363636364" style="534" customWidth="1"/>
    <col min="2052" max="2052" width="20.5454545454545" style="534" customWidth="1"/>
    <col min="2053" max="2053" width="17.1818181818182" style="534" customWidth="1"/>
    <col min="2054" max="2054" width="21.8181818181818" style="534" customWidth="1"/>
    <col min="2055" max="2055" width="17.1818181818182" style="534" customWidth="1"/>
    <col min="2056" max="2056" width="18.1818181818182" style="534" customWidth="1"/>
    <col min="2057" max="2057" width="26.4545454545455" style="534" customWidth="1"/>
    <col min="2058" max="2302" width="9.18181818181818" style="534"/>
    <col min="2303" max="2303" width="8.72727272727273" style="534" customWidth="1"/>
    <col min="2304" max="2304" width="13.2636363636364" style="534" customWidth="1"/>
    <col min="2305" max="2305" width="16.1818181818182" style="534" customWidth="1"/>
    <col min="2306" max="2306" width="23.5454545454545" style="534" customWidth="1"/>
    <col min="2307" max="2307" width="17.2636363636364" style="534" customWidth="1"/>
    <col min="2308" max="2308" width="20.5454545454545" style="534" customWidth="1"/>
    <col min="2309" max="2309" width="17.1818181818182" style="534" customWidth="1"/>
    <col min="2310" max="2310" width="21.8181818181818" style="534" customWidth="1"/>
    <col min="2311" max="2311" width="17.1818181818182" style="534" customWidth="1"/>
    <col min="2312" max="2312" width="18.1818181818182" style="534" customWidth="1"/>
    <col min="2313" max="2313" width="26.4545454545455" style="534" customWidth="1"/>
    <col min="2314" max="2558" width="9.18181818181818" style="534"/>
    <col min="2559" max="2559" width="8.72727272727273" style="534" customWidth="1"/>
    <col min="2560" max="2560" width="13.2636363636364" style="534" customWidth="1"/>
    <col min="2561" max="2561" width="16.1818181818182" style="534" customWidth="1"/>
    <col min="2562" max="2562" width="23.5454545454545" style="534" customWidth="1"/>
    <col min="2563" max="2563" width="17.2636363636364" style="534" customWidth="1"/>
    <col min="2564" max="2564" width="20.5454545454545" style="534" customWidth="1"/>
    <col min="2565" max="2565" width="17.1818181818182" style="534" customWidth="1"/>
    <col min="2566" max="2566" width="21.8181818181818" style="534" customWidth="1"/>
    <col min="2567" max="2567" width="17.1818181818182" style="534" customWidth="1"/>
    <col min="2568" max="2568" width="18.1818181818182" style="534" customWidth="1"/>
    <col min="2569" max="2569" width="26.4545454545455" style="534" customWidth="1"/>
    <col min="2570" max="2814" width="9.18181818181818" style="534"/>
    <col min="2815" max="2815" width="8.72727272727273" style="534" customWidth="1"/>
    <col min="2816" max="2816" width="13.2636363636364" style="534" customWidth="1"/>
    <col min="2817" max="2817" width="16.1818181818182" style="534" customWidth="1"/>
    <col min="2818" max="2818" width="23.5454545454545" style="534" customWidth="1"/>
    <col min="2819" max="2819" width="17.2636363636364" style="534" customWidth="1"/>
    <col min="2820" max="2820" width="20.5454545454545" style="534" customWidth="1"/>
    <col min="2821" max="2821" width="17.1818181818182" style="534" customWidth="1"/>
    <col min="2822" max="2822" width="21.8181818181818" style="534" customWidth="1"/>
    <col min="2823" max="2823" width="17.1818181818182" style="534" customWidth="1"/>
    <col min="2824" max="2824" width="18.1818181818182" style="534" customWidth="1"/>
    <col min="2825" max="2825" width="26.4545454545455" style="534" customWidth="1"/>
    <col min="2826" max="3070" width="9.18181818181818" style="534"/>
    <col min="3071" max="3071" width="8.72727272727273" style="534" customWidth="1"/>
    <col min="3072" max="3072" width="13.2636363636364" style="534" customWidth="1"/>
    <col min="3073" max="3073" width="16.1818181818182" style="534" customWidth="1"/>
    <col min="3074" max="3074" width="23.5454545454545" style="534" customWidth="1"/>
    <col min="3075" max="3075" width="17.2636363636364" style="534" customWidth="1"/>
    <col min="3076" max="3076" width="20.5454545454545" style="534" customWidth="1"/>
    <col min="3077" max="3077" width="17.1818181818182" style="534" customWidth="1"/>
    <col min="3078" max="3078" width="21.8181818181818" style="534" customWidth="1"/>
    <col min="3079" max="3079" width="17.1818181818182" style="534" customWidth="1"/>
    <col min="3080" max="3080" width="18.1818181818182" style="534" customWidth="1"/>
    <col min="3081" max="3081" width="26.4545454545455" style="534" customWidth="1"/>
    <col min="3082" max="3326" width="9.18181818181818" style="534"/>
    <col min="3327" max="3327" width="8.72727272727273" style="534" customWidth="1"/>
    <col min="3328" max="3328" width="13.2636363636364" style="534" customWidth="1"/>
    <col min="3329" max="3329" width="16.1818181818182" style="534" customWidth="1"/>
    <col min="3330" max="3330" width="23.5454545454545" style="534" customWidth="1"/>
    <col min="3331" max="3331" width="17.2636363636364" style="534" customWidth="1"/>
    <col min="3332" max="3332" width="20.5454545454545" style="534" customWidth="1"/>
    <col min="3333" max="3333" width="17.1818181818182" style="534" customWidth="1"/>
    <col min="3334" max="3334" width="21.8181818181818" style="534" customWidth="1"/>
    <col min="3335" max="3335" width="17.1818181818182" style="534" customWidth="1"/>
    <col min="3336" max="3336" width="18.1818181818182" style="534" customWidth="1"/>
    <col min="3337" max="3337" width="26.4545454545455" style="534" customWidth="1"/>
    <col min="3338" max="3582" width="9.18181818181818" style="534"/>
    <col min="3583" max="3583" width="8.72727272727273" style="534" customWidth="1"/>
    <col min="3584" max="3584" width="13.2636363636364" style="534" customWidth="1"/>
    <col min="3585" max="3585" width="16.1818181818182" style="534" customWidth="1"/>
    <col min="3586" max="3586" width="23.5454545454545" style="534" customWidth="1"/>
    <col min="3587" max="3587" width="17.2636363636364" style="534" customWidth="1"/>
    <col min="3588" max="3588" width="20.5454545454545" style="534" customWidth="1"/>
    <col min="3589" max="3589" width="17.1818181818182" style="534" customWidth="1"/>
    <col min="3590" max="3590" width="21.8181818181818" style="534" customWidth="1"/>
    <col min="3591" max="3591" width="17.1818181818182" style="534" customWidth="1"/>
    <col min="3592" max="3592" width="18.1818181818182" style="534" customWidth="1"/>
    <col min="3593" max="3593" width="26.4545454545455" style="534" customWidth="1"/>
    <col min="3594" max="3838" width="9.18181818181818" style="534"/>
    <col min="3839" max="3839" width="8.72727272727273" style="534" customWidth="1"/>
    <col min="3840" max="3840" width="13.2636363636364" style="534" customWidth="1"/>
    <col min="3841" max="3841" width="16.1818181818182" style="534" customWidth="1"/>
    <col min="3842" max="3842" width="23.5454545454545" style="534" customWidth="1"/>
    <col min="3843" max="3843" width="17.2636363636364" style="534" customWidth="1"/>
    <col min="3844" max="3844" width="20.5454545454545" style="534" customWidth="1"/>
    <col min="3845" max="3845" width="17.1818181818182" style="534" customWidth="1"/>
    <col min="3846" max="3846" width="21.8181818181818" style="534" customWidth="1"/>
    <col min="3847" max="3847" width="17.1818181818182" style="534" customWidth="1"/>
    <col min="3848" max="3848" width="18.1818181818182" style="534" customWidth="1"/>
    <col min="3849" max="3849" width="26.4545454545455" style="534" customWidth="1"/>
    <col min="3850" max="4094" width="9.18181818181818" style="534"/>
    <col min="4095" max="4095" width="8.72727272727273" style="534" customWidth="1"/>
    <col min="4096" max="4096" width="13.2636363636364" style="534" customWidth="1"/>
    <col min="4097" max="4097" width="16.1818181818182" style="534" customWidth="1"/>
    <col min="4098" max="4098" width="23.5454545454545" style="534" customWidth="1"/>
    <col min="4099" max="4099" width="17.2636363636364" style="534" customWidth="1"/>
    <col min="4100" max="4100" width="20.5454545454545" style="534" customWidth="1"/>
    <col min="4101" max="4101" width="17.1818181818182" style="534" customWidth="1"/>
    <col min="4102" max="4102" width="21.8181818181818" style="534" customWidth="1"/>
    <col min="4103" max="4103" width="17.1818181818182" style="534" customWidth="1"/>
    <col min="4104" max="4104" width="18.1818181818182" style="534" customWidth="1"/>
    <col min="4105" max="4105" width="26.4545454545455" style="534" customWidth="1"/>
    <col min="4106" max="4350" width="9.18181818181818" style="534"/>
    <col min="4351" max="4351" width="8.72727272727273" style="534" customWidth="1"/>
    <col min="4352" max="4352" width="13.2636363636364" style="534" customWidth="1"/>
    <col min="4353" max="4353" width="16.1818181818182" style="534" customWidth="1"/>
    <col min="4354" max="4354" width="23.5454545454545" style="534" customWidth="1"/>
    <col min="4355" max="4355" width="17.2636363636364" style="534" customWidth="1"/>
    <col min="4356" max="4356" width="20.5454545454545" style="534" customWidth="1"/>
    <col min="4357" max="4357" width="17.1818181818182" style="534" customWidth="1"/>
    <col min="4358" max="4358" width="21.8181818181818" style="534" customWidth="1"/>
    <col min="4359" max="4359" width="17.1818181818182" style="534" customWidth="1"/>
    <col min="4360" max="4360" width="18.1818181818182" style="534" customWidth="1"/>
    <col min="4361" max="4361" width="26.4545454545455" style="534" customWidth="1"/>
    <col min="4362" max="4606" width="9.18181818181818" style="534"/>
    <col min="4607" max="4607" width="8.72727272727273" style="534" customWidth="1"/>
    <col min="4608" max="4608" width="13.2636363636364" style="534" customWidth="1"/>
    <col min="4609" max="4609" width="16.1818181818182" style="534" customWidth="1"/>
    <col min="4610" max="4610" width="23.5454545454545" style="534" customWidth="1"/>
    <col min="4611" max="4611" width="17.2636363636364" style="534" customWidth="1"/>
    <col min="4612" max="4612" width="20.5454545454545" style="534" customWidth="1"/>
    <col min="4613" max="4613" width="17.1818181818182" style="534" customWidth="1"/>
    <col min="4614" max="4614" width="21.8181818181818" style="534" customWidth="1"/>
    <col min="4615" max="4615" width="17.1818181818182" style="534" customWidth="1"/>
    <col min="4616" max="4616" width="18.1818181818182" style="534" customWidth="1"/>
    <col min="4617" max="4617" width="26.4545454545455" style="534" customWidth="1"/>
    <col min="4618" max="4862" width="9.18181818181818" style="534"/>
    <col min="4863" max="4863" width="8.72727272727273" style="534" customWidth="1"/>
    <col min="4864" max="4864" width="13.2636363636364" style="534" customWidth="1"/>
    <col min="4865" max="4865" width="16.1818181818182" style="534" customWidth="1"/>
    <col min="4866" max="4866" width="23.5454545454545" style="534" customWidth="1"/>
    <col min="4867" max="4867" width="17.2636363636364" style="534" customWidth="1"/>
    <col min="4868" max="4868" width="20.5454545454545" style="534" customWidth="1"/>
    <col min="4869" max="4869" width="17.1818181818182" style="534" customWidth="1"/>
    <col min="4870" max="4870" width="21.8181818181818" style="534" customWidth="1"/>
    <col min="4871" max="4871" width="17.1818181818182" style="534" customWidth="1"/>
    <col min="4872" max="4872" width="18.1818181818182" style="534" customWidth="1"/>
    <col min="4873" max="4873" width="26.4545454545455" style="534" customWidth="1"/>
    <col min="4874" max="5118" width="9.18181818181818" style="534"/>
    <col min="5119" max="5119" width="8.72727272727273" style="534" customWidth="1"/>
    <col min="5120" max="5120" width="13.2636363636364" style="534" customWidth="1"/>
    <col min="5121" max="5121" width="16.1818181818182" style="534" customWidth="1"/>
    <col min="5122" max="5122" width="23.5454545454545" style="534" customWidth="1"/>
    <col min="5123" max="5123" width="17.2636363636364" style="534" customWidth="1"/>
    <col min="5124" max="5124" width="20.5454545454545" style="534" customWidth="1"/>
    <col min="5125" max="5125" width="17.1818181818182" style="534" customWidth="1"/>
    <col min="5126" max="5126" width="21.8181818181818" style="534" customWidth="1"/>
    <col min="5127" max="5127" width="17.1818181818182" style="534" customWidth="1"/>
    <col min="5128" max="5128" width="18.1818181818182" style="534" customWidth="1"/>
    <col min="5129" max="5129" width="26.4545454545455" style="534" customWidth="1"/>
    <col min="5130" max="5374" width="9.18181818181818" style="534"/>
    <col min="5375" max="5375" width="8.72727272727273" style="534" customWidth="1"/>
    <col min="5376" max="5376" width="13.2636363636364" style="534" customWidth="1"/>
    <col min="5377" max="5377" width="16.1818181818182" style="534" customWidth="1"/>
    <col min="5378" max="5378" width="23.5454545454545" style="534" customWidth="1"/>
    <col min="5379" max="5379" width="17.2636363636364" style="534" customWidth="1"/>
    <col min="5380" max="5380" width="20.5454545454545" style="534" customWidth="1"/>
    <col min="5381" max="5381" width="17.1818181818182" style="534" customWidth="1"/>
    <col min="5382" max="5382" width="21.8181818181818" style="534" customWidth="1"/>
    <col min="5383" max="5383" width="17.1818181818182" style="534" customWidth="1"/>
    <col min="5384" max="5384" width="18.1818181818182" style="534" customWidth="1"/>
    <col min="5385" max="5385" width="26.4545454545455" style="534" customWidth="1"/>
    <col min="5386" max="5630" width="9.18181818181818" style="534"/>
    <col min="5631" max="5631" width="8.72727272727273" style="534" customWidth="1"/>
    <col min="5632" max="5632" width="13.2636363636364" style="534" customWidth="1"/>
    <col min="5633" max="5633" width="16.1818181818182" style="534" customWidth="1"/>
    <col min="5634" max="5634" width="23.5454545454545" style="534" customWidth="1"/>
    <col min="5635" max="5635" width="17.2636363636364" style="534" customWidth="1"/>
    <col min="5636" max="5636" width="20.5454545454545" style="534" customWidth="1"/>
    <col min="5637" max="5637" width="17.1818181818182" style="534" customWidth="1"/>
    <col min="5638" max="5638" width="21.8181818181818" style="534" customWidth="1"/>
    <col min="5639" max="5639" width="17.1818181818182" style="534" customWidth="1"/>
    <col min="5640" max="5640" width="18.1818181818182" style="534" customWidth="1"/>
    <col min="5641" max="5641" width="26.4545454545455" style="534" customWidth="1"/>
    <col min="5642" max="5886" width="9.18181818181818" style="534"/>
    <col min="5887" max="5887" width="8.72727272727273" style="534" customWidth="1"/>
    <col min="5888" max="5888" width="13.2636363636364" style="534" customWidth="1"/>
    <col min="5889" max="5889" width="16.1818181818182" style="534" customWidth="1"/>
    <col min="5890" max="5890" width="23.5454545454545" style="534" customWidth="1"/>
    <col min="5891" max="5891" width="17.2636363636364" style="534" customWidth="1"/>
    <col min="5892" max="5892" width="20.5454545454545" style="534" customWidth="1"/>
    <col min="5893" max="5893" width="17.1818181818182" style="534" customWidth="1"/>
    <col min="5894" max="5894" width="21.8181818181818" style="534" customWidth="1"/>
    <col min="5895" max="5895" width="17.1818181818182" style="534" customWidth="1"/>
    <col min="5896" max="5896" width="18.1818181818182" style="534" customWidth="1"/>
    <col min="5897" max="5897" width="26.4545454545455" style="534" customWidth="1"/>
    <col min="5898" max="6142" width="9.18181818181818" style="534"/>
    <col min="6143" max="6143" width="8.72727272727273" style="534" customWidth="1"/>
    <col min="6144" max="6144" width="13.2636363636364" style="534" customWidth="1"/>
    <col min="6145" max="6145" width="16.1818181818182" style="534" customWidth="1"/>
    <col min="6146" max="6146" width="23.5454545454545" style="534" customWidth="1"/>
    <col min="6147" max="6147" width="17.2636363636364" style="534" customWidth="1"/>
    <col min="6148" max="6148" width="20.5454545454545" style="534" customWidth="1"/>
    <col min="6149" max="6149" width="17.1818181818182" style="534" customWidth="1"/>
    <col min="6150" max="6150" width="21.8181818181818" style="534" customWidth="1"/>
    <col min="6151" max="6151" width="17.1818181818182" style="534" customWidth="1"/>
    <col min="6152" max="6152" width="18.1818181818182" style="534" customWidth="1"/>
    <col min="6153" max="6153" width="26.4545454545455" style="534" customWidth="1"/>
    <col min="6154" max="6398" width="9.18181818181818" style="534"/>
    <col min="6399" max="6399" width="8.72727272727273" style="534" customWidth="1"/>
    <col min="6400" max="6400" width="13.2636363636364" style="534" customWidth="1"/>
    <col min="6401" max="6401" width="16.1818181818182" style="534" customWidth="1"/>
    <col min="6402" max="6402" width="23.5454545454545" style="534" customWidth="1"/>
    <col min="6403" max="6403" width="17.2636363636364" style="534" customWidth="1"/>
    <col min="6404" max="6404" width="20.5454545454545" style="534" customWidth="1"/>
    <col min="6405" max="6405" width="17.1818181818182" style="534" customWidth="1"/>
    <col min="6406" max="6406" width="21.8181818181818" style="534" customWidth="1"/>
    <col min="6407" max="6407" width="17.1818181818182" style="534" customWidth="1"/>
    <col min="6408" max="6408" width="18.1818181818182" style="534" customWidth="1"/>
    <col min="6409" max="6409" width="26.4545454545455" style="534" customWidth="1"/>
    <col min="6410" max="6654" width="9.18181818181818" style="534"/>
    <col min="6655" max="6655" width="8.72727272727273" style="534" customWidth="1"/>
    <col min="6656" max="6656" width="13.2636363636364" style="534" customWidth="1"/>
    <col min="6657" max="6657" width="16.1818181818182" style="534" customWidth="1"/>
    <col min="6658" max="6658" width="23.5454545454545" style="534" customWidth="1"/>
    <col min="6659" max="6659" width="17.2636363636364" style="534" customWidth="1"/>
    <col min="6660" max="6660" width="20.5454545454545" style="534" customWidth="1"/>
    <col min="6661" max="6661" width="17.1818181818182" style="534" customWidth="1"/>
    <col min="6662" max="6662" width="21.8181818181818" style="534" customWidth="1"/>
    <col min="6663" max="6663" width="17.1818181818182" style="534" customWidth="1"/>
    <col min="6664" max="6664" width="18.1818181818182" style="534" customWidth="1"/>
    <col min="6665" max="6665" width="26.4545454545455" style="534" customWidth="1"/>
    <col min="6666" max="6910" width="9.18181818181818" style="534"/>
    <col min="6911" max="6911" width="8.72727272727273" style="534" customWidth="1"/>
    <col min="6912" max="6912" width="13.2636363636364" style="534" customWidth="1"/>
    <col min="6913" max="6913" width="16.1818181818182" style="534" customWidth="1"/>
    <col min="6914" max="6914" width="23.5454545454545" style="534" customWidth="1"/>
    <col min="6915" max="6915" width="17.2636363636364" style="534" customWidth="1"/>
    <col min="6916" max="6916" width="20.5454545454545" style="534" customWidth="1"/>
    <col min="6917" max="6917" width="17.1818181818182" style="534" customWidth="1"/>
    <col min="6918" max="6918" width="21.8181818181818" style="534" customWidth="1"/>
    <col min="6919" max="6919" width="17.1818181818182" style="534" customWidth="1"/>
    <col min="6920" max="6920" width="18.1818181818182" style="534" customWidth="1"/>
    <col min="6921" max="6921" width="26.4545454545455" style="534" customWidth="1"/>
    <col min="6922" max="7166" width="9.18181818181818" style="534"/>
    <col min="7167" max="7167" width="8.72727272727273" style="534" customWidth="1"/>
    <col min="7168" max="7168" width="13.2636363636364" style="534" customWidth="1"/>
    <col min="7169" max="7169" width="16.1818181818182" style="534" customWidth="1"/>
    <col min="7170" max="7170" width="23.5454545454545" style="534" customWidth="1"/>
    <col min="7171" max="7171" width="17.2636363636364" style="534" customWidth="1"/>
    <col min="7172" max="7172" width="20.5454545454545" style="534" customWidth="1"/>
    <col min="7173" max="7173" width="17.1818181818182" style="534" customWidth="1"/>
    <col min="7174" max="7174" width="21.8181818181818" style="534" customWidth="1"/>
    <col min="7175" max="7175" width="17.1818181818182" style="534" customWidth="1"/>
    <col min="7176" max="7176" width="18.1818181818182" style="534" customWidth="1"/>
    <col min="7177" max="7177" width="26.4545454545455" style="534" customWidth="1"/>
    <col min="7178" max="7422" width="9.18181818181818" style="534"/>
    <col min="7423" max="7423" width="8.72727272727273" style="534" customWidth="1"/>
    <col min="7424" max="7424" width="13.2636363636364" style="534" customWidth="1"/>
    <col min="7425" max="7425" width="16.1818181818182" style="534" customWidth="1"/>
    <col min="7426" max="7426" width="23.5454545454545" style="534" customWidth="1"/>
    <col min="7427" max="7427" width="17.2636363636364" style="534" customWidth="1"/>
    <col min="7428" max="7428" width="20.5454545454545" style="534" customWidth="1"/>
    <col min="7429" max="7429" width="17.1818181818182" style="534" customWidth="1"/>
    <col min="7430" max="7430" width="21.8181818181818" style="534" customWidth="1"/>
    <col min="7431" max="7431" width="17.1818181818182" style="534" customWidth="1"/>
    <col min="7432" max="7432" width="18.1818181818182" style="534" customWidth="1"/>
    <col min="7433" max="7433" width="26.4545454545455" style="534" customWidth="1"/>
    <col min="7434" max="7678" width="9.18181818181818" style="534"/>
    <col min="7679" max="7679" width="8.72727272727273" style="534" customWidth="1"/>
    <col min="7680" max="7680" width="13.2636363636364" style="534" customWidth="1"/>
    <col min="7681" max="7681" width="16.1818181818182" style="534" customWidth="1"/>
    <col min="7682" max="7682" width="23.5454545454545" style="534" customWidth="1"/>
    <col min="7683" max="7683" width="17.2636363636364" style="534" customWidth="1"/>
    <col min="7684" max="7684" width="20.5454545454545" style="534" customWidth="1"/>
    <col min="7685" max="7685" width="17.1818181818182" style="534" customWidth="1"/>
    <col min="7686" max="7686" width="21.8181818181818" style="534" customWidth="1"/>
    <col min="7687" max="7687" width="17.1818181818182" style="534" customWidth="1"/>
    <col min="7688" max="7688" width="18.1818181818182" style="534" customWidth="1"/>
    <col min="7689" max="7689" width="26.4545454545455" style="534" customWidth="1"/>
    <col min="7690" max="7934" width="9.18181818181818" style="534"/>
    <col min="7935" max="7935" width="8.72727272727273" style="534" customWidth="1"/>
    <col min="7936" max="7936" width="13.2636363636364" style="534" customWidth="1"/>
    <col min="7937" max="7937" width="16.1818181818182" style="534" customWidth="1"/>
    <col min="7938" max="7938" width="23.5454545454545" style="534" customWidth="1"/>
    <col min="7939" max="7939" width="17.2636363636364" style="534" customWidth="1"/>
    <col min="7940" max="7940" width="20.5454545454545" style="534" customWidth="1"/>
    <col min="7941" max="7941" width="17.1818181818182" style="534" customWidth="1"/>
    <col min="7942" max="7942" width="21.8181818181818" style="534" customWidth="1"/>
    <col min="7943" max="7943" width="17.1818181818182" style="534" customWidth="1"/>
    <col min="7944" max="7944" width="18.1818181818182" style="534" customWidth="1"/>
    <col min="7945" max="7945" width="26.4545454545455" style="534" customWidth="1"/>
    <col min="7946" max="8190" width="9.18181818181818" style="534"/>
    <col min="8191" max="8191" width="8.72727272727273" style="534" customWidth="1"/>
    <col min="8192" max="8192" width="13.2636363636364" style="534" customWidth="1"/>
    <col min="8193" max="8193" width="16.1818181818182" style="534" customWidth="1"/>
    <col min="8194" max="8194" width="23.5454545454545" style="534" customWidth="1"/>
    <col min="8195" max="8195" width="17.2636363636364" style="534" customWidth="1"/>
    <col min="8196" max="8196" width="20.5454545454545" style="534" customWidth="1"/>
    <col min="8197" max="8197" width="17.1818181818182" style="534" customWidth="1"/>
    <col min="8198" max="8198" width="21.8181818181818" style="534" customWidth="1"/>
    <col min="8199" max="8199" width="17.1818181818182" style="534" customWidth="1"/>
    <col min="8200" max="8200" width="18.1818181818182" style="534" customWidth="1"/>
    <col min="8201" max="8201" width="26.4545454545455" style="534" customWidth="1"/>
    <col min="8202" max="8446" width="9.18181818181818" style="534"/>
    <col min="8447" max="8447" width="8.72727272727273" style="534" customWidth="1"/>
    <col min="8448" max="8448" width="13.2636363636364" style="534" customWidth="1"/>
    <col min="8449" max="8449" width="16.1818181818182" style="534" customWidth="1"/>
    <col min="8450" max="8450" width="23.5454545454545" style="534" customWidth="1"/>
    <col min="8451" max="8451" width="17.2636363636364" style="534" customWidth="1"/>
    <col min="8452" max="8452" width="20.5454545454545" style="534" customWidth="1"/>
    <col min="8453" max="8453" width="17.1818181818182" style="534" customWidth="1"/>
    <col min="8454" max="8454" width="21.8181818181818" style="534" customWidth="1"/>
    <col min="8455" max="8455" width="17.1818181818182" style="534" customWidth="1"/>
    <col min="8456" max="8456" width="18.1818181818182" style="534" customWidth="1"/>
    <col min="8457" max="8457" width="26.4545454545455" style="534" customWidth="1"/>
    <col min="8458" max="8702" width="9.18181818181818" style="534"/>
    <col min="8703" max="8703" width="8.72727272727273" style="534" customWidth="1"/>
    <col min="8704" max="8704" width="13.2636363636364" style="534" customWidth="1"/>
    <col min="8705" max="8705" width="16.1818181818182" style="534" customWidth="1"/>
    <col min="8706" max="8706" width="23.5454545454545" style="534" customWidth="1"/>
    <col min="8707" max="8707" width="17.2636363636364" style="534" customWidth="1"/>
    <col min="8708" max="8708" width="20.5454545454545" style="534" customWidth="1"/>
    <col min="8709" max="8709" width="17.1818181818182" style="534" customWidth="1"/>
    <col min="8710" max="8710" width="21.8181818181818" style="534" customWidth="1"/>
    <col min="8711" max="8711" width="17.1818181818182" style="534" customWidth="1"/>
    <col min="8712" max="8712" width="18.1818181818182" style="534" customWidth="1"/>
    <col min="8713" max="8713" width="26.4545454545455" style="534" customWidth="1"/>
    <col min="8714" max="8958" width="9.18181818181818" style="534"/>
    <col min="8959" max="8959" width="8.72727272727273" style="534" customWidth="1"/>
    <col min="8960" max="8960" width="13.2636363636364" style="534" customWidth="1"/>
    <col min="8961" max="8961" width="16.1818181818182" style="534" customWidth="1"/>
    <col min="8962" max="8962" width="23.5454545454545" style="534" customWidth="1"/>
    <col min="8963" max="8963" width="17.2636363636364" style="534" customWidth="1"/>
    <col min="8964" max="8964" width="20.5454545454545" style="534" customWidth="1"/>
    <col min="8965" max="8965" width="17.1818181818182" style="534" customWidth="1"/>
    <col min="8966" max="8966" width="21.8181818181818" style="534" customWidth="1"/>
    <col min="8967" max="8967" width="17.1818181818182" style="534" customWidth="1"/>
    <col min="8968" max="8968" width="18.1818181818182" style="534" customWidth="1"/>
    <col min="8969" max="8969" width="26.4545454545455" style="534" customWidth="1"/>
    <col min="8970" max="9214" width="9.18181818181818" style="534"/>
    <col min="9215" max="9215" width="8.72727272727273" style="534" customWidth="1"/>
    <col min="9216" max="9216" width="13.2636363636364" style="534" customWidth="1"/>
    <col min="9217" max="9217" width="16.1818181818182" style="534" customWidth="1"/>
    <col min="9218" max="9218" width="23.5454545454545" style="534" customWidth="1"/>
    <col min="9219" max="9219" width="17.2636363636364" style="534" customWidth="1"/>
    <col min="9220" max="9220" width="20.5454545454545" style="534" customWidth="1"/>
    <col min="9221" max="9221" width="17.1818181818182" style="534" customWidth="1"/>
    <col min="9222" max="9222" width="21.8181818181818" style="534" customWidth="1"/>
    <col min="9223" max="9223" width="17.1818181818182" style="534" customWidth="1"/>
    <col min="9224" max="9224" width="18.1818181818182" style="534" customWidth="1"/>
    <col min="9225" max="9225" width="26.4545454545455" style="534" customWidth="1"/>
    <col min="9226" max="9470" width="9.18181818181818" style="534"/>
    <col min="9471" max="9471" width="8.72727272727273" style="534" customWidth="1"/>
    <col min="9472" max="9472" width="13.2636363636364" style="534" customWidth="1"/>
    <col min="9473" max="9473" width="16.1818181818182" style="534" customWidth="1"/>
    <col min="9474" max="9474" width="23.5454545454545" style="534" customWidth="1"/>
    <col min="9475" max="9475" width="17.2636363636364" style="534" customWidth="1"/>
    <col min="9476" max="9476" width="20.5454545454545" style="534" customWidth="1"/>
    <col min="9477" max="9477" width="17.1818181818182" style="534" customWidth="1"/>
    <col min="9478" max="9478" width="21.8181818181818" style="534" customWidth="1"/>
    <col min="9479" max="9479" width="17.1818181818182" style="534" customWidth="1"/>
    <col min="9480" max="9480" width="18.1818181818182" style="534" customWidth="1"/>
    <col min="9481" max="9481" width="26.4545454545455" style="534" customWidth="1"/>
    <col min="9482" max="9726" width="9.18181818181818" style="534"/>
    <col min="9727" max="9727" width="8.72727272727273" style="534" customWidth="1"/>
    <col min="9728" max="9728" width="13.2636363636364" style="534" customWidth="1"/>
    <col min="9729" max="9729" width="16.1818181818182" style="534" customWidth="1"/>
    <col min="9730" max="9730" width="23.5454545454545" style="534" customWidth="1"/>
    <col min="9731" max="9731" width="17.2636363636364" style="534" customWidth="1"/>
    <col min="9732" max="9732" width="20.5454545454545" style="534" customWidth="1"/>
    <col min="9733" max="9733" width="17.1818181818182" style="534" customWidth="1"/>
    <col min="9734" max="9734" width="21.8181818181818" style="534" customWidth="1"/>
    <col min="9735" max="9735" width="17.1818181818182" style="534" customWidth="1"/>
    <col min="9736" max="9736" width="18.1818181818182" style="534" customWidth="1"/>
    <col min="9737" max="9737" width="26.4545454545455" style="534" customWidth="1"/>
    <col min="9738" max="9982" width="9.18181818181818" style="534"/>
    <col min="9983" max="9983" width="8.72727272727273" style="534" customWidth="1"/>
    <col min="9984" max="9984" width="13.2636363636364" style="534" customWidth="1"/>
    <col min="9985" max="9985" width="16.1818181818182" style="534" customWidth="1"/>
    <col min="9986" max="9986" width="23.5454545454545" style="534" customWidth="1"/>
    <col min="9987" max="9987" width="17.2636363636364" style="534" customWidth="1"/>
    <col min="9988" max="9988" width="20.5454545454545" style="534" customWidth="1"/>
    <col min="9989" max="9989" width="17.1818181818182" style="534" customWidth="1"/>
    <col min="9990" max="9990" width="21.8181818181818" style="534" customWidth="1"/>
    <col min="9991" max="9991" width="17.1818181818182" style="534" customWidth="1"/>
    <col min="9992" max="9992" width="18.1818181818182" style="534" customWidth="1"/>
    <col min="9993" max="9993" width="26.4545454545455" style="534" customWidth="1"/>
    <col min="9994" max="10238" width="9.18181818181818" style="534"/>
    <col min="10239" max="10239" width="8.72727272727273" style="534" customWidth="1"/>
    <col min="10240" max="10240" width="13.2636363636364" style="534" customWidth="1"/>
    <col min="10241" max="10241" width="16.1818181818182" style="534" customWidth="1"/>
    <col min="10242" max="10242" width="23.5454545454545" style="534" customWidth="1"/>
    <col min="10243" max="10243" width="17.2636363636364" style="534" customWidth="1"/>
    <col min="10244" max="10244" width="20.5454545454545" style="534" customWidth="1"/>
    <col min="10245" max="10245" width="17.1818181818182" style="534" customWidth="1"/>
    <col min="10246" max="10246" width="21.8181818181818" style="534" customWidth="1"/>
    <col min="10247" max="10247" width="17.1818181818182" style="534" customWidth="1"/>
    <col min="10248" max="10248" width="18.1818181818182" style="534" customWidth="1"/>
    <col min="10249" max="10249" width="26.4545454545455" style="534" customWidth="1"/>
    <col min="10250" max="10494" width="9.18181818181818" style="534"/>
    <col min="10495" max="10495" width="8.72727272727273" style="534" customWidth="1"/>
    <col min="10496" max="10496" width="13.2636363636364" style="534" customWidth="1"/>
    <col min="10497" max="10497" width="16.1818181818182" style="534" customWidth="1"/>
    <col min="10498" max="10498" width="23.5454545454545" style="534" customWidth="1"/>
    <col min="10499" max="10499" width="17.2636363636364" style="534" customWidth="1"/>
    <col min="10500" max="10500" width="20.5454545454545" style="534" customWidth="1"/>
    <col min="10501" max="10501" width="17.1818181818182" style="534" customWidth="1"/>
    <col min="10502" max="10502" width="21.8181818181818" style="534" customWidth="1"/>
    <col min="10503" max="10503" width="17.1818181818182" style="534" customWidth="1"/>
    <col min="10504" max="10504" width="18.1818181818182" style="534" customWidth="1"/>
    <col min="10505" max="10505" width="26.4545454545455" style="534" customWidth="1"/>
    <col min="10506" max="10750" width="9.18181818181818" style="534"/>
    <col min="10751" max="10751" width="8.72727272727273" style="534" customWidth="1"/>
    <col min="10752" max="10752" width="13.2636363636364" style="534" customWidth="1"/>
    <col min="10753" max="10753" width="16.1818181818182" style="534" customWidth="1"/>
    <col min="10754" max="10754" width="23.5454545454545" style="534" customWidth="1"/>
    <col min="10755" max="10755" width="17.2636363636364" style="534" customWidth="1"/>
    <col min="10756" max="10756" width="20.5454545454545" style="534" customWidth="1"/>
    <col min="10757" max="10757" width="17.1818181818182" style="534" customWidth="1"/>
    <col min="10758" max="10758" width="21.8181818181818" style="534" customWidth="1"/>
    <col min="10759" max="10759" width="17.1818181818182" style="534" customWidth="1"/>
    <col min="10760" max="10760" width="18.1818181818182" style="534" customWidth="1"/>
    <col min="10761" max="10761" width="26.4545454545455" style="534" customWidth="1"/>
    <col min="10762" max="11006" width="9.18181818181818" style="534"/>
    <col min="11007" max="11007" width="8.72727272727273" style="534" customWidth="1"/>
    <col min="11008" max="11008" width="13.2636363636364" style="534" customWidth="1"/>
    <col min="11009" max="11009" width="16.1818181818182" style="534" customWidth="1"/>
    <col min="11010" max="11010" width="23.5454545454545" style="534" customWidth="1"/>
    <col min="11011" max="11011" width="17.2636363636364" style="534" customWidth="1"/>
    <col min="11012" max="11012" width="20.5454545454545" style="534" customWidth="1"/>
    <col min="11013" max="11013" width="17.1818181818182" style="534" customWidth="1"/>
    <col min="11014" max="11014" width="21.8181818181818" style="534" customWidth="1"/>
    <col min="11015" max="11015" width="17.1818181818182" style="534" customWidth="1"/>
    <col min="11016" max="11016" width="18.1818181818182" style="534" customWidth="1"/>
    <col min="11017" max="11017" width="26.4545454545455" style="534" customWidth="1"/>
    <col min="11018" max="11262" width="9.18181818181818" style="534"/>
    <col min="11263" max="11263" width="8.72727272727273" style="534" customWidth="1"/>
    <col min="11264" max="11264" width="13.2636363636364" style="534" customWidth="1"/>
    <col min="11265" max="11265" width="16.1818181818182" style="534" customWidth="1"/>
    <col min="11266" max="11266" width="23.5454545454545" style="534" customWidth="1"/>
    <col min="11267" max="11267" width="17.2636363636364" style="534" customWidth="1"/>
    <col min="11268" max="11268" width="20.5454545454545" style="534" customWidth="1"/>
    <col min="11269" max="11269" width="17.1818181818182" style="534" customWidth="1"/>
    <col min="11270" max="11270" width="21.8181818181818" style="534" customWidth="1"/>
    <col min="11271" max="11271" width="17.1818181818182" style="534" customWidth="1"/>
    <col min="11272" max="11272" width="18.1818181818182" style="534" customWidth="1"/>
    <col min="11273" max="11273" width="26.4545454545455" style="534" customWidth="1"/>
    <col min="11274" max="11518" width="9.18181818181818" style="534"/>
    <col min="11519" max="11519" width="8.72727272727273" style="534" customWidth="1"/>
    <col min="11520" max="11520" width="13.2636363636364" style="534" customWidth="1"/>
    <col min="11521" max="11521" width="16.1818181818182" style="534" customWidth="1"/>
    <col min="11522" max="11522" width="23.5454545454545" style="534" customWidth="1"/>
    <col min="11523" max="11523" width="17.2636363636364" style="534" customWidth="1"/>
    <col min="11524" max="11524" width="20.5454545454545" style="534" customWidth="1"/>
    <col min="11525" max="11525" width="17.1818181818182" style="534" customWidth="1"/>
    <col min="11526" max="11526" width="21.8181818181818" style="534" customWidth="1"/>
    <col min="11527" max="11527" width="17.1818181818182" style="534" customWidth="1"/>
    <col min="11528" max="11528" width="18.1818181818182" style="534" customWidth="1"/>
    <col min="11529" max="11529" width="26.4545454545455" style="534" customWidth="1"/>
    <col min="11530" max="11774" width="9.18181818181818" style="534"/>
    <col min="11775" max="11775" width="8.72727272727273" style="534" customWidth="1"/>
    <col min="11776" max="11776" width="13.2636363636364" style="534" customWidth="1"/>
    <col min="11777" max="11777" width="16.1818181818182" style="534" customWidth="1"/>
    <col min="11778" max="11778" width="23.5454545454545" style="534" customWidth="1"/>
    <col min="11779" max="11779" width="17.2636363636364" style="534" customWidth="1"/>
    <col min="11780" max="11780" width="20.5454545454545" style="534" customWidth="1"/>
    <col min="11781" max="11781" width="17.1818181818182" style="534" customWidth="1"/>
    <col min="11782" max="11782" width="21.8181818181818" style="534" customWidth="1"/>
    <col min="11783" max="11783" width="17.1818181818182" style="534" customWidth="1"/>
    <col min="11784" max="11784" width="18.1818181818182" style="534" customWidth="1"/>
    <col min="11785" max="11785" width="26.4545454545455" style="534" customWidth="1"/>
    <col min="11786" max="12030" width="9.18181818181818" style="534"/>
    <col min="12031" max="12031" width="8.72727272727273" style="534" customWidth="1"/>
    <col min="12032" max="12032" width="13.2636363636364" style="534" customWidth="1"/>
    <col min="12033" max="12033" width="16.1818181818182" style="534" customWidth="1"/>
    <col min="12034" max="12034" width="23.5454545454545" style="534" customWidth="1"/>
    <col min="12035" max="12035" width="17.2636363636364" style="534" customWidth="1"/>
    <col min="12036" max="12036" width="20.5454545454545" style="534" customWidth="1"/>
    <col min="12037" max="12037" width="17.1818181818182" style="534" customWidth="1"/>
    <col min="12038" max="12038" width="21.8181818181818" style="534" customWidth="1"/>
    <col min="12039" max="12039" width="17.1818181818182" style="534" customWidth="1"/>
    <col min="12040" max="12040" width="18.1818181818182" style="534" customWidth="1"/>
    <col min="12041" max="12041" width="26.4545454545455" style="534" customWidth="1"/>
    <col min="12042" max="12286" width="9.18181818181818" style="534"/>
    <col min="12287" max="12287" width="8.72727272727273" style="534" customWidth="1"/>
    <col min="12288" max="12288" width="13.2636363636364" style="534" customWidth="1"/>
    <col min="12289" max="12289" width="16.1818181818182" style="534" customWidth="1"/>
    <col min="12290" max="12290" width="23.5454545454545" style="534" customWidth="1"/>
    <col min="12291" max="12291" width="17.2636363636364" style="534" customWidth="1"/>
    <col min="12292" max="12292" width="20.5454545454545" style="534" customWidth="1"/>
    <col min="12293" max="12293" width="17.1818181818182" style="534" customWidth="1"/>
    <col min="12294" max="12294" width="21.8181818181818" style="534" customWidth="1"/>
    <col min="12295" max="12295" width="17.1818181818182" style="534" customWidth="1"/>
    <col min="12296" max="12296" width="18.1818181818182" style="534" customWidth="1"/>
    <col min="12297" max="12297" width="26.4545454545455" style="534" customWidth="1"/>
    <col min="12298" max="12542" width="9.18181818181818" style="534"/>
    <col min="12543" max="12543" width="8.72727272727273" style="534" customWidth="1"/>
    <col min="12544" max="12544" width="13.2636363636364" style="534" customWidth="1"/>
    <col min="12545" max="12545" width="16.1818181818182" style="534" customWidth="1"/>
    <col min="12546" max="12546" width="23.5454545454545" style="534" customWidth="1"/>
    <col min="12547" max="12547" width="17.2636363636364" style="534" customWidth="1"/>
    <col min="12548" max="12548" width="20.5454545454545" style="534" customWidth="1"/>
    <col min="12549" max="12549" width="17.1818181818182" style="534" customWidth="1"/>
    <col min="12550" max="12550" width="21.8181818181818" style="534" customWidth="1"/>
    <col min="12551" max="12551" width="17.1818181818182" style="534" customWidth="1"/>
    <col min="12552" max="12552" width="18.1818181818182" style="534" customWidth="1"/>
    <col min="12553" max="12553" width="26.4545454545455" style="534" customWidth="1"/>
    <col min="12554" max="12798" width="9.18181818181818" style="534"/>
    <col min="12799" max="12799" width="8.72727272727273" style="534" customWidth="1"/>
    <col min="12800" max="12800" width="13.2636363636364" style="534" customWidth="1"/>
    <col min="12801" max="12801" width="16.1818181818182" style="534" customWidth="1"/>
    <col min="12802" max="12802" width="23.5454545454545" style="534" customWidth="1"/>
    <col min="12803" max="12803" width="17.2636363636364" style="534" customWidth="1"/>
    <col min="12804" max="12804" width="20.5454545454545" style="534" customWidth="1"/>
    <col min="12805" max="12805" width="17.1818181818182" style="534" customWidth="1"/>
    <col min="12806" max="12806" width="21.8181818181818" style="534" customWidth="1"/>
    <col min="12807" max="12807" width="17.1818181818182" style="534" customWidth="1"/>
    <col min="12808" max="12808" width="18.1818181818182" style="534" customWidth="1"/>
    <col min="12809" max="12809" width="26.4545454545455" style="534" customWidth="1"/>
    <col min="12810" max="13054" width="9.18181818181818" style="534"/>
    <col min="13055" max="13055" width="8.72727272727273" style="534" customWidth="1"/>
    <col min="13056" max="13056" width="13.2636363636364" style="534" customWidth="1"/>
    <col min="13057" max="13057" width="16.1818181818182" style="534" customWidth="1"/>
    <col min="13058" max="13058" width="23.5454545454545" style="534" customWidth="1"/>
    <col min="13059" max="13059" width="17.2636363636364" style="534" customWidth="1"/>
    <col min="13060" max="13060" width="20.5454545454545" style="534" customWidth="1"/>
    <col min="13061" max="13061" width="17.1818181818182" style="534" customWidth="1"/>
    <col min="13062" max="13062" width="21.8181818181818" style="534" customWidth="1"/>
    <col min="13063" max="13063" width="17.1818181818182" style="534" customWidth="1"/>
    <col min="13064" max="13064" width="18.1818181818182" style="534" customWidth="1"/>
    <col min="13065" max="13065" width="26.4545454545455" style="534" customWidth="1"/>
    <col min="13066" max="13310" width="9.18181818181818" style="534"/>
    <col min="13311" max="13311" width="8.72727272727273" style="534" customWidth="1"/>
    <col min="13312" max="13312" width="13.2636363636364" style="534" customWidth="1"/>
    <col min="13313" max="13313" width="16.1818181818182" style="534" customWidth="1"/>
    <col min="13314" max="13314" width="23.5454545454545" style="534" customWidth="1"/>
    <col min="13315" max="13315" width="17.2636363636364" style="534" customWidth="1"/>
    <col min="13316" max="13316" width="20.5454545454545" style="534" customWidth="1"/>
    <col min="13317" max="13317" width="17.1818181818182" style="534" customWidth="1"/>
    <col min="13318" max="13318" width="21.8181818181818" style="534" customWidth="1"/>
    <col min="13319" max="13319" width="17.1818181818182" style="534" customWidth="1"/>
    <col min="13320" max="13320" width="18.1818181818182" style="534" customWidth="1"/>
    <col min="13321" max="13321" width="26.4545454545455" style="534" customWidth="1"/>
    <col min="13322" max="13566" width="9.18181818181818" style="534"/>
    <col min="13567" max="13567" width="8.72727272727273" style="534" customWidth="1"/>
    <col min="13568" max="13568" width="13.2636363636364" style="534" customWidth="1"/>
    <col min="13569" max="13569" width="16.1818181818182" style="534" customWidth="1"/>
    <col min="13570" max="13570" width="23.5454545454545" style="534" customWidth="1"/>
    <col min="13571" max="13571" width="17.2636363636364" style="534" customWidth="1"/>
    <col min="13572" max="13572" width="20.5454545454545" style="534" customWidth="1"/>
    <col min="13573" max="13573" width="17.1818181818182" style="534" customWidth="1"/>
    <col min="13574" max="13574" width="21.8181818181818" style="534" customWidth="1"/>
    <col min="13575" max="13575" width="17.1818181818182" style="534" customWidth="1"/>
    <col min="13576" max="13576" width="18.1818181818182" style="534" customWidth="1"/>
    <col min="13577" max="13577" width="26.4545454545455" style="534" customWidth="1"/>
    <col min="13578" max="13822" width="9.18181818181818" style="534"/>
    <col min="13823" max="13823" width="8.72727272727273" style="534" customWidth="1"/>
    <col min="13824" max="13824" width="13.2636363636364" style="534" customWidth="1"/>
    <col min="13825" max="13825" width="16.1818181818182" style="534" customWidth="1"/>
    <col min="13826" max="13826" width="23.5454545454545" style="534" customWidth="1"/>
    <col min="13827" max="13827" width="17.2636363636364" style="534" customWidth="1"/>
    <col min="13828" max="13828" width="20.5454545454545" style="534" customWidth="1"/>
    <col min="13829" max="13829" width="17.1818181818182" style="534" customWidth="1"/>
    <col min="13830" max="13830" width="21.8181818181818" style="534" customWidth="1"/>
    <col min="13831" max="13831" width="17.1818181818182" style="534" customWidth="1"/>
    <col min="13832" max="13832" width="18.1818181818182" style="534" customWidth="1"/>
    <col min="13833" max="13833" width="26.4545454545455" style="534" customWidth="1"/>
    <col min="13834" max="14078" width="9.18181818181818" style="534"/>
    <col min="14079" max="14079" width="8.72727272727273" style="534" customWidth="1"/>
    <col min="14080" max="14080" width="13.2636363636364" style="534" customWidth="1"/>
    <col min="14081" max="14081" width="16.1818181818182" style="534" customWidth="1"/>
    <col min="14082" max="14082" width="23.5454545454545" style="534" customWidth="1"/>
    <col min="14083" max="14083" width="17.2636363636364" style="534" customWidth="1"/>
    <col min="14084" max="14084" width="20.5454545454545" style="534" customWidth="1"/>
    <col min="14085" max="14085" width="17.1818181818182" style="534" customWidth="1"/>
    <col min="14086" max="14086" width="21.8181818181818" style="534" customWidth="1"/>
    <col min="14087" max="14087" width="17.1818181818182" style="534" customWidth="1"/>
    <col min="14088" max="14088" width="18.1818181818182" style="534" customWidth="1"/>
    <col min="14089" max="14089" width="26.4545454545455" style="534" customWidth="1"/>
    <col min="14090" max="14334" width="9.18181818181818" style="534"/>
    <col min="14335" max="14335" width="8.72727272727273" style="534" customWidth="1"/>
    <col min="14336" max="14336" width="13.2636363636364" style="534" customWidth="1"/>
    <col min="14337" max="14337" width="16.1818181818182" style="534" customWidth="1"/>
    <col min="14338" max="14338" width="23.5454545454545" style="534" customWidth="1"/>
    <col min="14339" max="14339" width="17.2636363636364" style="534" customWidth="1"/>
    <col min="14340" max="14340" width="20.5454545454545" style="534" customWidth="1"/>
    <col min="14341" max="14341" width="17.1818181818182" style="534" customWidth="1"/>
    <col min="14342" max="14342" width="21.8181818181818" style="534" customWidth="1"/>
    <col min="14343" max="14343" width="17.1818181818182" style="534" customWidth="1"/>
    <col min="14344" max="14344" width="18.1818181818182" style="534" customWidth="1"/>
    <col min="14345" max="14345" width="26.4545454545455" style="534" customWidth="1"/>
    <col min="14346" max="14590" width="9.18181818181818" style="534"/>
    <col min="14591" max="14591" width="8.72727272727273" style="534" customWidth="1"/>
    <col min="14592" max="14592" width="13.2636363636364" style="534" customWidth="1"/>
    <col min="14593" max="14593" width="16.1818181818182" style="534" customWidth="1"/>
    <col min="14594" max="14594" width="23.5454545454545" style="534" customWidth="1"/>
    <col min="14595" max="14595" width="17.2636363636364" style="534" customWidth="1"/>
    <col min="14596" max="14596" width="20.5454545454545" style="534" customWidth="1"/>
    <col min="14597" max="14597" width="17.1818181818182" style="534" customWidth="1"/>
    <col min="14598" max="14598" width="21.8181818181818" style="534" customWidth="1"/>
    <col min="14599" max="14599" width="17.1818181818182" style="534" customWidth="1"/>
    <col min="14600" max="14600" width="18.1818181818182" style="534" customWidth="1"/>
    <col min="14601" max="14601" width="26.4545454545455" style="534" customWidth="1"/>
    <col min="14602" max="14846" width="9.18181818181818" style="534"/>
    <col min="14847" max="14847" width="8.72727272727273" style="534" customWidth="1"/>
    <col min="14848" max="14848" width="13.2636363636364" style="534" customWidth="1"/>
    <col min="14849" max="14849" width="16.1818181818182" style="534" customWidth="1"/>
    <col min="14850" max="14850" width="23.5454545454545" style="534" customWidth="1"/>
    <col min="14851" max="14851" width="17.2636363636364" style="534" customWidth="1"/>
    <col min="14852" max="14852" width="20.5454545454545" style="534" customWidth="1"/>
    <col min="14853" max="14853" width="17.1818181818182" style="534" customWidth="1"/>
    <col min="14854" max="14854" width="21.8181818181818" style="534" customWidth="1"/>
    <col min="14855" max="14855" width="17.1818181818182" style="534" customWidth="1"/>
    <col min="14856" max="14856" width="18.1818181818182" style="534" customWidth="1"/>
    <col min="14857" max="14857" width="26.4545454545455" style="534" customWidth="1"/>
    <col min="14858" max="15102" width="9.18181818181818" style="534"/>
    <col min="15103" max="15103" width="8.72727272727273" style="534" customWidth="1"/>
    <col min="15104" max="15104" width="13.2636363636364" style="534" customWidth="1"/>
    <col min="15105" max="15105" width="16.1818181818182" style="534" customWidth="1"/>
    <col min="15106" max="15106" width="23.5454545454545" style="534" customWidth="1"/>
    <col min="15107" max="15107" width="17.2636363636364" style="534" customWidth="1"/>
    <col min="15108" max="15108" width="20.5454545454545" style="534" customWidth="1"/>
    <col min="15109" max="15109" width="17.1818181818182" style="534" customWidth="1"/>
    <col min="15110" max="15110" width="21.8181818181818" style="534" customWidth="1"/>
    <col min="15111" max="15111" width="17.1818181818182" style="534" customWidth="1"/>
    <col min="15112" max="15112" width="18.1818181818182" style="534" customWidth="1"/>
    <col min="15113" max="15113" width="26.4545454545455" style="534" customWidth="1"/>
    <col min="15114" max="15358" width="9.18181818181818" style="534"/>
    <col min="15359" max="15359" width="8.72727272727273" style="534" customWidth="1"/>
    <col min="15360" max="15360" width="13.2636363636364" style="534" customWidth="1"/>
    <col min="15361" max="15361" width="16.1818181818182" style="534" customWidth="1"/>
    <col min="15362" max="15362" width="23.5454545454545" style="534" customWidth="1"/>
    <col min="15363" max="15363" width="17.2636363636364" style="534" customWidth="1"/>
    <col min="15364" max="15364" width="20.5454545454545" style="534" customWidth="1"/>
    <col min="15365" max="15365" width="17.1818181818182" style="534" customWidth="1"/>
    <col min="15366" max="15366" width="21.8181818181818" style="534" customWidth="1"/>
    <col min="15367" max="15367" width="17.1818181818182" style="534" customWidth="1"/>
    <col min="15368" max="15368" width="18.1818181818182" style="534" customWidth="1"/>
    <col min="15369" max="15369" width="26.4545454545455" style="534" customWidth="1"/>
    <col min="15370" max="15614" width="9.18181818181818" style="534"/>
    <col min="15615" max="15615" width="8.72727272727273" style="534" customWidth="1"/>
    <col min="15616" max="15616" width="13.2636363636364" style="534" customWidth="1"/>
    <col min="15617" max="15617" width="16.1818181818182" style="534" customWidth="1"/>
    <col min="15618" max="15618" width="23.5454545454545" style="534" customWidth="1"/>
    <col min="15619" max="15619" width="17.2636363636364" style="534" customWidth="1"/>
    <col min="15620" max="15620" width="20.5454545454545" style="534" customWidth="1"/>
    <col min="15621" max="15621" width="17.1818181818182" style="534" customWidth="1"/>
    <col min="15622" max="15622" width="21.8181818181818" style="534" customWidth="1"/>
    <col min="15623" max="15623" width="17.1818181818182" style="534" customWidth="1"/>
    <col min="15624" max="15624" width="18.1818181818182" style="534" customWidth="1"/>
    <col min="15625" max="15625" width="26.4545454545455" style="534" customWidth="1"/>
    <col min="15626" max="15870" width="9.18181818181818" style="534"/>
    <col min="15871" max="15871" width="8.72727272727273" style="534" customWidth="1"/>
    <col min="15872" max="15872" width="13.2636363636364" style="534" customWidth="1"/>
    <col min="15873" max="15873" width="16.1818181818182" style="534" customWidth="1"/>
    <col min="15874" max="15874" width="23.5454545454545" style="534" customWidth="1"/>
    <col min="15875" max="15875" width="17.2636363636364" style="534" customWidth="1"/>
    <col min="15876" max="15876" width="20.5454545454545" style="534" customWidth="1"/>
    <col min="15877" max="15877" width="17.1818181818182" style="534" customWidth="1"/>
    <col min="15878" max="15878" width="21.8181818181818" style="534" customWidth="1"/>
    <col min="15879" max="15879" width="17.1818181818182" style="534" customWidth="1"/>
    <col min="15880" max="15880" width="18.1818181818182" style="534" customWidth="1"/>
    <col min="15881" max="15881" width="26.4545454545455" style="534" customWidth="1"/>
    <col min="15882" max="16126" width="9.18181818181818" style="534"/>
    <col min="16127" max="16127" width="8.72727272727273" style="534" customWidth="1"/>
    <col min="16128" max="16128" width="13.2636363636364" style="534" customWidth="1"/>
    <col min="16129" max="16129" width="16.1818181818182" style="534" customWidth="1"/>
    <col min="16130" max="16130" width="23.5454545454545" style="534" customWidth="1"/>
    <col min="16131" max="16131" width="17.2636363636364" style="534" customWidth="1"/>
    <col min="16132" max="16132" width="20.5454545454545" style="534" customWidth="1"/>
    <col min="16133" max="16133" width="17.1818181818182" style="534" customWidth="1"/>
    <col min="16134" max="16134" width="21.8181818181818" style="534" customWidth="1"/>
    <col min="16135" max="16135" width="17.1818181818182" style="534" customWidth="1"/>
    <col min="16136" max="16136" width="18.1818181818182" style="534" customWidth="1"/>
    <col min="16137" max="16137" width="26.4545454545455" style="534" customWidth="1"/>
    <col min="16138" max="16384" width="9.18181818181818" style="534"/>
  </cols>
  <sheetData>
    <row r="1" s="531" customFormat="1" spans="11:12">
      <c r="K1" s="585"/>
      <c r="L1" s="586"/>
    </row>
    <row r="2" s="531" customFormat="1" spans="11:12">
      <c r="K2" s="585"/>
      <c r="L2" s="586"/>
    </row>
    <row r="3" s="531" customFormat="1" spans="11:12">
      <c r="K3" s="585"/>
      <c r="L3" s="586"/>
    </row>
    <row r="4" s="531" customFormat="1" spans="11:12">
      <c r="K4" s="585"/>
      <c r="L4" s="586"/>
    </row>
    <row r="5" s="531" customFormat="1" spans="11:12">
      <c r="K5" s="585"/>
      <c r="L5" s="586"/>
    </row>
    <row r="6" s="531" customFormat="1" spans="11:12">
      <c r="K6" s="585"/>
      <c r="L6" s="586"/>
    </row>
    <row r="7" s="531" customFormat="1" spans="11:12">
      <c r="K7" s="585"/>
      <c r="L7" s="586"/>
    </row>
    <row r="8" s="531" customFormat="1" spans="11:12">
      <c r="K8" s="585"/>
      <c r="L8" s="586"/>
    </row>
    <row r="9" s="531" customFormat="1" spans="11:12">
      <c r="K9" s="585"/>
      <c r="L9" s="586"/>
    </row>
    <row r="10" s="531" customFormat="1" spans="11:12">
      <c r="K10" s="585"/>
      <c r="L10" s="586"/>
    </row>
    <row r="11" s="531" customFormat="1" spans="11:12">
      <c r="K11" s="585"/>
      <c r="L11" s="586"/>
    </row>
    <row r="12" s="531" customFormat="1" spans="11:12">
      <c r="K12" s="585"/>
      <c r="L12" s="586"/>
    </row>
    <row r="13" s="531" customFormat="1" spans="11:12">
      <c r="K13" s="585"/>
      <c r="L13" s="586"/>
    </row>
    <row r="14" s="531" customFormat="1" spans="11:12">
      <c r="K14" s="585"/>
      <c r="L14" s="586"/>
    </row>
    <row r="15" s="531" customFormat="1" spans="11:12">
      <c r="K15" s="585"/>
      <c r="L15" s="586"/>
    </row>
    <row r="16" s="531" customFormat="1" spans="11:12">
      <c r="K16" s="585"/>
      <c r="L16" s="586"/>
    </row>
    <row r="17" s="531" customFormat="1" spans="11:12">
      <c r="K17" s="585"/>
      <c r="L17" s="586"/>
    </row>
    <row r="18" s="531" customFormat="1" spans="11:12">
      <c r="K18" s="585"/>
      <c r="L18" s="586"/>
    </row>
    <row r="19" s="531" customFormat="1" spans="11:12">
      <c r="K19" s="585"/>
      <c r="L19" s="586"/>
    </row>
    <row r="20" s="531" customFormat="1" spans="11:12">
      <c r="K20" s="585"/>
      <c r="L20" s="586"/>
    </row>
    <row r="21" s="531" customFormat="1" spans="11:12">
      <c r="K21" s="585"/>
      <c r="L21" s="586"/>
    </row>
    <row r="22" s="531" customFormat="1" spans="11:12">
      <c r="K22" s="585"/>
      <c r="L22" s="586"/>
    </row>
    <row r="23" s="531" customFormat="1" spans="11:12">
      <c r="K23" s="585"/>
      <c r="L23" s="586"/>
    </row>
    <row r="24" s="531" customFormat="1" spans="11:12">
      <c r="K24" s="585"/>
      <c r="L24" s="586"/>
    </row>
    <row r="25" s="531" customFormat="1" spans="11:21">
      <c r="K25" s="585"/>
      <c r="L25" s="586"/>
      <c r="O25" s="587"/>
      <c r="P25" s="587"/>
      <c r="Q25" s="587"/>
      <c r="R25" s="587"/>
      <c r="S25" s="587"/>
      <c r="T25" s="587"/>
      <c r="U25" s="587"/>
    </row>
    <row r="26" s="531" customFormat="1" spans="11:21">
      <c r="K26" s="585"/>
      <c r="L26" s="586"/>
      <c r="O26" s="587"/>
      <c r="P26" s="587"/>
      <c r="Q26" s="587"/>
      <c r="R26" s="587"/>
      <c r="S26" s="587"/>
      <c r="T26" s="587"/>
      <c r="U26" s="587"/>
    </row>
    <row r="27" s="531" customFormat="1" spans="11:21">
      <c r="K27" s="585"/>
      <c r="L27" s="586"/>
      <c r="O27" s="587"/>
      <c r="P27" s="587"/>
      <c r="Q27" s="587"/>
      <c r="R27" s="587"/>
      <c r="S27" s="587"/>
      <c r="T27" s="587"/>
      <c r="U27" s="587"/>
    </row>
    <row r="28" s="531" customFormat="1" ht="24.75" customHeight="1" spans="1:21">
      <c r="A28" s="537" t="str">
        <f>CHOOSE(MODE,'Variable Mgmt'!K7,'Variable Mgmt'!K8)</f>
        <v>BIPOLAR Output PSR Flyback Converter, VIN = 12 V, VOUT1 = 18 V, IOUT1 = 0.5 A, VOUT2 = -5 V, IOUT2 = -0.4 A</v>
      </c>
      <c r="K28" s="586"/>
      <c r="L28" s="586"/>
      <c r="O28" s="587"/>
      <c r="P28" s="587"/>
      <c r="Q28" s="587"/>
      <c r="R28" s="587"/>
      <c r="S28" s="587"/>
      <c r="T28" s="587"/>
      <c r="U28" s="587"/>
    </row>
    <row r="29" ht="24.75" customHeight="1" spans="1:21">
      <c r="A29" s="538" t="str">
        <f>CHOOSE(VARIANT,"LM5180 High Efficiency PSR Flyback Converter BOM","LM5181 High Efficiency PSR Flyback Converter BOM","LM25180 High Efficiency PSR Flyback Converter BOM","LM25183 High Efficiency PSR Flyback Converter BOM","LM25184 High Efficiency PSR Flyback Converter BOM")</f>
        <v>LM5180 High Efficiency PSR Flyback Converter BOM</v>
      </c>
      <c r="O29" s="588"/>
      <c r="P29" s="588"/>
      <c r="Q29" s="588"/>
      <c r="R29" s="588"/>
      <c r="S29" s="588"/>
      <c r="T29" s="588"/>
      <c r="U29" s="588"/>
    </row>
    <row r="30" ht="18" customHeight="1" spans="1:21">
      <c r="A30" s="539" t="s">
        <v>72</v>
      </c>
      <c r="B30" s="540" t="s">
        <v>73</v>
      </c>
      <c r="C30" s="540" t="s">
        <v>74</v>
      </c>
      <c r="D30" s="541" t="s">
        <v>75</v>
      </c>
      <c r="E30" s="542"/>
      <c r="F30" s="543"/>
      <c r="G30" s="540" t="s">
        <v>76</v>
      </c>
      <c r="H30" s="540" t="s">
        <v>77</v>
      </c>
      <c r="I30" s="541" t="s">
        <v>78</v>
      </c>
      <c r="J30" s="589" t="s">
        <v>79</v>
      </c>
      <c r="K30" s="590" t="s">
        <v>80</v>
      </c>
      <c r="L30" s="591"/>
      <c r="N30" s="532"/>
      <c r="O30" s="588"/>
      <c r="P30" s="588"/>
      <c r="Q30" s="617"/>
      <c r="R30" s="588"/>
      <c r="S30" s="588"/>
      <c r="T30" s="588"/>
      <c r="U30" s="588"/>
    </row>
    <row r="31" s="532" customFormat="1" ht="17.15" customHeight="1" spans="1:21">
      <c r="A31" s="544">
        <f>ROUNDUP('LM(2)518x PSR flyback converter'!E18/10,0)</f>
        <v>10</v>
      </c>
      <c r="B31" s="545" t="s">
        <v>81</v>
      </c>
      <c r="C31" s="546">
        <f>Cin</f>
        <v>100</v>
      </c>
      <c r="D31" s="547" t="str">
        <f>IF(VIN_max&gt;35,"Capacitor, Ceramic, "&amp;'Variable Mgmt'!B226&amp;", 100V, X7R, 10%","Capacitor, Ceramic, "&amp;'Variable Mgmt'!B226&amp;", 50V, X7R, 10%")</f>
        <v>Capacitor, Ceramic, 100µF, 50V, X7R, 10%</v>
      </c>
      <c r="E31" s="548"/>
      <c r="F31" s="548"/>
      <c r="G31" s="549"/>
      <c r="H31" s="549" t="s">
        <v>82</v>
      </c>
      <c r="I31" s="592" t="s">
        <v>82</v>
      </c>
      <c r="J31" s="593" t="str">
        <f>CHOOSE(Q31,'Variable Mgmt'!T64,'Variable Mgmt'!T65,'Variable Mgmt'!T66,'Variable Mgmt'!T67,'Variable Mgmt'!T68)</f>
        <v>3.2 x 2.5</v>
      </c>
      <c r="K31" s="594">
        <f>CHOOSE(Q31,'Variable Mgmt'!U64,'Variable Mgmt'!U65,'Variable Mgmt'!U66,'Variable Mgmt'!U67,'Variable Mgmt'!U68)</f>
        <v>8</v>
      </c>
      <c r="L31" s="595"/>
      <c r="O31" s="596"/>
      <c r="P31" s="597"/>
      <c r="Q31" s="618">
        <v>5</v>
      </c>
      <c r="R31" s="596"/>
      <c r="S31" s="596"/>
      <c r="T31" s="596"/>
      <c r="U31" s="596"/>
    </row>
    <row r="32" s="532" customFormat="1" ht="17.15" customHeight="1" spans="1:21">
      <c r="A32" s="544">
        <v>1</v>
      </c>
      <c r="B32" s="545" t="s">
        <v>83</v>
      </c>
      <c r="C32" s="546">
        <f>Cout</f>
        <v>22</v>
      </c>
      <c r="D32" s="550" t="str">
        <f>CHOOSE(Cout_Voltage_Rating,"Capacitor, Ceramic, "&amp;'Variable Mgmt'!B221&amp;", 6.3V, X7R, 10%","Capacitor, Ceramic, "&amp;'Variable Mgmt'!B221&amp;", 10V, X7R, 10%","Capacitor, Ceramic, "&amp;'Variable Mgmt'!B221&amp;", 16V, X7R, 10%","Capacitor, Ceramic, "&amp;'Variable Mgmt'!B221&amp;", 25V, X7R, 10%","Capacitor, Ceramic, "&amp;'Variable Mgmt'!B221&amp;", 50V, X7R, 10%")</f>
        <v>Capacitor, Ceramic, 22µF, 25V, X7R, 10%</v>
      </c>
      <c r="E32" s="551"/>
      <c r="F32" s="551"/>
      <c r="G32" s="549"/>
      <c r="H32" s="549" t="s">
        <v>82</v>
      </c>
      <c r="I32" s="592" t="s">
        <v>82</v>
      </c>
      <c r="J32" s="593" t="str">
        <f>CHOOSE(Q32,'Variable Mgmt'!T64,'Variable Mgmt'!T65,'Variable Mgmt'!T66,'Variable Mgmt'!T67,'Variable Mgmt'!T68)</f>
        <v>3.2 x 2.5</v>
      </c>
      <c r="K32" s="594">
        <f>CHOOSE(Q32,'Variable Mgmt'!U64,'Variable Mgmt'!U65,'Variable Mgmt'!U66,'Variable Mgmt'!U67,'Variable Mgmt'!U68)</f>
        <v>8</v>
      </c>
      <c r="L32" s="595"/>
      <c r="O32" s="596"/>
      <c r="P32" s="597"/>
      <c r="Q32" s="619">
        <v>5</v>
      </c>
      <c r="R32" s="596"/>
      <c r="S32" s="596"/>
      <c r="T32" s="596"/>
      <c r="U32" s="596"/>
    </row>
    <row r="33" s="532" customFormat="1" ht="17.15" customHeight="1" spans="1:21">
      <c r="A33" s="544" t="str">
        <f>CHOOSE(MODE,"-","1")</f>
        <v>1</v>
      </c>
      <c r="B33" s="545" t="s">
        <v>84</v>
      </c>
      <c r="C33" s="546">
        <f>CHOOSE(MODE,"-",Cout2)</f>
        <v>10</v>
      </c>
      <c r="D33" s="550" t="str">
        <f>CHOOSE(MODE,"-",CHOOSE(Cout_Voltage_Rating,"Capacitor, Ceramic, "&amp;'Variable Mgmt'!F221&amp;", 6.3V, X7R, 10%","Capacitor, Ceramic, "&amp;'Variable Mgmt'!F221&amp;", 10V, X7R, 10%","Capacitor, Ceramic, "&amp;'Variable Mgmt'!F221&amp;", 16V, X7R, 10%","Capacitor, Ceramic, "&amp;'Variable Mgmt'!F221&amp;", 25V, X7R, 10%","Capacitor, Ceramic, "&amp;'Variable Mgmt'!F221&amp;", 50V, X7R, 10%"))</f>
        <v>Capacitor, Ceramic, 10µF, 25V, X7R, 10%</v>
      </c>
      <c r="E33" s="551"/>
      <c r="F33" s="551"/>
      <c r="G33" s="549"/>
      <c r="H33" s="549" t="str">
        <f>CHOOSE(MODE,"-","Std")</f>
        <v>Std</v>
      </c>
      <c r="I33" s="592" t="str">
        <f>CHOOSE(MODE,"-","Std")</f>
        <v>Std</v>
      </c>
      <c r="J33" s="593" t="str">
        <f>CHOOSE(MODE,"-",CHOOSE(Q33,'Variable Mgmt'!T64,'Variable Mgmt'!T65,'Variable Mgmt'!T66,'Variable Mgmt'!T67,'Variable Mgmt'!T68))</f>
        <v>3.2 x 2.5</v>
      </c>
      <c r="K33" s="594">
        <f>CHOOSE(MODE,"-",CHOOSE(Q33,'Variable Mgmt'!U64,'Variable Mgmt'!U65,'Variable Mgmt'!U66,'Variable Mgmt'!U67,'Variable Mgmt'!U68))</f>
        <v>8</v>
      </c>
      <c r="L33" s="595"/>
      <c r="O33" s="596"/>
      <c r="P33" s="597"/>
      <c r="Q33" s="619">
        <v>5</v>
      </c>
      <c r="R33" s="596"/>
      <c r="S33" s="596"/>
      <c r="T33" s="596"/>
      <c r="U33" s="596"/>
    </row>
    <row r="34" s="532" customFormat="1" ht="17.15" customHeight="1" spans="1:21">
      <c r="A34" s="552" t="str">
        <f>CHOOSE(MODE_SS,"1","-","1")</f>
        <v>-</v>
      </c>
      <c r="B34" s="553" t="str">
        <f>CHOOSE(MODE_SS,"Css","-")</f>
        <v>-</v>
      </c>
      <c r="C34" s="554" t="str">
        <f>CHOOSE(MODE_SS,'Standard Value Calculator'!B4*1000000000&amp;"nF","-","100k")</f>
        <v>-</v>
      </c>
      <c r="D34" s="555" t="str">
        <f>CHOOSE(MODE_SS,"Capacitor, Ceramic, "&amp;'Standard Value Calculator'!B4*1000000000&amp;"nF"&amp;", 16V, X7R, 10%","-")</f>
        <v>-</v>
      </c>
      <c r="E34" s="556"/>
      <c r="F34" s="556"/>
      <c r="G34" s="809" t="s">
        <v>85</v>
      </c>
      <c r="H34" s="557" t="str">
        <f>CHOOSE(MODE_SS,"Std","-")</f>
        <v>-</v>
      </c>
      <c r="I34" s="598" t="str">
        <f>CHOOSE(MODE_SS,"Std","-")</f>
        <v>-</v>
      </c>
      <c r="J34" s="593" t="str">
        <f>CHOOSE(MODE_SS,CHOOSE(Q34,'Variable Mgmt'!T64,'Variable Mgmt'!T65,'Variable Mgmt'!T66),"-",CHOOSE(Q34,'Variable Mgmt'!T64,'Variable Mgmt'!T65,'Variable Mgmt'!T66))</f>
        <v>-</v>
      </c>
      <c r="K34" s="594" t="str">
        <f>CHOOSE(MODE_SS,CHOOSE(Q34,'Variable Mgmt'!U64,'Variable Mgmt'!U65,'Variable Mgmt'!U66),"-",CHOOSE(Q34,'Variable Mgmt'!U64,'Variable Mgmt'!U65,'Variable Mgmt'!U66))</f>
        <v>-</v>
      </c>
      <c r="L34" s="595"/>
      <c r="O34" s="596"/>
      <c r="P34" s="597"/>
      <c r="Q34" s="619">
        <v>1</v>
      </c>
      <c r="R34" s="596"/>
      <c r="S34" s="596"/>
      <c r="T34" s="596"/>
      <c r="U34" s="596"/>
    </row>
    <row r="35" s="532" customFormat="1" ht="17.15" customHeight="1" spans="1:21">
      <c r="A35" s="558">
        <v>1</v>
      </c>
      <c r="B35" s="559" t="s">
        <v>86</v>
      </c>
      <c r="C35" s="560" t="s">
        <v>87</v>
      </c>
      <c r="D35" s="561" t="str">
        <f>"Rectifying Diode, Schottky"</f>
        <v>Rectifying Diode, Schottky</v>
      </c>
      <c r="E35" s="562"/>
      <c r="F35" s="562"/>
      <c r="G35" s="563" t="e">
        <f>CHOOSE(SHORT_ILIM,"-","0603")</f>
        <v>#NAME?</v>
      </c>
      <c r="H35" s="563" t="s">
        <v>82</v>
      </c>
      <c r="I35" s="599" t="s">
        <v>82</v>
      </c>
      <c r="J35" s="600" t="str">
        <f>CHOOSE(Q35,'Variable Mgmt'!Y73,'Variable Mgmt'!Y74,'Variable Mgmt'!Y75,'Variable Mgmt'!Y76,'Variable Mgmt'!Y77)</f>
        <v>5.0 x 2.5</v>
      </c>
      <c r="K35" s="601">
        <f>CHOOSE(Q35,'Variable Mgmt'!Z73,'Variable Mgmt'!Z74,'Variable Mgmt'!Z75,'Variable Mgmt'!Z76,'Variable Mgmt'!Z77)</f>
        <v>12.5</v>
      </c>
      <c r="L35" s="595"/>
      <c r="O35" s="596"/>
      <c r="P35" s="597"/>
      <c r="Q35" s="619">
        <v>4</v>
      </c>
      <c r="R35" s="596"/>
      <c r="S35" s="596"/>
      <c r="T35" s="596"/>
      <c r="U35" s="596"/>
    </row>
    <row r="36" s="532" customFormat="1" ht="17.15" customHeight="1" spans="1:21">
      <c r="A36" s="558" t="str">
        <f>CHOOSE(MODE,"-","1")</f>
        <v>1</v>
      </c>
      <c r="B36" s="559" t="s">
        <v>88</v>
      </c>
      <c r="C36" s="560" t="str">
        <f>CHOOSE(MODE,"-","Diode")</f>
        <v>Diode</v>
      </c>
      <c r="D36" s="564" t="str">
        <f>CHOOSE(MODE,"-","Rectifying Diode, Schottky")</f>
        <v>Rectifying Diode, Schottky</v>
      </c>
      <c r="E36" s="565"/>
      <c r="F36" s="565"/>
      <c r="G36" s="810" t="s">
        <v>85</v>
      </c>
      <c r="H36" s="563" t="str">
        <f>CHOOSE(MODE,"-","Std")</f>
        <v>Std</v>
      </c>
      <c r="I36" s="599" t="str">
        <f>CHOOSE(MODE,"-","Std")</f>
        <v>Std</v>
      </c>
      <c r="J36" s="600" t="str">
        <f>CHOOSE(MODE,"-",CHOOSE(Q36,'Variable Mgmt'!Y73,'Variable Mgmt'!Y74,'Variable Mgmt'!Y75,'Variable Mgmt'!Y76))</f>
        <v>3.6 x 1.8</v>
      </c>
      <c r="K36" s="601">
        <f>CHOOSE(MODE,"-",CHOOSE(Q36,'Variable Mgmt'!Z73,'Variable Mgmt'!Z74,'Variable Mgmt'!Z75,'Variable Mgmt'!Z76))</f>
        <v>6.5</v>
      </c>
      <c r="L36" s="595"/>
      <c r="O36" s="596"/>
      <c r="P36" s="597"/>
      <c r="Q36" s="619">
        <v>3</v>
      </c>
      <c r="R36" s="596"/>
      <c r="S36" s="596"/>
      <c r="T36" s="596"/>
      <c r="U36" s="596"/>
    </row>
    <row r="37" s="532" customFormat="1" ht="17.15" customHeight="1" spans="1:21">
      <c r="A37" s="558">
        <v>1</v>
      </c>
      <c r="B37" s="559" t="s">
        <v>89</v>
      </c>
      <c r="C37" s="560" t="str">
        <f>"Diode"</f>
        <v>Diode</v>
      </c>
      <c r="D37" s="564" t="str">
        <f>"Clamp Circuit Diode, Fast Recovery"</f>
        <v>Clamp Circuit Diode, Fast Recovery</v>
      </c>
      <c r="E37" s="565"/>
      <c r="F37" s="565"/>
      <c r="G37" s="563"/>
      <c r="H37" s="563" t="s">
        <v>82</v>
      </c>
      <c r="I37" s="599" t="s">
        <v>82</v>
      </c>
      <c r="J37" s="600" t="str">
        <f>CHOOSE(Q37,'Variable Mgmt'!Y73,'Variable Mgmt'!Y74,'Variable Mgmt'!Y75,'Variable Mgmt'!Y76)</f>
        <v>3.6 x 1.8</v>
      </c>
      <c r="K37" s="601">
        <f>CHOOSE(Q37,'Variable Mgmt'!Z73,'Variable Mgmt'!Z74,'Variable Mgmt'!Z75,'Variable Mgmt'!Z76)</f>
        <v>6.5</v>
      </c>
      <c r="L37" s="595"/>
      <c r="O37" s="596"/>
      <c r="P37" s="597"/>
      <c r="Q37" s="619">
        <v>3</v>
      </c>
      <c r="R37" s="596"/>
      <c r="S37" s="596"/>
      <c r="T37" s="596"/>
      <c r="U37" s="596"/>
    </row>
    <row r="38" s="532" customFormat="1" ht="17.15" customHeight="1" spans="1:21">
      <c r="A38" s="558">
        <v>1</v>
      </c>
      <c r="B38" s="559" t="s">
        <v>90</v>
      </c>
      <c r="C38" s="560" t="str">
        <f>Vout*Nps*1.3&amp;"V"</f>
        <v>15.6078V</v>
      </c>
      <c r="D38" s="564" t="str">
        <f>"Clamp Circuit Diode, Zener, "&amp;ROUND(Vout*Nps*13,0)/10&amp;"V"</f>
        <v>Clamp Circuit Diode, Zener, 15.6V</v>
      </c>
      <c r="E38" s="565"/>
      <c r="F38" s="565"/>
      <c r="G38" s="810" t="s">
        <v>85</v>
      </c>
      <c r="H38" s="563" t="s">
        <v>82</v>
      </c>
      <c r="I38" s="599" t="s">
        <v>82</v>
      </c>
      <c r="J38" s="600" t="str">
        <f>CHOOSE(Q38,'Variable Mgmt'!Y73,'Variable Mgmt'!Y74,'Variable Mgmt'!Y75,'Variable Mgmt'!Y76,'Variable Mgmt'!Y77)</f>
        <v>3.6 x 1.8</v>
      </c>
      <c r="K38" s="601">
        <f>CHOOSE(Q38,'Variable Mgmt'!Z73,'Variable Mgmt'!Z74,'Variable Mgmt'!Z75,'Variable Mgmt'!Z76)</f>
        <v>6.5</v>
      </c>
      <c r="L38" s="595"/>
      <c r="O38" s="596"/>
      <c r="P38" s="597"/>
      <c r="Q38" s="619">
        <v>3</v>
      </c>
      <c r="R38" s="596"/>
      <c r="S38" s="596"/>
      <c r="T38" s="596"/>
      <c r="U38" s="596"/>
    </row>
    <row r="39" s="532" customFormat="1" ht="17.15" customHeight="1" spans="1:21">
      <c r="A39" s="558">
        <v>1</v>
      </c>
      <c r="B39" s="559" t="s">
        <v>91</v>
      </c>
      <c r="C39" s="560" t="str">
        <f>Vout*1.1&amp;"V"</f>
        <v>19.8V</v>
      </c>
      <c r="D39" s="564" t="str">
        <f>"Output Clamp Diode, Zener, "&amp;(ROUND(Vout*11.25,0)/10)&amp;"V"</f>
        <v>Output Clamp Diode, Zener, 20.3V</v>
      </c>
      <c r="E39" s="565"/>
      <c r="F39" s="565"/>
      <c r="G39" s="563"/>
      <c r="H39" s="563" t="s">
        <v>82</v>
      </c>
      <c r="I39" s="599" t="s">
        <v>82</v>
      </c>
      <c r="J39" s="600" t="str">
        <f>CHOOSE(Q39,'Variable Mgmt'!Y73,'Variable Mgmt'!Y74,'Variable Mgmt'!Y75,'Variable Mgmt'!Y76,'Variable Mgmt'!Y77)</f>
        <v>1.6 x 0.8</v>
      </c>
      <c r="K39" s="601">
        <f>CHOOSE(Q39,'Variable Mgmt'!Z73,'Variable Mgmt'!Z74,'Variable Mgmt'!Z75,'Variable Mgmt'!Z76)</f>
        <v>1.3</v>
      </c>
      <c r="L39" s="595"/>
      <c r="O39" s="596"/>
      <c r="P39" s="597"/>
      <c r="Q39" s="619">
        <v>1</v>
      </c>
      <c r="R39" s="596"/>
      <c r="S39" s="596"/>
      <c r="T39" s="596"/>
      <c r="U39" s="596"/>
    </row>
    <row r="40" s="532" customFormat="1" ht="17.15" customHeight="1" spans="1:21">
      <c r="A40" s="552">
        <v>1</v>
      </c>
      <c r="B40" s="553" t="s">
        <v>92</v>
      </c>
      <c r="C40" s="566">
        <v>12.1</v>
      </c>
      <c r="D40" s="567">
        <f t="shared" ref="D40:D41" si="0">C40</f>
        <v>12.1</v>
      </c>
      <c r="E40" s="568"/>
      <c r="F40" s="568"/>
      <c r="G40" s="809" t="s">
        <v>85</v>
      </c>
      <c r="H40" s="557" t="s">
        <v>82</v>
      </c>
      <c r="I40" s="598" t="s">
        <v>82</v>
      </c>
      <c r="J40" s="593" t="str">
        <f>CHOOSE(Q40,'Variable Mgmt'!T64,'Variable Mgmt'!T65,'Variable Mgmt'!T66)</f>
        <v>1.0 x 0.5</v>
      </c>
      <c r="K40" s="594">
        <f>CHOOSE(Q40,'Variable Mgmt'!U64,'Variable Mgmt'!U65,'Variable Mgmt'!U66,'Variable Mgmt'!U67,'Variable Mgmt'!U68)</f>
        <v>0.5</v>
      </c>
      <c r="L40" s="595"/>
      <c r="O40" s="596"/>
      <c r="P40" s="597"/>
      <c r="Q40" s="619">
        <v>1</v>
      </c>
      <c r="R40" s="596"/>
      <c r="S40" s="596"/>
      <c r="T40" s="596"/>
      <c r="U40" s="596"/>
    </row>
    <row r="41" s="532" customFormat="1" ht="17.15" customHeight="1" spans="1:21">
      <c r="A41" s="552">
        <v>1</v>
      </c>
      <c r="B41" s="553" t="s">
        <v>93</v>
      </c>
      <c r="C41" s="566">
        <f>Rfb/1000</f>
        <v>196</v>
      </c>
      <c r="D41" s="567">
        <f t="shared" si="0"/>
        <v>196</v>
      </c>
      <c r="E41" s="568"/>
      <c r="F41" s="568"/>
      <c r="G41" s="809" t="s">
        <v>85</v>
      </c>
      <c r="H41" s="557" t="s">
        <v>82</v>
      </c>
      <c r="I41" s="598" t="s">
        <v>82</v>
      </c>
      <c r="J41" s="593" t="str">
        <f>CHOOSE(Q41,'Variable Mgmt'!T64,'Variable Mgmt'!T65,'Variable Mgmt'!T66)</f>
        <v>1.0 x 0.5</v>
      </c>
      <c r="K41" s="594">
        <f>CHOOSE(Q41,'Variable Mgmt'!U64,'Variable Mgmt'!U65,'Variable Mgmt'!U66,'Variable Mgmt'!U67,'Variable Mgmt'!U68)</f>
        <v>0.5</v>
      </c>
      <c r="L41" s="595"/>
      <c r="O41" s="596"/>
      <c r="P41" s="597"/>
      <c r="Q41" s="619">
        <v>1</v>
      </c>
      <c r="R41" s="596"/>
      <c r="S41" s="596"/>
      <c r="T41" s="596"/>
      <c r="U41" s="596"/>
    </row>
    <row r="42" s="532" customFormat="1" ht="17.15" customHeight="1" spans="1:21">
      <c r="A42" s="552" t="str">
        <f>CHOOSE(MODE_UVLO,"1","-")</f>
        <v>1</v>
      </c>
      <c r="B42" s="553" t="s">
        <v>94</v>
      </c>
      <c r="C42" s="569" t="str">
        <f>CHOOSE(MODE_UVLO,'Variable Mgmt'!H245,"-")</f>
        <v>332k</v>
      </c>
      <c r="D42" s="570" t="str">
        <f>CHOOSE(MODE_UVLO,"Resistor, Chip, "&amp;'Variable Mgmt'!C245&amp;", 1/16W, 1%","-")</f>
        <v>Resistor, Chip, 332kΩ, 1/16W, 1%</v>
      </c>
      <c r="E42" s="571"/>
      <c r="F42" s="571"/>
      <c r="G42" s="809" t="s">
        <v>85</v>
      </c>
      <c r="H42" s="557" t="str">
        <f t="shared" ref="H42:I43" si="1">CHOOSE(MODE_UVLO,"Std","-")</f>
        <v>Std</v>
      </c>
      <c r="I42" s="598" t="str">
        <f t="shared" si="1"/>
        <v>Std</v>
      </c>
      <c r="J42" s="593" t="str">
        <f>CHOOSE(MODE_UVLO,CHOOSE(Q42,'Variable Mgmt'!T64,'Variable Mgmt'!T65,'Variable Mgmt'!T66),"-")</f>
        <v>1.0 x 0.5</v>
      </c>
      <c r="K42" s="594">
        <f>CHOOSE(MODE_UVLO,CHOOSE(Q42,'Variable Mgmt'!U64,'Variable Mgmt'!U65,'Variable Mgmt'!U66,'Variable Mgmt'!U67,'Variable Mgmt'!U68),"-")</f>
        <v>0.5</v>
      </c>
      <c r="L42" s="595"/>
      <c r="O42" s="596"/>
      <c r="P42" s="597"/>
      <c r="Q42" s="619">
        <v>1</v>
      </c>
      <c r="R42" s="596"/>
      <c r="S42" s="596"/>
      <c r="T42" s="596"/>
      <c r="U42" s="596"/>
    </row>
    <row r="43" s="532" customFormat="1" ht="17.15" customHeight="1" spans="1:21">
      <c r="A43" s="552" t="str">
        <f>CHOOSE(MODE_UVLO,"1","-")</f>
        <v>1</v>
      </c>
      <c r="B43" s="553" t="s">
        <v>95</v>
      </c>
      <c r="C43" s="569" t="str">
        <f>CHOOSE(MODE_UVLO,'Variable Mgmt'!H246,"-")</f>
        <v>59k</v>
      </c>
      <c r="D43" s="570" t="str">
        <f>CHOOSE(MODE_UVLO,"Resistor, Chip, "&amp;'Variable Mgmt'!C246&amp;", 1/16W, 1%","-")</f>
        <v>Resistor, Chip, 59kΩ, 1/16W, 1%</v>
      </c>
      <c r="E43" s="571"/>
      <c r="F43" s="571"/>
      <c r="G43" s="809" t="s">
        <v>85</v>
      </c>
      <c r="H43" s="557" t="str">
        <f t="shared" si="1"/>
        <v>Std</v>
      </c>
      <c r="I43" s="598" t="str">
        <f t="shared" si="1"/>
        <v>Std</v>
      </c>
      <c r="J43" s="593" t="str">
        <f>CHOOSE(MODE_UVLO,CHOOSE(Q43,'Variable Mgmt'!T64,'Variable Mgmt'!T65,'Variable Mgmt'!T66),"-")</f>
        <v>1.0 x 0.5</v>
      </c>
      <c r="K43" s="594">
        <f>CHOOSE(MODE_UVLO,CHOOSE(Q43,'Variable Mgmt'!U64,'Variable Mgmt'!U65,'Variable Mgmt'!U66,'Variable Mgmt'!U67,'Variable Mgmt'!U68),"-")</f>
        <v>0.5</v>
      </c>
      <c r="L43" s="595"/>
      <c r="O43" s="596"/>
      <c r="P43" s="597"/>
      <c r="Q43" s="619">
        <v>1</v>
      </c>
      <c r="R43" s="596"/>
      <c r="S43" s="596"/>
      <c r="T43" s="596"/>
      <c r="U43" s="596"/>
    </row>
    <row r="44" s="532" customFormat="1" ht="17.15" customHeight="1" spans="1:21">
      <c r="A44" s="552" t="str">
        <f>CHOOSE(MODE_TC,"1","-")</f>
        <v>1</v>
      </c>
      <c r="B44" s="553" t="s">
        <v>96</v>
      </c>
      <c r="C44" s="566">
        <f>CHOOSE(MODE_TC,RTC,"-")</f>
        <v>590</v>
      </c>
      <c r="D44" s="567" t="str">
        <f>CHOOSE(MODE_TC,"Resistor, Chip, "&amp;'Variable Mgmt'!B241&amp;", 1/16W, 1%","-")</f>
        <v>Resistor, Chip, 590kΩ, 1/16W, 1%</v>
      </c>
      <c r="E44" s="568"/>
      <c r="F44" s="568"/>
      <c r="G44" s="809" t="s">
        <v>85</v>
      </c>
      <c r="H44" s="557" t="str">
        <f>CHOOSE(MODE_TC,"Std","-")</f>
        <v>Std</v>
      </c>
      <c r="I44" s="598" t="str">
        <f>CHOOSE(MODE_TC,"Std","-")</f>
        <v>Std</v>
      </c>
      <c r="J44" s="593" t="str">
        <f>CHOOSE(MODE_TC,CHOOSE(Q44,'Variable Mgmt'!T64,'Variable Mgmt'!T385,'Variable Mgmt'!T66),"-")</f>
        <v>1.0 x 0.5</v>
      </c>
      <c r="K44" s="594">
        <f>CHOOSE(MODE_TC,CHOOSE(Q44,'Variable Mgmt'!U64,'Variable Mgmt'!U65,'Variable Mgmt'!U66,'Variable Mgmt'!U67,'Variable Mgmt'!U68),"-")</f>
        <v>0.5</v>
      </c>
      <c r="L44" s="595"/>
      <c r="O44" s="596"/>
      <c r="P44" s="597"/>
      <c r="Q44" s="619">
        <v>1</v>
      </c>
      <c r="R44" s="596"/>
      <c r="S44" s="596"/>
      <c r="T44" s="596"/>
      <c r="U44" s="596"/>
    </row>
    <row r="45" s="533" customFormat="1" ht="16.5" customHeight="1" spans="1:21">
      <c r="A45" s="558">
        <v>1</v>
      </c>
      <c r="B45" s="559" t="s">
        <v>97</v>
      </c>
      <c r="C45" s="572">
        <f>'LM(2)518x PSR flyback converter'!L7</f>
        <v>25</v>
      </c>
      <c r="D45" s="573" t="str">
        <f>"Transformer, "&amp;L*1000000&amp;"µH, "&amp;'Variable Mgmt'!W52&amp;", "&amp;Rdcr_pri*1000&amp;"mΩ Pri DCR, "&amp;Isat&amp;"A Isat"</f>
        <v>Transformer, 25µH, 1 : 1.5 : 0.44, 41mΩ Pri DCR, 2A Isat</v>
      </c>
      <c r="E45" s="574"/>
      <c r="F45" s="575"/>
      <c r="G45" s="563" t="s">
        <v>98</v>
      </c>
      <c r="H45" s="563" t="s">
        <v>99</v>
      </c>
      <c r="I45" s="599" t="s">
        <v>99</v>
      </c>
      <c r="J45" s="600" t="str">
        <f>CHOOSE(Q45,'Variable Mgmt'!T73,'Variable Mgmt'!T74,'Variable Mgmt'!T75,'Variable Mgmt'!T76,'Variable Mgmt'!T77,'Variable Mgmt'!T78,'Variable Mgmt'!T79)</f>
        <v>9 x 9</v>
      </c>
      <c r="K45" s="602">
        <f>CHOOSE(Q45,'Variable Mgmt'!U73,'Variable Mgmt'!U74,'Variable Mgmt'!U75,'Variable Mgmt'!U76,'Variable Mgmt'!U77,'Variable Mgmt'!U78,'Variable Mgmt'!U79)</f>
        <v>81</v>
      </c>
      <c r="L45" s="603"/>
      <c r="O45" s="604"/>
      <c r="P45" s="605"/>
      <c r="Q45" s="620">
        <v>4</v>
      </c>
      <c r="R45" s="604"/>
      <c r="S45" s="604"/>
      <c r="T45" s="604"/>
      <c r="U45" s="604"/>
    </row>
    <row r="46" ht="17.15" customHeight="1" spans="1:17">
      <c r="A46" s="576">
        <v>1</v>
      </c>
      <c r="B46" s="577" t="s">
        <v>100</v>
      </c>
      <c r="C46" s="578" t="str">
        <f>CHOOSE(VARIANT,"LM5180","LM5181","LM25180","LM25183","LM25184")</f>
        <v>LM5180</v>
      </c>
      <c r="D46" s="579" t="str">
        <f>CHOOSE(VARIANT,"IC, LM5180, PSR Flyback Converter, 4.5V–65V Input","IC, LM5181, PSR Flyback Converter, 4.5V–65V Input","IC, LM25180, PSR Flyback Converter, 4.5V–42V Input","IC, LM25183, PSR Flyback Converter, 4.5V–42V Input","IC, LM25184, PSR Flyback Converter, 4.5V–42V Input")</f>
        <v>IC, LM5180, PSR Flyback Converter, 4.5V–65V Input</v>
      </c>
      <c r="E46" s="580"/>
      <c r="F46" s="581"/>
      <c r="G46" s="582" t="s">
        <v>101</v>
      </c>
      <c r="H46" s="582" t="str">
        <f>CHOOSE(VARIANT,"LM5180NGUR","LM5181NGUR","LM25180NGUR","LM25183NGUR","LM25184NGUR")</f>
        <v>LM5180NGUR</v>
      </c>
      <c r="I46" s="579" t="s">
        <v>102</v>
      </c>
      <c r="J46" s="606" t="s">
        <v>103</v>
      </c>
      <c r="K46" s="607">
        <v>16</v>
      </c>
      <c r="L46" s="591"/>
      <c r="M46" s="591"/>
      <c r="N46" s="532"/>
      <c r="Q46" s="621"/>
    </row>
    <row r="47" ht="17.15" customHeight="1" spans="10:14">
      <c r="J47" s="532"/>
      <c r="K47" s="608"/>
      <c r="L47" s="591"/>
      <c r="M47" s="591"/>
      <c r="N47" s="532"/>
    </row>
    <row r="48" ht="17.25" customHeight="1" spans="8:14">
      <c r="H48" s="583" t="s">
        <v>104</v>
      </c>
      <c r="I48" s="583"/>
      <c r="J48" s="583"/>
      <c r="K48" s="609">
        <f>SUM(K31:K46)*1.25</f>
        <v>196</v>
      </c>
      <c r="L48" s="610" t="s">
        <v>105</v>
      </c>
      <c r="M48" s="611">
        <f>K48/25.4/25.4</f>
        <v>0.303800607601215</v>
      </c>
      <c r="N48" s="610" t="s">
        <v>106</v>
      </c>
    </row>
    <row r="49" ht="17.15" customHeight="1" spans="10:14">
      <c r="J49" s="612"/>
      <c r="K49" s="613"/>
      <c r="L49" s="614"/>
      <c r="M49" s="615"/>
      <c r="N49" s="614"/>
    </row>
    <row r="50" ht="20.25" customHeight="1" spans="1:1">
      <c r="A50" s="584" t="s">
        <v>107</v>
      </c>
    </row>
    <row r="51" spans="1:1">
      <c r="A51" s="534" t="s">
        <v>108</v>
      </c>
    </row>
    <row r="52" spans="1:11">
      <c r="A52" s="534" t="s">
        <v>109</v>
      </c>
      <c r="K52" s="616"/>
    </row>
    <row r="53" spans="1:1">
      <c r="A53" s="534" t="s">
        <v>110</v>
      </c>
    </row>
    <row r="54" spans="1:1">
      <c r="A54" s="534" t="s">
        <v>111</v>
      </c>
    </row>
    <row r="55" spans="1:1">
      <c r="A55" s="534" t="s">
        <v>112</v>
      </c>
    </row>
  </sheetData>
  <sheetProtection algorithmName="SHA-512" hashValue="v9ijPpD0+8RxQRLGFMUnvYr/fKjX2PzaNe4Ky+z3byoSIN/7Nhyv3zXyiZ9WNM2RnpDljda9xwVxGUagU3HW/w==" saltValue="2pJ8OLZg68/w5qa4Uyqj2w==" spinCount="100000" sheet="1" selectLockedCells="1" selectUnlockedCells="1" objects="1" scenarios="1"/>
  <mergeCells count="14">
    <mergeCell ref="D30:F30"/>
    <mergeCell ref="D31:F31"/>
    <mergeCell ref="D32:F32"/>
    <mergeCell ref="D34:F34"/>
    <mergeCell ref="D35:F35"/>
    <mergeCell ref="D36:F36"/>
    <mergeCell ref="D38:F38"/>
    <mergeCell ref="D40:F40"/>
    <mergeCell ref="D41:F41"/>
    <mergeCell ref="D42:F42"/>
    <mergeCell ref="D43:F43"/>
    <mergeCell ref="D44:F44"/>
    <mergeCell ref="D45:F45"/>
    <mergeCell ref="H48:J48"/>
  </mergeCells>
  <conditionalFormatting sqref="B33">
    <cfRule type="expression" dxfId="20" priority="1">
      <formula>'Variable Mgmt'!$B$60=TRUE</formula>
    </cfRule>
  </conditionalFormatting>
  <conditionalFormatting sqref="B36">
    <cfRule type="expression" dxfId="8" priority="2">
      <formula>'Variable Mgmt'!$B$60=TRUE</formula>
    </cfRule>
  </conditionalFormatting>
  <printOptions horizontalCentered="1"/>
  <pageMargins left="0.23" right="0.23" top="0.7" bottom="0.61" header="0.3" footer="0.5"/>
  <pageSetup paperSize="1" scale="84" fitToHeight="2" orientation="landscape"/>
  <headerFooter alignWithMargins="0"/>
  <rowBreaks count="1" manualBreakCount="1">
    <brk id="27" max="9" man="1"/>
  </rowBreaks>
  <ignoredErrors>
    <ignoredError sqref="J36:K36" formula="1"/>
    <ignoredError sqref="G40 G42:G43 G38 G36 G34"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674505" name="Drop Down 713" r:id="rId3">
              <controlPr defaultSize="0">
                <anchor moveWithCells="1">
                  <from>
                    <xdr:col>6</xdr:col>
                    <xdr:colOff>0</xdr:colOff>
                    <xdr:row>30</xdr:row>
                    <xdr:rowOff>12700</xdr:rowOff>
                  </from>
                  <to>
                    <xdr:col>6</xdr:col>
                    <xdr:colOff>876300</xdr:colOff>
                    <xdr:row>31</xdr:row>
                    <xdr:rowOff>0</xdr:rowOff>
                  </to>
                </anchor>
              </controlPr>
            </control>
          </mc:Choice>
        </mc:AlternateContent>
        <mc:AlternateContent xmlns:mc="http://schemas.openxmlformats.org/markup-compatibility/2006">
          <mc:Choice Requires="x14">
            <control shapeId="674508" name="Drop Down 716" r:id="rId4">
              <controlPr defaultSize="0">
                <anchor moveWithCells="1">
                  <from>
                    <xdr:col>6</xdr:col>
                    <xdr:colOff>0</xdr:colOff>
                    <xdr:row>31</xdr:row>
                    <xdr:rowOff>12700</xdr:rowOff>
                  </from>
                  <to>
                    <xdr:col>6</xdr:col>
                    <xdr:colOff>876300</xdr:colOff>
                    <xdr:row>32</xdr:row>
                    <xdr:rowOff>0</xdr:rowOff>
                  </to>
                </anchor>
              </controlPr>
            </control>
          </mc:Choice>
        </mc:AlternateContent>
        <mc:AlternateContent xmlns:mc="http://schemas.openxmlformats.org/markup-compatibility/2006">
          <mc:Choice Requires="x14">
            <control shapeId="674527" name="Drop Down 735" r:id="rId5">
              <controlPr defaultSize="0">
                <anchor moveWithCells="1">
                  <from>
                    <xdr:col>6</xdr:col>
                    <xdr:colOff>0</xdr:colOff>
                    <xdr:row>35</xdr:row>
                    <xdr:rowOff>12700</xdr:rowOff>
                  </from>
                  <to>
                    <xdr:col>6</xdr:col>
                    <xdr:colOff>876300</xdr:colOff>
                    <xdr:row>36</xdr:row>
                    <xdr:rowOff>0</xdr:rowOff>
                  </to>
                </anchor>
              </controlPr>
            </control>
          </mc:Choice>
        </mc:AlternateContent>
        <mc:AlternateContent xmlns:mc="http://schemas.openxmlformats.org/markup-compatibility/2006">
          <mc:Choice Requires="x14">
            <control shapeId="674534" name="Drop Down 742" r:id="rId6">
              <controlPr defaultSize="0">
                <anchor moveWithCells="1">
                  <from>
                    <xdr:col>6</xdr:col>
                    <xdr:colOff>0</xdr:colOff>
                    <xdr:row>40</xdr:row>
                    <xdr:rowOff>12700</xdr:rowOff>
                  </from>
                  <to>
                    <xdr:col>6</xdr:col>
                    <xdr:colOff>876300</xdr:colOff>
                    <xdr:row>41</xdr:row>
                    <xdr:rowOff>0</xdr:rowOff>
                  </to>
                </anchor>
              </controlPr>
            </control>
          </mc:Choice>
        </mc:AlternateContent>
        <mc:AlternateContent xmlns:mc="http://schemas.openxmlformats.org/markup-compatibility/2006">
          <mc:Choice Requires="x14">
            <control shapeId="674536" name="Drop Down 744" r:id="rId7">
              <controlPr defaultSize="0">
                <anchor moveWithCells="1">
                  <from>
                    <xdr:col>6</xdr:col>
                    <xdr:colOff>0</xdr:colOff>
                    <xdr:row>37</xdr:row>
                    <xdr:rowOff>12700</xdr:rowOff>
                  </from>
                  <to>
                    <xdr:col>6</xdr:col>
                    <xdr:colOff>876300</xdr:colOff>
                    <xdr:row>38</xdr:row>
                    <xdr:rowOff>0</xdr:rowOff>
                  </to>
                </anchor>
              </controlPr>
            </control>
          </mc:Choice>
        </mc:AlternateContent>
        <mc:AlternateContent xmlns:mc="http://schemas.openxmlformats.org/markup-compatibility/2006">
          <mc:Choice Requires="x14">
            <control shapeId="674539" name="Drop Down 747" r:id="rId8">
              <controlPr defaultSize="0">
                <anchor moveWithCells="1">
                  <from>
                    <xdr:col>6</xdr:col>
                    <xdr:colOff>0</xdr:colOff>
                    <xdr:row>36</xdr:row>
                    <xdr:rowOff>12700</xdr:rowOff>
                  </from>
                  <to>
                    <xdr:col>6</xdr:col>
                    <xdr:colOff>876300</xdr:colOff>
                    <xdr:row>37</xdr:row>
                    <xdr:rowOff>0</xdr:rowOff>
                  </to>
                </anchor>
              </controlPr>
            </control>
          </mc:Choice>
        </mc:AlternateContent>
        <mc:AlternateContent xmlns:mc="http://schemas.openxmlformats.org/markup-compatibility/2006">
          <mc:Choice Requires="x14">
            <control shapeId="674540" name="Drop Down 748" r:id="rId9">
              <controlPr defaultSize="0">
                <anchor moveWithCells="1">
                  <from>
                    <xdr:col>6</xdr:col>
                    <xdr:colOff>0</xdr:colOff>
                    <xdr:row>39</xdr:row>
                    <xdr:rowOff>12700</xdr:rowOff>
                  </from>
                  <to>
                    <xdr:col>6</xdr:col>
                    <xdr:colOff>876300</xdr:colOff>
                    <xdr:row>40</xdr:row>
                    <xdr:rowOff>0</xdr:rowOff>
                  </to>
                </anchor>
              </controlPr>
            </control>
          </mc:Choice>
        </mc:AlternateContent>
        <mc:AlternateContent xmlns:mc="http://schemas.openxmlformats.org/markup-compatibility/2006">
          <mc:Choice Requires="x14">
            <control shapeId="674541" name="Drop Down 749" r:id="rId10">
              <controlPr defaultSize="0">
                <anchor moveWithCells="1">
                  <from>
                    <xdr:col>6</xdr:col>
                    <xdr:colOff>0</xdr:colOff>
                    <xdr:row>41</xdr:row>
                    <xdr:rowOff>12700</xdr:rowOff>
                  </from>
                  <to>
                    <xdr:col>6</xdr:col>
                    <xdr:colOff>876300</xdr:colOff>
                    <xdr:row>42</xdr:row>
                    <xdr:rowOff>0</xdr:rowOff>
                  </to>
                </anchor>
              </controlPr>
            </control>
          </mc:Choice>
        </mc:AlternateContent>
        <mc:AlternateContent xmlns:mc="http://schemas.openxmlformats.org/markup-compatibility/2006">
          <mc:Choice Requires="x14">
            <control shapeId="674542" name="Drop Down 750" r:id="rId11">
              <controlPr defaultSize="0">
                <anchor moveWithCells="1">
                  <from>
                    <xdr:col>6</xdr:col>
                    <xdr:colOff>0</xdr:colOff>
                    <xdr:row>42</xdr:row>
                    <xdr:rowOff>12700</xdr:rowOff>
                  </from>
                  <to>
                    <xdr:col>6</xdr:col>
                    <xdr:colOff>876300</xdr:colOff>
                    <xdr:row>43</xdr:row>
                    <xdr:rowOff>0</xdr:rowOff>
                  </to>
                </anchor>
              </controlPr>
            </control>
          </mc:Choice>
        </mc:AlternateContent>
        <mc:AlternateContent xmlns:mc="http://schemas.openxmlformats.org/markup-compatibility/2006">
          <mc:Choice Requires="x14">
            <control shapeId="674543" name="Drop Down 751" r:id="rId12">
              <controlPr defaultSize="0">
                <anchor moveWithCells="1">
                  <from>
                    <xdr:col>6</xdr:col>
                    <xdr:colOff>0</xdr:colOff>
                    <xdr:row>43</xdr:row>
                    <xdr:rowOff>12700</xdr:rowOff>
                  </from>
                  <to>
                    <xdr:col>6</xdr:col>
                    <xdr:colOff>876300</xdr:colOff>
                    <xdr:row>44</xdr:row>
                    <xdr:rowOff>0</xdr:rowOff>
                  </to>
                </anchor>
              </controlPr>
            </control>
          </mc:Choice>
        </mc:AlternateContent>
        <mc:AlternateContent xmlns:mc="http://schemas.openxmlformats.org/markup-compatibility/2006">
          <mc:Choice Requires="x14">
            <control shapeId="674544" name="Drop Down 752" r:id="rId13">
              <controlPr defaultSize="0">
                <anchor moveWithCells="1">
                  <from>
                    <xdr:col>6</xdr:col>
                    <xdr:colOff>0</xdr:colOff>
                    <xdr:row>34</xdr:row>
                    <xdr:rowOff>12700</xdr:rowOff>
                  </from>
                  <to>
                    <xdr:col>6</xdr:col>
                    <xdr:colOff>876300</xdr:colOff>
                    <xdr:row>35</xdr:row>
                    <xdr:rowOff>0</xdr:rowOff>
                  </to>
                </anchor>
              </controlPr>
            </control>
          </mc:Choice>
        </mc:AlternateContent>
        <mc:AlternateContent xmlns:mc="http://schemas.openxmlformats.org/markup-compatibility/2006">
          <mc:Choice Requires="x14">
            <control shapeId="674632" name="Drop Down 840" r:id="rId14">
              <controlPr defaultSize="0">
                <anchor moveWithCells="1">
                  <from>
                    <xdr:col>6</xdr:col>
                    <xdr:colOff>0</xdr:colOff>
                    <xdr:row>44</xdr:row>
                    <xdr:rowOff>12700</xdr:rowOff>
                  </from>
                  <to>
                    <xdr:col>6</xdr:col>
                    <xdr:colOff>876300</xdr:colOff>
                    <xdr:row>45</xdr:row>
                    <xdr:rowOff>0</xdr:rowOff>
                  </to>
                </anchor>
              </controlPr>
            </control>
          </mc:Choice>
        </mc:AlternateContent>
        <mc:AlternateContent xmlns:mc="http://schemas.openxmlformats.org/markup-compatibility/2006">
          <mc:Choice Requires="x14">
            <control shapeId="674633" name="Drop Down 841" r:id="rId15">
              <controlPr defaultSize="0">
                <anchor moveWithCells="1">
                  <from>
                    <xdr:col>6</xdr:col>
                    <xdr:colOff>0</xdr:colOff>
                    <xdr:row>33</xdr:row>
                    <xdr:rowOff>12700</xdr:rowOff>
                  </from>
                  <to>
                    <xdr:col>6</xdr:col>
                    <xdr:colOff>876300</xdr:colOff>
                    <xdr:row>34</xdr:row>
                    <xdr:rowOff>0</xdr:rowOff>
                  </to>
                </anchor>
              </controlPr>
            </control>
          </mc:Choice>
        </mc:AlternateContent>
        <mc:AlternateContent xmlns:mc="http://schemas.openxmlformats.org/markup-compatibility/2006">
          <mc:Choice Requires="x14">
            <control shapeId="706019" name="Drop Down 1507" r:id="rId16">
              <controlPr defaultSize="0">
                <anchor moveWithCells="1">
                  <from>
                    <xdr:col>5</xdr:col>
                    <xdr:colOff>895350</xdr:colOff>
                    <xdr:row>32</xdr:row>
                    <xdr:rowOff>12700</xdr:rowOff>
                  </from>
                  <to>
                    <xdr:col>6</xdr:col>
                    <xdr:colOff>869950</xdr:colOff>
                    <xdr:row>33</xdr:row>
                    <xdr:rowOff>0</xdr:rowOff>
                  </to>
                </anchor>
              </controlPr>
            </control>
          </mc:Choice>
        </mc:AlternateContent>
        <mc:AlternateContent xmlns:mc="http://schemas.openxmlformats.org/markup-compatibility/2006">
          <mc:Choice Requires="x14">
            <control shapeId="706028" name="Drop Down 1516" r:id="rId17">
              <controlPr defaultSize="0">
                <anchor moveWithCells="1">
                  <from>
                    <xdr:col>6</xdr:col>
                    <xdr:colOff>0</xdr:colOff>
                    <xdr:row>38</xdr:row>
                    <xdr:rowOff>12700</xdr:rowOff>
                  </from>
                  <to>
                    <xdr:col>6</xdr:col>
                    <xdr:colOff>876300</xdr:colOff>
                    <xdr:row>39</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7030A0"/>
    <pageSetUpPr fitToPage="1"/>
  </sheetPr>
  <dimension ref="A1:Y6"/>
  <sheetViews>
    <sheetView zoomScale="55" zoomScaleNormal="55" workbookViewId="0">
      <selection activeCell="A1" sqref="A1:Q1"/>
    </sheetView>
  </sheetViews>
  <sheetFormatPr defaultColWidth="9.18181818181818" defaultRowHeight="12.5" outlineLevelRow="5"/>
  <cols>
    <col min="1" max="13" width="9.18181818181818" style="526"/>
    <col min="14" max="14" width="11.8181818181818" style="526" customWidth="1"/>
    <col min="15" max="16" width="9.18181818181818" style="526"/>
    <col min="17" max="17" width="15.7272727272727" style="526" customWidth="1"/>
    <col min="18" max="16384" width="9.18181818181818" style="526"/>
  </cols>
  <sheetData>
    <row r="1" s="525" customFormat="1" ht="47.25" customHeight="1" spans="1:18">
      <c r="A1" s="527" t="s">
        <v>113</v>
      </c>
      <c r="B1" s="528"/>
      <c r="C1" s="528"/>
      <c r="D1" s="528"/>
      <c r="E1" s="528"/>
      <c r="F1" s="528"/>
      <c r="G1" s="528"/>
      <c r="H1" s="528"/>
      <c r="I1" s="528"/>
      <c r="J1" s="528"/>
      <c r="K1" s="528"/>
      <c r="L1" s="528"/>
      <c r="M1" s="528"/>
      <c r="N1" s="528"/>
      <c r="O1" s="528"/>
      <c r="P1" s="528"/>
      <c r="Q1" s="528"/>
      <c r="R1" s="530"/>
    </row>
    <row r="6" ht="20" spans="2:25">
      <c r="B6" s="529" t="s">
        <v>114</v>
      </c>
      <c r="N6" s="529" t="s">
        <v>115</v>
      </c>
      <c r="Y6" s="529" t="s">
        <v>116</v>
      </c>
    </row>
  </sheetData>
  <sheetProtection algorithmName="SHA-512" hashValue="+zQ9Vgedot+b7Isc1yUfPCEtgcVtb/0fEbyjoJ8umwy5yFOq+SHSz7HUsstP27LUrgPO8eV6/2k8Egu6UH6ulg==" saltValue="dUPS5K/pPpb4agGIRFC1EA==" spinCount="100000" sheet="1" selectLockedCells="1" objects="1" scenarios="1"/>
  <mergeCells count="1">
    <mergeCell ref="A1:Q1"/>
  </mergeCells>
  <pageMargins left="0.19" right="0.2" top="0.75" bottom="0.75" header="0.3" footer="0.3"/>
  <pageSetup paperSize="1" scale="31"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00FF"/>
  </sheetPr>
  <dimension ref="A1:Z283"/>
  <sheetViews>
    <sheetView zoomScale="55" zoomScaleNormal="55" workbookViewId="0">
      <pane ySplit="5" topLeftCell="A30" activePane="bottomLeft" state="frozenSplit"/>
      <selection/>
      <selection pane="bottomLeft" activeCell="U54" sqref="U54"/>
    </sheetView>
  </sheetViews>
  <sheetFormatPr defaultColWidth="9" defaultRowHeight="13"/>
  <cols>
    <col min="1" max="1" width="40.4545454545455" customWidth="1"/>
    <col min="2" max="2" width="11.8181818181818" customWidth="1"/>
    <col min="3" max="3" width="9.45454545454546" style="3" customWidth="1"/>
    <col min="4" max="4" width="10.2636363636364" customWidth="1"/>
    <col min="5" max="5" width="11.5454545454545" customWidth="1"/>
    <col min="6" max="6" width="14.8181818181818" customWidth="1"/>
    <col min="7" max="7" width="12.4545454545455" customWidth="1"/>
    <col min="8" max="8" width="20.1818181818182" customWidth="1"/>
    <col min="9" max="9" width="14.4545454545455" customWidth="1"/>
    <col min="10" max="10" width="12.4545454545455" customWidth="1"/>
    <col min="11" max="11" width="12" customWidth="1"/>
    <col min="12" max="12" width="8.81818181818182" customWidth="1"/>
    <col min="13" max="13" width="7" customWidth="1"/>
    <col min="14" max="14" width="9.26363636363636" customWidth="1"/>
    <col min="16" max="16" width="11.8181818181818" customWidth="1"/>
    <col min="17" max="17" width="11" customWidth="1"/>
    <col min="18" max="18" width="13.8181818181818" customWidth="1"/>
    <col min="19" max="19" width="5.45454545454545" customWidth="1"/>
    <col min="20" max="20" width="16.2636363636364" customWidth="1"/>
    <col min="22" max="22" width="9.72727272727273" customWidth="1"/>
    <col min="23" max="23" width="11.2636363636364" customWidth="1"/>
    <col min="24" max="24" width="5.81818181818182" customWidth="1"/>
    <col min="26" max="26" width="7.81818181818182" customWidth="1"/>
  </cols>
  <sheetData>
    <row r="1" ht="30.75" customHeight="1" spans="1:9">
      <c r="A1" s="349" t="s">
        <v>117</v>
      </c>
      <c r="B1" s="349"/>
      <c r="C1" s="349"/>
      <c r="D1" s="349"/>
      <c r="E1" s="349"/>
      <c r="F1" s="349"/>
      <c r="G1" s="349"/>
      <c r="H1" s="349"/>
      <c r="I1" s="349"/>
    </row>
    <row r="2" ht="12" customHeight="1" spans="1:9">
      <c r="A2" s="350"/>
      <c r="B2" s="350" t="s">
        <v>118</v>
      </c>
      <c r="C2" s="351"/>
      <c r="E2" s="350"/>
      <c r="F2" s="350"/>
      <c r="G2" s="350"/>
      <c r="H2" s="350"/>
      <c r="I2" s="350"/>
    </row>
    <row r="3" ht="11.25" customHeight="1" spans="1:9">
      <c r="A3" s="350"/>
      <c r="B3" s="350" t="s">
        <v>119</v>
      </c>
      <c r="C3" s="352"/>
      <c r="E3" s="350"/>
      <c r="F3" s="350"/>
      <c r="G3" s="350"/>
      <c r="H3" s="350"/>
      <c r="I3" s="350"/>
    </row>
    <row r="4" ht="11.25" customHeight="1" spans="1:9">
      <c r="A4" s="350"/>
      <c r="B4" s="350" t="s">
        <v>120</v>
      </c>
      <c r="C4" s="353"/>
      <c r="E4" s="350"/>
      <c r="F4" s="350"/>
      <c r="G4" s="350"/>
      <c r="H4" s="350"/>
      <c r="I4" s="350"/>
    </row>
    <row r="5" spans="1:9">
      <c r="A5" s="3" t="s">
        <v>121</v>
      </c>
      <c r="B5" s="3" t="s">
        <v>74</v>
      </c>
      <c r="C5" s="3" t="s">
        <v>122</v>
      </c>
      <c r="E5" s="354" t="s">
        <v>123</v>
      </c>
      <c r="F5" s="354"/>
      <c r="G5" s="354"/>
      <c r="H5" s="354"/>
      <c r="I5" s="3" t="s">
        <v>124</v>
      </c>
    </row>
    <row r="6" ht="16.25" spans="1:9">
      <c r="A6" s="355" t="s">
        <v>125</v>
      </c>
      <c r="B6" s="356"/>
      <c r="C6" s="356"/>
      <c r="D6" s="356"/>
      <c r="E6" s="357"/>
      <c r="F6" s="357"/>
      <c r="G6" s="357"/>
      <c r="H6" s="357"/>
      <c r="I6" s="356"/>
    </row>
    <row r="7" ht="12.5" spans="1:11">
      <c r="A7" s="358" t="s">
        <v>126</v>
      </c>
      <c r="B7" s="359">
        <f>'LM(2)518x PSR flyback converter'!E6</f>
        <v>10</v>
      </c>
      <c r="C7" s="360" t="s">
        <v>9</v>
      </c>
      <c r="D7" s="361" t="s">
        <v>127</v>
      </c>
      <c r="E7" s="360"/>
      <c r="F7" s="360"/>
      <c r="G7" s="360"/>
      <c r="H7" s="360"/>
      <c r="I7" s="411">
        <v>1</v>
      </c>
      <c r="K7" t="str">
        <f>'Variable Mgmt'!B59&amp;" Output PSR Flyback Converter, "&amp;"VIN = "&amp;Vin&amp;" V, VOUT = "&amp;Vout&amp;" V, IOUT = "&amp;Iout&amp;" A"</f>
        <v>BIPOLAR Output PSR Flyback Converter, VIN = 12 V, VOUT = 18 V, IOUT = 0.5 A</v>
      </c>
    </row>
    <row r="8" spans="1:11">
      <c r="A8" s="362" t="s">
        <v>128</v>
      </c>
      <c r="B8" s="363">
        <f>'LM(2)518x PSR flyback converter'!E7</f>
        <v>12</v>
      </c>
      <c r="C8" s="9" t="s">
        <v>9</v>
      </c>
      <c r="D8" s="9" t="s">
        <v>129</v>
      </c>
      <c r="F8" s="364"/>
      <c r="G8" s="9"/>
      <c r="H8" s="365"/>
      <c r="I8" s="412"/>
      <c r="K8" t="str">
        <f>'Variable Mgmt'!B59&amp;" Output PSR Flyback Converter, "&amp;"VIN = "&amp;Vin&amp;" V, VOUT1 = "&amp;Vout&amp;" V, IOUT1 = "&amp;Iout&amp;" A"&amp;", VOUT2 = "&amp;Vout2_actual&amp;" V, IOUT2 = "&amp;Iout2_actual&amp;" A"</f>
        <v>BIPOLAR Output PSR Flyback Converter, VIN = 12 V, VOUT1 = 18 V, IOUT1 = 0.5 A, VOUT2 = -5 V, IOUT2 = -0.4 A</v>
      </c>
    </row>
    <row r="9" spans="1:9">
      <c r="A9" s="362" t="s">
        <v>130</v>
      </c>
      <c r="B9" s="363">
        <f>'LM(2)518x PSR flyback converter'!E8</f>
        <v>14</v>
      </c>
      <c r="C9" s="9" t="s">
        <v>9</v>
      </c>
      <c r="D9" s="365" t="s">
        <v>131</v>
      </c>
      <c r="F9" s="364"/>
      <c r="G9" s="9"/>
      <c r="H9" s="9"/>
      <c r="I9" s="412"/>
    </row>
    <row r="10" spans="1:17">
      <c r="A10" s="362"/>
      <c r="B10" s="366"/>
      <c r="C10" s="13"/>
      <c r="D10" s="365"/>
      <c r="F10" s="9"/>
      <c r="G10" s="9"/>
      <c r="H10" s="9"/>
      <c r="I10" s="412"/>
      <c r="P10" s="413" t="s">
        <v>132</v>
      </c>
      <c r="Q10" s="394">
        <v>1</v>
      </c>
    </row>
    <row r="11" spans="1:17">
      <c r="A11" s="367" t="s">
        <v>133</v>
      </c>
      <c r="B11" s="363">
        <f>'LM(2)518x PSR flyback converter'!E10</f>
        <v>18</v>
      </c>
      <c r="C11" s="9" t="s">
        <v>9</v>
      </c>
      <c r="D11" s="365" t="s">
        <v>134</v>
      </c>
      <c r="F11" s="9"/>
      <c r="G11" s="9">
        <f>(Vout+Vfwd1)*Nps</f>
        <v>12.2728</v>
      </c>
      <c r="H11" s="9"/>
      <c r="I11" s="412">
        <v>1</v>
      </c>
      <c r="P11" s="413" t="s">
        <v>135</v>
      </c>
      <c r="Q11" s="394">
        <v>2</v>
      </c>
    </row>
    <row r="12" spans="1:17">
      <c r="A12" s="367" t="s">
        <v>136</v>
      </c>
      <c r="B12" s="368">
        <f>'LM(2)518x PSR flyback converter'!E11</f>
        <v>0.5</v>
      </c>
      <c r="C12" s="365" t="s">
        <v>18</v>
      </c>
      <c r="D12" s="365" t="s">
        <v>137</v>
      </c>
      <c r="F12" s="9"/>
      <c r="G12" s="9"/>
      <c r="H12" s="9"/>
      <c r="I12" s="412">
        <v>1</v>
      </c>
      <c r="L12" s="2"/>
      <c r="P12" s="414" t="s">
        <v>138</v>
      </c>
      <c r="Q12" s="364">
        <v>3</v>
      </c>
    </row>
    <row r="13" spans="1:17">
      <c r="A13" s="362" t="s">
        <v>139</v>
      </c>
      <c r="B13" s="369">
        <f>Vout/Iout</f>
        <v>36</v>
      </c>
      <c r="C13" s="370" t="s">
        <v>68</v>
      </c>
      <c r="D13" s="13" t="s">
        <v>140</v>
      </c>
      <c r="F13" s="9"/>
      <c r="G13" s="9"/>
      <c r="H13" s="9"/>
      <c r="I13" s="412"/>
      <c r="P13" s="414" t="s">
        <v>141</v>
      </c>
      <c r="Q13" s="364">
        <v>4</v>
      </c>
    </row>
    <row r="14" spans="1:17">
      <c r="A14" s="362" t="s">
        <v>142</v>
      </c>
      <c r="B14" s="371">
        <f>Vout*Iout</f>
        <v>9</v>
      </c>
      <c r="C14" s="13" t="s">
        <v>68</v>
      </c>
      <c r="D14" s="13" t="s">
        <v>143</v>
      </c>
      <c r="F14" s="9"/>
      <c r="G14" s="9"/>
      <c r="H14" s="9"/>
      <c r="I14" s="412"/>
      <c r="L14" s="2"/>
      <c r="P14" s="414" t="s">
        <v>144</v>
      </c>
      <c r="Q14" s="364">
        <v>5</v>
      </c>
    </row>
    <row r="15" spans="2:18">
      <c r="B15" s="372"/>
      <c r="C15" s="13"/>
      <c r="D15" s="13"/>
      <c r="F15" s="9"/>
      <c r="G15" s="9"/>
      <c r="H15" s="9"/>
      <c r="I15" s="412"/>
      <c r="L15" s="2"/>
      <c r="O15" s="399" t="s">
        <v>145</v>
      </c>
      <c r="P15" s="405" t="str">
        <f>CHOOSE(VARIANT,"LM5180","LM5181","LM25180","LM25183","LM25184")</f>
        <v>LM5180</v>
      </c>
      <c r="Q15" s="399">
        <v>1</v>
      </c>
      <c r="R15" s="192"/>
    </row>
    <row r="16" spans="1:17">
      <c r="A16" s="362" t="s">
        <v>146</v>
      </c>
      <c r="B16" s="373">
        <f>ABS('LM(2)518x PSR flyback converter'!E12)</f>
        <v>5</v>
      </c>
      <c r="C16" s="9" t="s">
        <v>9</v>
      </c>
      <c r="D16" s="365" t="s">
        <v>147</v>
      </c>
      <c r="F16" s="9"/>
      <c r="G16" s="9"/>
      <c r="H16" s="9"/>
      <c r="I16" s="412"/>
      <c r="L16" s="2"/>
      <c r="O16" s="415" t="s">
        <v>148</v>
      </c>
      <c r="P16" s="416">
        <f>CHOOSE(VARIANT,65,65,42,42,42)</f>
        <v>65</v>
      </c>
      <c r="Q16" t="s">
        <v>9</v>
      </c>
    </row>
    <row r="17" spans="1:17">
      <c r="A17" s="362" t="s">
        <v>149</v>
      </c>
      <c r="B17" s="374">
        <f>'LM(2)518x PSR flyback converter'!E12</f>
        <v>-5</v>
      </c>
      <c r="C17" s="13" t="s">
        <v>9</v>
      </c>
      <c r="D17" s="365"/>
      <c r="F17" s="9"/>
      <c r="G17" s="9"/>
      <c r="H17" s="9"/>
      <c r="I17" s="412"/>
      <c r="L17" s="2"/>
      <c r="O17" s="417" t="s">
        <v>150</v>
      </c>
      <c r="P17">
        <f>CHOOSE(VARIANT,100,100,70,70,70)</f>
        <v>100</v>
      </c>
      <c r="Q17" s="2" t="s">
        <v>9</v>
      </c>
    </row>
    <row r="18" ht="12.5" spans="1:12">
      <c r="A18" s="362" t="s">
        <v>151</v>
      </c>
      <c r="B18" s="373">
        <f>ABS('LM(2)518x PSR flyback converter'!E13)</f>
        <v>0.4</v>
      </c>
      <c r="C18" s="365" t="s">
        <v>18</v>
      </c>
      <c r="D18" s="365" t="s">
        <v>152</v>
      </c>
      <c r="F18" s="9"/>
      <c r="G18" s="9"/>
      <c r="H18" s="9"/>
      <c r="I18" s="412"/>
      <c r="L18" s="2"/>
    </row>
    <row r="19" spans="1:16">
      <c r="A19" s="13" t="s">
        <v>153</v>
      </c>
      <c r="B19">
        <f>Iout2*SIGN(Vout2_actual)</f>
        <v>-0.4</v>
      </c>
      <c r="C19" s="2" t="s">
        <v>18</v>
      </c>
      <c r="F19" s="9"/>
      <c r="G19" s="9"/>
      <c r="H19" s="9"/>
      <c r="I19" s="412"/>
      <c r="L19" s="2"/>
      <c r="P19" s="3" t="s">
        <v>154</v>
      </c>
    </row>
    <row r="20" spans="1:17">
      <c r="A20" s="362" t="s">
        <v>155</v>
      </c>
      <c r="B20" s="371">
        <f>ABS(Vout2/Iout2)</f>
        <v>12.5</v>
      </c>
      <c r="C20" s="370" t="s">
        <v>68</v>
      </c>
      <c r="D20" s="13" t="s">
        <v>156</v>
      </c>
      <c r="F20" s="9"/>
      <c r="G20" s="9"/>
      <c r="H20" s="9"/>
      <c r="I20" s="412"/>
      <c r="K20" s="2" t="s">
        <v>157</v>
      </c>
      <c r="L20" s="2" t="s">
        <v>158</v>
      </c>
      <c r="P20" s="3" t="s">
        <v>159</v>
      </c>
      <c r="Q20">
        <v>1</v>
      </c>
    </row>
    <row r="21" spans="1:17">
      <c r="A21" s="362" t="s">
        <v>160</v>
      </c>
      <c r="B21" s="371">
        <f>ABS(Vout2*Iout2)</f>
        <v>2</v>
      </c>
      <c r="C21" s="13" t="s">
        <v>68</v>
      </c>
      <c r="D21" s="13" t="s">
        <v>161</v>
      </c>
      <c r="F21" s="9"/>
      <c r="G21" s="9"/>
      <c r="H21" s="9"/>
      <c r="I21" s="412"/>
      <c r="K21">
        <v>5</v>
      </c>
      <c r="L21" s="2">
        <v>-5</v>
      </c>
      <c r="P21" s="3" t="s">
        <v>162</v>
      </c>
      <c r="Q21">
        <v>2</v>
      </c>
    </row>
    <row r="22" spans="1:17">
      <c r="A22" s="362" t="s">
        <v>163</v>
      </c>
      <c r="B22" s="371">
        <f>CHOOSE(MODE,Pout,Pout+Pout2)</f>
        <v>11</v>
      </c>
      <c r="C22" s="13" t="s">
        <v>68</v>
      </c>
      <c r="D22" s="13" t="s">
        <v>164</v>
      </c>
      <c r="F22" s="9"/>
      <c r="G22" s="9"/>
      <c r="H22" s="9"/>
      <c r="I22" s="412"/>
      <c r="K22">
        <v>0.2</v>
      </c>
      <c r="L22" s="2">
        <v>0.2</v>
      </c>
      <c r="Q22" s="3">
        <v>2</v>
      </c>
    </row>
    <row r="23" ht="12.5" spans="1:12">
      <c r="A23" s="362"/>
      <c r="B23" s="372"/>
      <c r="C23" s="13"/>
      <c r="D23" s="13"/>
      <c r="F23" s="9"/>
      <c r="G23" s="9"/>
      <c r="H23" s="9"/>
      <c r="I23" s="412"/>
      <c r="L23" s="2"/>
    </row>
    <row r="24" spans="1:12">
      <c r="A24" s="375" t="str">
        <f>CHOOSE(MODE,"Turns Ratio, PRI : SEC","Turns Ratio, PRI : SEC1")</f>
        <v>Turns Ratio, PRI : SEC1</v>
      </c>
      <c r="B24" s="376" t="str">
        <f>Nps</f>
        <v>0.667</v>
      </c>
      <c r="C24" s="13"/>
      <c r="D24" s="13" t="str">
        <f>CHOOSE(MODE,"TR primary-secondary (single output) = Np/Ns","TR primary-secondary1 (dual output) = Np/Nsec1")</f>
        <v>TR primary-secondary1 (dual output) = Np/Nsec1</v>
      </c>
      <c r="F24" s="9"/>
      <c r="G24" s="9"/>
      <c r="H24" s="9"/>
      <c r="I24" s="412"/>
      <c r="L24" s="2"/>
    </row>
    <row r="25" spans="1:12">
      <c r="A25" s="375" t="s">
        <v>165</v>
      </c>
      <c r="B25" s="5">
        <f>Npri_sec2</f>
        <v>2.27274074074074</v>
      </c>
      <c r="D25" s="13" t="s">
        <v>166</v>
      </c>
      <c r="F25" s="9"/>
      <c r="G25" s="9"/>
      <c r="H25" s="9"/>
      <c r="I25" s="412"/>
      <c r="L25" s="2"/>
    </row>
    <row r="26" spans="1:22">
      <c r="A26" s="375" t="s">
        <v>167</v>
      </c>
      <c r="B26" s="377">
        <f>Nsec1sec2</f>
        <v>0.293478260869565</v>
      </c>
      <c r="D26" s="2" t="s">
        <v>168</v>
      </c>
      <c r="F26" s="9"/>
      <c r="G26" s="9"/>
      <c r="H26" s="9"/>
      <c r="I26" s="412"/>
      <c r="L26" s="2"/>
      <c r="R26" s="405" t="s">
        <v>169</v>
      </c>
      <c r="V26" s="405" t="s">
        <v>169</v>
      </c>
    </row>
    <row r="27" spans="8:22">
      <c r="H27" s="9"/>
      <c r="I27" s="412"/>
      <c r="K27" s="405" t="s">
        <v>170</v>
      </c>
      <c r="R27" s="405" t="s">
        <v>171</v>
      </c>
      <c r="V27" s="405" t="s">
        <v>172</v>
      </c>
    </row>
    <row r="28" ht="12.5" spans="1:23">
      <c r="A28" s="2" t="s">
        <v>173</v>
      </c>
      <c r="B28" s="220">
        <f>Vout+VIN_max/Nps</f>
        <v>38.9895052473763</v>
      </c>
      <c r="C28" s="2" t="s">
        <v>9</v>
      </c>
      <c r="G28" s="9"/>
      <c r="H28" s="9"/>
      <c r="I28" s="412"/>
      <c r="K28" s="2" t="s">
        <v>174</v>
      </c>
      <c r="L28">
        <v>1</v>
      </c>
      <c r="R28" t="str">
        <f>"5 : 1"</f>
        <v>5 : 1</v>
      </c>
      <c r="S28">
        <v>1</v>
      </c>
      <c r="V28" t="str">
        <f>"5 : 1"</f>
        <v>5 : 1</v>
      </c>
      <c r="W28">
        <v>1</v>
      </c>
    </row>
    <row r="29" spans="6:23">
      <c r="F29" s="9"/>
      <c r="G29" s="9"/>
      <c r="H29" s="9"/>
      <c r="I29" s="412"/>
      <c r="K29" s="2" t="s">
        <v>175</v>
      </c>
      <c r="L29">
        <v>2</v>
      </c>
      <c r="R29" t="str">
        <f>"4 : 1"</f>
        <v>4 : 1</v>
      </c>
      <c r="S29">
        <v>2</v>
      </c>
      <c r="V29" t="str">
        <f>"4 : 1"</f>
        <v>4 : 1</v>
      </c>
      <c r="W29">
        <v>2</v>
      </c>
    </row>
    <row r="30" ht="12.5" spans="1:23">
      <c r="A30" s="362" t="s">
        <v>176</v>
      </c>
      <c r="B30" s="378">
        <f>1%*Vout*1000</f>
        <v>180</v>
      </c>
      <c r="C30" s="13" t="s">
        <v>177</v>
      </c>
      <c r="D30" s="13" t="s">
        <v>178</v>
      </c>
      <c r="F30" s="9"/>
      <c r="G30" s="9"/>
      <c r="H30" s="9"/>
      <c r="I30" s="412"/>
      <c r="K30" s="2" t="s">
        <v>179</v>
      </c>
      <c r="L30">
        <v>3</v>
      </c>
      <c r="R30" t="str">
        <f>"3 : 1"</f>
        <v>3 : 1</v>
      </c>
      <c r="S30">
        <v>3</v>
      </c>
      <c r="V30" t="str">
        <f>"3 : 1"</f>
        <v>3 : 1</v>
      </c>
      <c r="W30">
        <v>3</v>
      </c>
    </row>
    <row r="31" ht="12.5" spans="1:23">
      <c r="A31" s="362"/>
      <c r="B31" s="378"/>
      <c r="C31" s="13"/>
      <c r="D31" s="13"/>
      <c r="F31" s="9"/>
      <c r="G31" s="9"/>
      <c r="H31" s="9"/>
      <c r="I31" s="412"/>
      <c r="K31" s="2"/>
      <c r="R31" t="str">
        <f>"2.5 : 1"</f>
        <v>2.5 : 1</v>
      </c>
      <c r="S31">
        <v>4</v>
      </c>
      <c r="V31" t="str">
        <f>"2.5 : 1"</f>
        <v>2.5 : 1</v>
      </c>
      <c r="W31">
        <v>4</v>
      </c>
    </row>
    <row r="32" ht="12.5" spans="1:23">
      <c r="A32" s="362" t="s">
        <v>180</v>
      </c>
      <c r="B32" s="378">
        <f>1%*Vout2*1000</f>
        <v>50</v>
      </c>
      <c r="C32" s="13" t="s">
        <v>177</v>
      </c>
      <c r="D32" s="13" t="s">
        <v>181</v>
      </c>
      <c r="F32" s="9"/>
      <c r="G32" s="9"/>
      <c r="H32" s="9"/>
      <c r="I32" s="412"/>
      <c r="Q32" s="420"/>
      <c r="R32" t="str">
        <f>"2 : 1"</f>
        <v>2 : 1</v>
      </c>
      <c r="S32">
        <v>5</v>
      </c>
      <c r="V32" t="str">
        <f>"2 : 1"</f>
        <v>2 : 1</v>
      </c>
      <c r="W32">
        <v>5</v>
      </c>
    </row>
    <row r="33" ht="12.5" spans="1:23">
      <c r="A33" s="365"/>
      <c r="B33" s="378"/>
      <c r="C33" s="13"/>
      <c r="D33" s="13"/>
      <c r="F33" s="9"/>
      <c r="G33" s="9"/>
      <c r="H33" s="9"/>
      <c r="I33" s="412"/>
      <c r="Q33" s="420"/>
      <c r="R33" t="str">
        <f>"1.8 : 1"</f>
        <v>1.8 : 1</v>
      </c>
      <c r="S33">
        <v>6</v>
      </c>
      <c r="V33" t="str">
        <f>"1.8 : 1"</f>
        <v>1.8 : 1</v>
      </c>
      <c r="W33">
        <v>6</v>
      </c>
    </row>
    <row r="34" spans="6:23">
      <c r="F34" s="9"/>
      <c r="G34" s="9"/>
      <c r="H34" s="9"/>
      <c r="I34" s="412"/>
      <c r="R34" t="str">
        <f>"1.5 : 1"</f>
        <v>1.5 : 1</v>
      </c>
      <c r="S34">
        <v>7</v>
      </c>
      <c r="V34" t="str">
        <f>"1.5 : 1"</f>
        <v>1.5 : 1</v>
      </c>
      <c r="W34">
        <v>7</v>
      </c>
    </row>
    <row r="35" spans="6:23">
      <c r="F35" s="9"/>
      <c r="G35" s="9"/>
      <c r="H35" s="9"/>
      <c r="I35" s="412"/>
      <c r="R35" s="811" t="s">
        <v>182</v>
      </c>
      <c r="S35">
        <v>8</v>
      </c>
      <c r="V35" s="811" t="s">
        <v>182</v>
      </c>
      <c r="W35">
        <v>8</v>
      </c>
    </row>
    <row r="36" ht="12.5" spans="1:23">
      <c r="A36" s="362" t="s">
        <v>183</v>
      </c>
      <c r="B36" s="379">
        <v>0.9</v>
      </c>
      <c r="C36" s="13"/>
      <c r="D36" s="365" t="s">
        <v>184</v>
      </c>
      <c r="F36" s="9"/>
      <c r="G36" s="9"/>
      <c r="H36" s="9"/>
      <c r="I36" s="412"/>
      <c r="R36" t="str">
        <f>"1 : 1"</f>
        <v>1 : 1</v>
      </c>
      <c r="S36">
        <v>9</v>
      </c>
      <c r="V36" t="str">
        <f>"1 : 1"</f>
        <v>1 : 1</v>
      </c>
      <c r="W36">
        <v>9</v>
      </c>
    </row>
    <row r="37" ht="12.5" spans="1:23">
      <c r="A37" s="362"/>
      <c r="B37" s="379"/>
      <c r="C37" s="13"/>
      <c r="D37" s="365"/>
      <c r="F37" s="9"/>
      <c r="G37" s="9"/>
      <c r="H37" s="9"/>
      <c r="I37" s="412"/>
      <c r="R37" s="811" t="s">
        <v>185</v>
      </c>
      <c r="S37">
        <v>10</v>
      </c>
      <c r="V37" s="811" t="s">
        <v>185</v>
      </c>
      <c r="W37">
        <v>10</v>
      </c>
    </row>
    <row r="38" ht="12.5" spans="1:23">
      <c r="A38" s="362" t="s">
        <v>186</v>
      </c>
      <c r="B38" s="380">
        <f>Pout/Efficiency</f>
        <v>10</v>
      </c>
      <c r="C38" s="13" t="s">
        <v>68</v>
      </c>
      <c r="D38" s="13" t="s">
        <v>187</v>
      </c>
      <c r="F38" s="9"/>
      <c r="G38" s="9"/>
      <c r="H38" s="9"/>
      <c r="I38" s="412"/>
      <c r="R38" t="str">
        <f>"1 : 1.5"</f>
        <v>1 : 1.5</v>
      </c>
      <c r="S38">
        <v>11</v>
      </c>
      <c r="V38" t="str">
        <f>"1 : 1.5"</f>
        <v>1 : 1.5</v>
      </c>
      <c r="W38">
        <v>11</v>
      </c>
    </row>
    <row r="39" ht="12.5" spans="1:23">
      <c r="A39" s="362"/>
      <c r="B39" s="380"/>
      <c r="C39" s="13"/>
      <c r="D39" s="13"/>
      <c r="F39" s="9"/>
      <c r="G39" s="9"/>
      <c r="H39" s="9"/>
      <c r="I39" s="412"/>
      <c r="R39" t="str">
        <f>"1 : 1.8"</f>
        <v>1 : 1.8</v>
      </c>
      <c r="S39">
        <v>12</v>
      </c>
      <c r="V39" t="str">
        <f>"1 : 1.8"</f>
        <v>1 : 1.8</v>
      </c>
      <c r="W39">
        <v>12</v>
      </c>
    </row>
    <row r="40" ht="12.5" spans="1:23">
      <c r="A40" s="362" t="s">
        <v>188</v>
      </c>
      <c r="B40" s="381">
        <f>Pin/VIN_min</f>
        <v>1</v>
      </c>
      <c r="C40" s="13" t="s">
        <v>18</v>
      </c>
      <c r="D40" s="365"/>
      <c r="F40" s="9"/>
      <c r="G40" s="9"/>
      <c r="H40" s="9"/>
      <c r="I40" s="412"/>
      <c r="R40" t="str">
        <f>"1 : 2"</f>
        <v>1 : 2</v>
      </c>
      <c r="S40">
        <v>13</v>
      </c>
      <c r="V40" t="str">
        <f>"1 : 2"</f>
        <v>1 : 2</v>
      </c>
      <c r="W40">
        <v>13</v>
      </c>
    </row>
    <row r="41" ht="12.5" spans="1:23">
      <c r="A41" s="362"/>
      <c r="B41" s="381"/>
      <c r="C41" s="13"/>
      <c r="D41" s="365"/>
      <c r="F41" s="9"/>
      <c r="G41" s="9"/>
      <c r="H41" s="9"/>
      <c r="I41" s="412"/>
      <c r="R41" t="str">
        <f>"1 : 2.5"</f>
        <v>1 : 2.5</v>
      </c>
      <c r="S41">
        <v>14</v>
      </c>
      <c r="V41" t="str">
        <f>"1 : 2.5"</f>
        <v>1 : 2.5</v>
      </c>
      <c r="W41">
        <v>14</v>
      </c>
    </row>
    <row r="42" ht="12.5" spans="1:23">
      <c r="A42" s="362" t="s">
        <v>189</v>
      </c>
      <c r="B42" s="381">
        <f>Pin/VIN_nom</f>
        <v>0.833333333333333</v>
      </c>
      <c r="C42" s="13" t="s">
        <v>18</v>
      </c>
      <c r="D42" s="13" t="s">
        <v>190</v>
      </c>
      <c r="F42" s="9"/>
      <c r="G42" s="9"/>
      <c r="H42" s="9"/>
      <c r="I42" s="412">
        <v>1</v>
      </c>
      <c r="K42" s="2"/>
      <c r="R42" t="str">
        <f>"1 : 3"</f>
        <v>1 : 3</v>
      </c>
      <c r="S42">
        <v>15</v>
      </c>
      <c r="V42" t="str">
        <f>"1 : 3"</f>
        <v>1 : 3</v>
      </c>
      <c r="W42">
        <v>15</v>
      </c>
    </row>
    <row r="43" ht="12.5" spans="1:23">
      <c r="A43" s="362" t="s">
        <v>191</v>
      </c>
      <c r="B43" s="381">
        <f>Pin/VIN_max</f>
        <v>0.714285714285714</v>
      </c>
      <c r="C43" s="13" t="s">
        <v>18</v>
      </c>
      <c r="D43" s="365"/>
      <c r="F43" s="9"/>
      <c r="G43" s="9"/>
      <c r="H43" s="9"/>
      <c r="I43" s="412"/>
      <c r="R43" t="str">
        <f>"1 : 4"</f>
        <v>1 : 4</v>
      </c>
      <c r="S43">
        <v>16</v>
      </c>
      <c r="V43" t="str">
        <f>"1 : 4"</f>
        <v>1 : 4</v>
      </c>
      <c r="W43">
        <v>16</v>
      </c>
    </row>
    <row r="44" ht="12.5" spans="1:23">
      <c r="A44" s="362"/>
      <c r="B44" s="381"/>
      <c r="C44" s="13"/>
      <c r="D44" s="365"/>
      <c r="F44" s="9"/>
      <c r="G44" s="9"/>
      <c r="H44" s="9"/>
      <c r="I44" s="412"/>
      <c r="R44" t="str">
        <f>"1 : 5"</f>
        <v>1 : 5</v>
      </c>
      <c r="S44">
        <v>17</v>
      </c>
      <c r="V44" t="str">
        <f>"1 : 5"</f>
        <v>1 : 5</v>
      </c>
      <c r="W44">
        <v>17</v>
      </c>
    </row>
    <row r="45" spans="1:23">
      <c r="A45" s="362" t="s">
        <v>192</v>
      </c>
      <c r="B45" s="372">
        <f>CHOOSE(MODE,'Calculations - Single'!N110,'Calculations - Dual'!O110+'Calculations - Dual'!P110)</f>
        <v>3.71939765094645</v>
      </c>
      <c r="C45" s="13" t="s">
        <v>68</v>
      </c>
      <c r="D45" s="365" t="b">
        <f>B45&lt;Pout_total</f>
        <v>1</v>
      </c>
      <c r="F45" s="9"/>
      <c r="G45" s="9"/>
      <c r="H45" s="9"/>
      <c r="I45" s="412"/>
      <c r="Q45" s="421" t="s">
        <v>193</v>
      </c>
      <c r="R45" s="415" t="str">
        <f>CHOOSE(Turns_Ratio,"5 : 1","4 : 1","3 : 1","2.5 : 1","2 : 1","1.8 : 1","1.5 : 1","1.2 : 1","1 : 1","1 : 1.2","1 : 1.5","1 : 1.8","1 : 2","1 : 2.5","1 : 3","1 : 4","1 : 5")</f>
        <v>1 : 1.5</v>
      </c>
      <c r="S45" s="3">
        <v>11</v>
      </c>
      <c r="U45" s="421" t="s">
        <v>194</v>
      </c>
      <c r="V45" s="204" t="str">
        <f>CHOOSE(Turns_Ratio2,"5 : 1","4 : 1","3 : 1","2.5 : 1","2 : 1","1.8 : 1","1.5 : 1","1.2 : 1","1 : 1","1 : 1.2","1 : 1.5","1 : 2","1 : 2.5","1 : 3","1 : 4","1 : 5")</f>
        <v>1 : 1</v>
      </c>
      <c r="W45" s="3">
        <v>9</v>
      </c>
    </row>
    <row r="46" spans="1:23">
      <c r="A46" s="362" t="s">
        <v>195</v>
      </c>
      <c r="B46" s="382">
        <f>CHOOSE(MODE,'Calculations - Single'!N111,'Calculations - Dual'!O111+'Calculations - Dual'!P111)/Vout</f>
        <v>0.206633202830358</v>
      </c>
      <c r="C46" s="13" t="s">
        <v>18</v>
      </c>
      <c r="D46" s="365"/>
      <c r="F46" s="9"/>
      <c r="G46" s="9"/>
      <c r="H46" s="9"/>
      <c r="I46" s="412"/>
      <c r="Q46" s="421"/>
      <c r="R46" s="415"/>
      <c r="S46" s="3"/>
      <c r="U46" s="421"/>
      <c r="V46" s="204"/>
      <c r="W46" s="3"/>
    </row>
    <row r="47" ht="12.5" spans="1:9">
      <c r="A47" s="362" t="s">
        <v>196</v>
      </c>
      <c r="B47" s="383">
        <v>350000</v>
      </c>
      <c r="C47" s="13" t="s">
        <v>197</v>
      </c>
      <c r="D47" s="365" t="s">
        <v>198</v>
      </c>
      <c r="F47" s="9"/>
      <c r="G47" s="9"/>
      <c r="H47" s="9"/>
      <c r="I47" s="412"/>
    </row>
    <row r="48" spans="1:18">
      <c r="A48" s="362" t="s">
        <v>199</v>
      </c>
      <c r="B48" s="384">
        <v>1.21</v>
      </c>
      <c r="C48" s="9" t="s">
        <v>9</v>
      </c>
      <c r="D48" s="365" t="s">
        <v>200</v>
      </c>
      <c r="F48" s="9"/>
      <c r="G48" s="9"/>
      <c r="H48" s="9"/>
      <c r="I48" s="412"/>
      <c r="Q48" s="2" t="s">
        <v>201</v>
      </c>
      <c r="R48" s="415" t="str">
        <f>CHOOSE(Turns_Ratio,"5","4 ","3","2.5","2","1.8","1.5","1.2","1","0.833","0.667","0.556","0.5","0.4","0.33","0.25","0.2")</f>
        <v>0.667</v>
      </c>
    </row>
    <row r="49" spans="1:23">
      <c r="A49" s="362" t="s">
        <v>202</v>
      </c>
      <c r="B49" s="385">
        <f>'LM(2)518x PSR flyback converter'!E28*1000</f>
        <v>196000</v>
      </c>
      <c r="C49" s="370" t="s">
        <v>68</v>
      </c>
      <c r="D49" s="13" t="s">
        <v>203</v>
      </c>
      <c r="F49" s="9"/>
      <c r="G49" s="9"/>
      <c r="H49" s="9"/>
      <c r="I49" s="412"/>
      <c r="Q49" s="2" t="s">
        <v>204</v>
      </c>
      <c r="R49" s="415" t="str">
        <f>CHOOSE(Turns_Ratio,"5","4 ","3","2.5","2","1.8","1.5","1.2","1","0.833","0.667","0.556","0.5","0.4","0.333","0.25","0.2")</f>
        <v>0.667</v>
      </c>
      <c r="V49" s="2" t="s">
        <v>205</v>
      </c>
      <c r="W49" s="405" t="str">
        <f>CHOOSE(Turns_Ratio,"1","1","1","1","1","1","1","1","1","1.2","1.5","1.8","2","2.5","3","4","5")</f>
        <v>1.5</v>
      </c>
    </row>
    <row r="50" spans="1:23">
      <c r="A50" s="362" t="s">
        <v>206</v>
      </c>
      <c r="B50" s="378">
        <f>VIN_max+Nps*(Vout+Vfwd2)</f>
        <v>26.51959</v>
      </c>
      <c r="C50" s="365" t="s">
        <v>9</v>
      </c>
      <c r="D50" s="13" t="b">
        <f>B50&gt;F50</f>
        <v>0</v>
      </c>
      <c r="F50" s="9">
        <f>CHOOSE(VARIANT,90,90,60,60,60)</f>
        <v>90</v>
      </c>
      <c r="G50" s="9"/>
      <c r="H50" s="9"/>
      <c r="I50" s="412"/>
      <c r="K50" s="2" t="s">
        <v>207</v>
      </c>
      <c r="Q50" s="2" t="s">
        <v>208</v>
      </c>
      <c r="R50" s="422">
        <f>ABS((Vout2+Vfwd1)/(Vout+Vfwd1))</f>
        <v>0.293478260869565</v>
      </c>
      <c r="V50" s="2" t="s">
        <v>208</v>
      </c>
      <c r="W50" s="423">
        <f>Nsec1sec2</f>
        <v>0.293478260869565</v>
      </c>
    </row>
    <row r="51" ht="16" spans="1:23">
      <c r="A51" s="362" t="s">
        <v>209</v>
      </c>
      <c r="B51" s="382">
        <v>0.1</v>
      </c>
      <c r="C51" s="365" t="s">
        <v>68</v>
      </c>
      <c r="D51" s="13" t="s">
        <v>210</v>
      </c>
      <c r="F51" s="386" t="s">
        <v>211</v>
      </c>
      <c r="G51" s="9"/>
      <c r="H51" s="9"/>
      <c r="I51" s="412"/>
      <c r="Q51" s="406" t="s">
        <v>212</v>
      </c>
      <c r="R51" s="424">
        <f>Nps/Nsec1sec2</f>
        <v>2.27274074074074</v>
      </c>
      <c r="V51" s="3"/>
      <c r="W51" s="425">
        <f>W49*W50</f>
        <v>0.440217391304348</v>
      </c>
    </row>
    <row r="52" ht="13.75" spans="1:23">
      <c r="A52" s="387"/>
      <c r="B52" s="388"/>
      <c r="C52" s="389"/>
      <c r="D52" s="388"/>
      <c r="E52" s="388"/>
      <c r="F52" s="388"/>
      <c r="G52" s="388"/>
      <c r="H52" s="388"/>
      <c r="I52" s="418"/>
      <c r="K52" s="417" t="str">
        <f>"SCH_"&amp;B59&amp;"_"&amp;F64&amp;"_"&amp;I64&amp;"_"&amp;F58</f>
        <v>SCH_BIPOLAR_UVLOadj_SSint_TCyes</v>
      </c>
      <c r="R52" s="426">
        <f>ROUND(Nsec1sec2,1)</f>
        <v>0.3</v>
      </c>
      <c r="V52" s="405" t="s">
        <v>213</v>
      </c>
      <c r="W52" s="427" t="str">
        <f>CHOOSE(MODE,R45,R45&amp;" : "&amp;ROUND(W51,2))</f>
        <v>1 : 1.5 : 0.44</v>
      </c>
    </row>
    <row r="53" spans="1:9">
      <c r="A53" s="9"/>
      <c r="B53" s="9"/>
      <c r="C53" s="356"/>
      <c r="D53" s="9"/>
      <c r="E53" s="9"/>
      <c r="F53" s="9"/>
      <c r="G53" s="9"/>
      <c r="H53" s="9"/>
      <c r="I53" s="9"/>
    </row>
    <row r="54" ht="16.25" spans="1:9">
      <c r="A54" s="355" t="s">
        <v>214</v>
      </c>
      <c r="B54" s="9"/>
      <c r="C54" s="356"/>
      <c r="D54" s="9"/>
      <c r="E54" s="9"/>
      <c r="F54" s="9"/>
      <c r="G54" s="9"/>
      <c r="H54" s="9"/>
      <c r="I54" s="9"/>
    </row>
    <row r="55" ht="15.5" spans="1:15">
      <c r="A55" s="390"/>
      <c r="B55" s="360"/>
      <c r="C55" s="391"/>
      <c r="D55" s="360"/>
      <c r="E55" s="360"/>
      <c r="F55" s="360"/>
      <c r="G55" s="360"/>
      <c r="H55" s="360"/>
      <c r="I55" s="360"/>
      <c r="J55" s="360"/>
      <c r="K55" s="360"/>
      <c r="L55" s="360"/>
      <c r="M55" s="360"/>
      <c r="N55" s="360"/>
      <c r="O55" s="367"/>
    </row>
    <row r="56" spans="1:19">
      <c r="A56" s="392" t="s">
        <v>215</v>
      </c>
      <c r="B56" s="365" t="s">
        <v>216</v>
      </c>
      <c r="C56" s="393">
        <v>1</v>
      </c>
      <c r="D56" s="9"/>
      <c r="E56" s="392" t="s">
        <v>217</v>
      </c>
      <c r="F56" s="365" t="s">
        <v>218</v>
      </c>
      <c r="G56" s="394" t="b">
        <v>1</v>
      </c>
      <c r="I56" s="413" t="s">
        <v>219</v>
      </c>
      <c r="J56" s="394">
        <v>1</v>
      </c>
      <c r="K56" t="str">
        <f>B59&amp;", "&amp;F58&amp;", "&amp;I58&amp;", "&amp;F64&amp;", "&amp;I64</f>
        <v>BIPOLAR, TCyes, IlimRes, UVLOadj, SSint</v>
      </c>
      <c r="O56" s="367"/>
      <c r="Q56" s="414" t="s">
        <v>220</v>
      </c>
      <c r="R56" s="3" t="s">
        <v>221</v>
      </c>
      <c r="S56" s="426">
        <v>1</v>
      </c>
    </row>
    <row r="57" spans="1:19">
      <c r="A57" s="395"/>
      <c r="B57" s="365" t="s">
        <v>222</v>
      </c>
      <c r="C57" s="393">
        <v>2</v>
      </c>
      <c r="D57" s="9"/>
      <c r="E57" s="396"/>
      <c r="F57" s="365" t="s">
        <v>223</v>
      </c>
      <c r="G57" s="394" t="b">
        <v>0</v>
      </c>
      <c r="I57" s="413" t="s">
        <v>224</v>
      </c>
      <c r="J57" s="394">
        <v>2</v>
      </c>
      <c r="K57" t="str">
        <f>C59&amp;", "&amp;G58&amp;", "&amp;J58&amp;", "&amp;G64&amp;", "&amp;J64</f>
        <v>2, 1, 2, 1, 2</v>
      </c>
      <c r="O57" s="367"/>
      <c r="Q57" s="414" t="s">
        <v>225</v>
      </c>
      <c r="R57" s="3" t="s">
        <v>226</v>
      </c>
      <c r="S57" s="426">
        <v>2</v>
      </c>
    </row>
    <row r="58" spans="2:19">
      <c r="B58" s="2" t="s">
        <v>227</v>
      </c>
      <c r="C58" s="364">
        <v>3</v>
      </c>
      <c r="D58" s="9"/>
      <c r="E58" s="397" t="s">
        <v>228</v>
      </c>
      <c r="F58" s="398" t="str">
        <f>CHOOSE(G58,"TCyes","TCno")</f>
        <v>TCyes</v>
      </c>
      <c r="G58" s="399">
        <v>1</v>
      </c>
      <c r="H58" s="397" t="s">
        <v>229</v>
      </c>
      <c r="I58" s="410" t="str">
        <f>CHOOSE(J58,"IlimGND","IlimRes")</f>
        <v>IlimRes</v>
      </c>
      <c r="J58" s="399">
        <f>IF(C64=4,1,2)</f>
        <v>2</v>
      </c>
      <c r="K58" t="str">
        <f>C59&amp;G58&amp;J58&amp;G64&amp;J64</f>
        <v>21212</v>
      </c>
      <c r="O58" s="367"/>
      <c r="Q58" s="414" t="s">
        <v>230</v>
      </c>
      <c r="R58" s="3" t="s">
        <v>231</v>
      </c>
      <c r="S58" s="426">
        <v>3</v>
      </c>
    </row>
    <row r="59" spans="1:19">
      <c r="A59" s="400" t="s">
        <v>232</v>
      </c>
      <c r="B59" s="401" t="str">
        <f>CHOOSE(C59,"SINGLE",IF(Vout2_actual&gt;0,"DUAL","BIPOLAR"))</f>
        <v>BIPOLAR</v>
      </c>
      <c r="C59" s="402">
        <v>2</v>
      </c>
      <c r="D59" s="9"/>
      <c r="E59" s="9"/>
      <c r="G59" s="403">
        <f>TC</f>
        <v>1</v>
      </c>
      <c r="I59" s="399"/>
      <c r="J59" s="9"/>
      <c r="O59" s="367"/>
      <c r="Q59" s="414" t="s">
        <v>233</v>
      </c>
      <c r="R59" s="3" t="s">
        <v>234</v>
      </c>
      <c r="S59" s="426">
        <v>4</v>
      </c>
    </row>
    <row r="60" spans="1:19">
      <c r="A60" s="395"/>
      <c r="B60" s="3" t="b">
        <f>CHOOSE(C59,TRUE,FALSE)</f>
        <v>0</v>
      </c>
      <c r="C60" s="403" t="str">
        <f>CHOOSE(C59,"1",IF(Vout2&gt;0,"2","3"))</f>
        <v>2</v>
      </c>
      <c r="O60" s="367"/>
      <c r="Q60" s="414" t="s">
        <v>235</v>
      </c>
      <c r="R60" s="3" t="s">
        <v>236</v>
      </c>
      <c r="S60" s="426">
        <v>5</v>
      </c>
    </row>
    <row r="61" spans="15:19">
      <c r="O61" s="367"/>
      <c r="Q61" s="409" t="s">
        <v>237</v>
      </c>
      <c r="R61" s="204" t="str">
        <f>CHOOSE(S61,"6.3V","10V","16V","25V","50V")</f>
        <v>25V</v>
      </c>
      <c r="S61" s="415">
        <f>IF(Vout&lt;=5,1,IF(Vout&lt;=8,2,IF(Vout&lt;=12,3,IF(Vout&lt;=20,4,5))))</f>
        <v>4</v>
      </c>
    </row>
    <row r="62" spans="1:15">
      <c r="A62" s="404" t="s">
        <v>238</v>
      </c>
      <c r="B62" s="13" t="s">
        <v>218</v>
      </c>
      <c r="C62" s="393">
        <v>1</v>
      </c>
      <c r="D62" s="9"/>
      <c r="E62" s="405" t="s">
        <v>239</v>
      </c>
      <c r="F62" s="406" t="s">
        <v>240</v>
      </c>
      <c r="G62" s="394">
        <v>1</v>
      </c>
      <c r="H62" s="392" t="s">
        <v>241</v>
      </c>
      <c r="I62" s="365" t="s">
        <v>240</v>
      </c>
      <c r="J62" s="394">
        <v>1</v>
      </c>
      <c r="L62" s="413" t="s">
        <v>242</v>
      </c>
      <c r="M62" s="394">
        <v>1</v>
      </c>
      <c r="O62" s="367"/>
    </row>
    <row r="63" spans="1:21">
      <c r="A63" s="407"/>
      <c r="B63" s="13" t="s">
        <v>223</v>
      </c>
      <c r="C63" s="393">
        <v>2</v>
      </c>
      <c r="D63" s="9"/>
      <c r="F63" s="406" t="s">
        <v>243</v>
      </c>
      <c r="G63" s="394">
        <v>2</v>
      </c>
      <c r="H63" s="396"/>
      <c r="I63" s="365" t="s">
        <v>244</v>
      </c>
      <c r="J63" s="394">
        <v>2</v>
      </c>
      <c r="L63" s="413" t="s">
        <v>245</v>
      </c>
      <c r="M63" s="394">
        <v>2</v>
      </c>
      <c r="O63" s="367"/>
      <c r="R63" s="3" t="s">
        <v>246</v>
      </c>
      <c r="S63" s="3"/>
      <c r="T63" s="3" t="s">
        <v>76</v>
      </c>
      <c r="U63" s="3" t="s">
        <v>247</v>
      </c>
    </row>
    <row r="64" spans="1:21">
      <c r="A64" s="408" t="s">
        <v>248</v>
      </c>
      <c r="B64" s="401" t="str">
        <f>CHOOSE(C64,"YES","NO")</f>
        <v>YES</v>
      </c>
      <c r="C64" s="402">
        <v>1</v>
      </c>
      <c r="D64" s="9"/>
      <c r="E64" s="409" t="s">
        <v>249</v>
      </c>
      <c r="F64" s="410" t="str">
        <f>CHOOSE(G64,"UVLOadj","UVLOint")</f>
        <v>UVLOadj</v>
      </c>
      <c r="G64" s="399">
        <v>1</v>
      </c>
      <c r="H64" s="397" t="s">
        <v>250</v>
      </c>
      <c r="I64" s="398" t="str">
        <f>CHOOSE(J64,"SSadj","SSint")</f>
        <v>SSint</v>
      </c>
      <c r="J64" s="399">
        <v>2</v>
      </c>
      <c r="L64" s="419" t="s">
        <v>251</v>
      </c>
      <c r="M64" s="399">
        <v>1</v>
      </c>
      <c r="O64" s="367"/>
      <c r="R64" s="812" t="s">
        <v>252</v>
      </c>
      <c r="S64" s="426">
        <v>1</v>
      </c>
      <c r="T64" s="2" t="s">
        <v>253</v>
      </c>
      <c r="U64" s="220">
        <v>0.5</v>
      </c>
    </row>
    <row r="65" ht="13.75" spans="1:21">
      <c r="A65" s="387"/>
      <c r="B65" s="388"/>
      <c r="C65" s="428"/>
      <c r="D65" s="388"/>
      <c r="E65" s="388"/>
      <c r="F65" s="388"/>
      <c r="G65" s="388"/>
      <c r="H65" s="388"/>
      <c r="I65" s="388"/>
      <c r="J65" s="388"/>
      <c r="K65" s="388"/>
      <c r="L65" s="388"/>
      <c r="M65" s="388"/>
      <c r="N65" s="388"/>
      <c r="O65" s="367"/>
      <c r="R65" s="812" t="s">
        <v>85</v>
      </c>
      <c r="S65" s="426">
        <v>2</v>
      </c>
      <c r="T65" s="2" t="s">
        <v>254</v>
      </c>
      <c r="U65" s="220">
        <v>1.3</v>
      </c>
    </row>
    <row r="66" spans="1:21">
      <c r="A66" s="9"/>
      <c r="B66" s="9" t="b">
        <f>(CONFIG="2")</f>
        <v>1</v>
      </c>
      <c r="C66" s="356" t="str">
        <f>CONFIG</f>
        <v>2</v>
      </c>
      <c r="D66" s="9"/>
      <c r="E66" s="9"/>
      <c r="F66" s="9"/>
      <c r="G66" s="9"/>
      <c r="H66" s="9"/>
      <c r="I66" s="9"/>
      <c r="R66" s="812" t="s">
        <v>255</v>
      </c>
      <c r="S66" s="426">
        <v>3</v>
      </c>
      <c r="T66" s="2" t="s">
        <v>256</v>
      </c>
      <c r="U66" s="220">
        <v>2.5</v>
      </c>
    </row>
    <row r="67" ht="16.25" spans="1:21">
      <c r="A67" s="355" t="s">
        <v>257</v>
      </c>
      <c r="B67" s="356"/>
      <c r="C67" s="356"/>
      <c r="E67" s="9"/>
      <c r="F67" s="9"/>
      <c r="G67" s="9"/>
      <c r="H67" s="9"/>
      <c r="I67" s="9"/>
      <c r="R67" s="812" t="s">
        <v>258</v>
      </c>
      <c r="S67" s="426">
        <v>4</v>
      </c>
      <c r="T67" s="2" t="s">
        <v>259</v>
      </c>
      <c r="U67" s="220">
        <v>5.1</v>
      </c>
    </row>
    <row r="68" spans="1:21">
      <c r="A68" s="358"/>
      <c r="B68" s="429"/>
      <c r="C68" s="430"/>
      <c r="D68" s="360"/>
      <c r="E68" s="361"/>
      <c r="F68" s="360"/>
      <c r="G68" s="360"/>
      <c r="H68" s="360"/>
      <c r="I68" s="411">
        <v>1</v>
      </c>
      <c r="R68" s="812" t="s">
        <v>260</v>
      </c>
      <c r="S68" s="426">
        <v>5</v>
      </c>
      <c r="T68" s="2" t="s">
        <v>261</v>
      </c>
      <c r="U68" s="220">
        <v>8</v>
      </c>
    </row>
    <row r="69" spans="1:20">
      <c r="A69" s="362" t="s">
        <v>262</v>
      </c>
      <c r="B69" s="431">
        <f>Nps*(Vout+Vfwd2)/(VIN_min+Nps*(Vout+Vfwd2))</f>
        <v>0.555942181895852</v>
      </c>
      <c r="C69" s="9"/>
      <c r="D69" t="b">
        <f>B69&gt;0.75</f>
        <v>0</v>
      </c>
      <c r="E69" s="365"/>
      <c r="F69" s="9"/>
      <c r="G69" s="9"/>
      <c r="H69" s="9"/>
      <c r="I69" s="412">
        <v>1</v>
      </c>
      <c r="Q69" s="409" t="s">
        <v>263</v>
      </c>
      <c r="R69" s="204" t="str">
        <f>CHOOSE(S69,"0402","0603","0805","1206","1210")</f>
        <v>1210</v>
      </c>
      <c r="S69" s="415">
        <v>5</v>
      </c>
      <c r="T69" s="204" t="str">
        <f>CHOOSE(S69,T64,T65,T66,T67,T68)</f>
        <v>3.2 x 2.5</v>
      </c>
    </row>
    <row r="70" spans="1:9">
      <c r="A70" s="362" t="s">
        <v>264</v>
      </c>
      <c r="B70" s="431">
        <f>Nps*(Vout+Vfwd1)/(VIN_nom+Nps*(Vout+Vfwd1))</f>
        <v>0.505619458818101</v>
      </c>
      <c r="C70" s="9"/>
      <c r="F70" s="9"/>
      <c r="G70" s="9"/>
      <c r="H70" s="9"/>
      <c r="I70" s="412"/>
    </row>
    <row r="71" spans="1:9">
      <c r="A71" s="362" t="s">
        <v>265</v>
      </c>
      <c r="B71" s="431">
        <f>Nps*(Vout+Vfwd1)/(VIN_max+Nps*(Vout+Vfwd1))</f>
        <v>0.467129502755702</v>
      </c>
      <c r="C71" s="9"/>
      <c r="E71" s="365"/>
      <c r="F71" s="9"/>
      <c r="G71" s="9"/>
      <c r="H71" s="9"/>
      <c r="I71" s="412"/>
    </row>
    <row r="72" spans="1:26">
      <c r="A72" s="2"/>
      <c r="B72" s="9"/>
      <c r="C72" s="9"/>
      <c r="D72" s="9"/>
      <c r="E72" s="365"/>
      <c r="F72" s="9"/>
      <c r="G72" s="9"/>
      <c r="H72" s="9"/>
      <c r="I72" s="412"/>
      <c r="R72" s="3" t="s">
        <v>246</v>
      </c>
      <c r="S72" s="3"/>
      <c r="T72" s="3" t="s">
        <v>76</v>
      </c>
      <c r="U72" s="3" t="s">
        <v>247</v>
      </c>
      <c r="W72" s="3" t="s">
        <v>246</v>
      </c>
      <c r="X72" s="3"/>
      <c r="Y72" s="3" t="s">
        <v>76</v>
      </c>
      <c r="Z72" s="3" t="s">
        <v>247</v>
      </c>
    </row>
    <row r="73" spans="1:26">
      <c r="A73" s="362"/>
      <c r="B73" s="432"/>
      <c r="C73" s="365"/>
      <c r="D73" s="365"/>
      <c r="F73" s="9"/>
      <c r="G73" s="9"/>
      <c r="H73" s="9"/>
      <c r="I73" s="412"/>
      <c r="R73" s="2" t="s">
        <v>266</v>
      </c>
      <c r="S73" s="426">
        <v>1</v>
      </c>
      <c r="T73" s="406" t="s">
        <v>267</v>
      </c>
      <c r="U73" s="220">
        <v>36</v>
      </c>
      <c r="W73" s="2" t="s">
        <v>268</v>
      </c>
      <c r="X73" s="426">
        <v>1</v>
      </c>
      <c r="Y73" s="2" t="s">
        <v>254</v>
      </c>
      <c r="Z73">
        <v>1.3</v>
      </c>
    </row>
    <row r="74" spans="1:26">
      <c r="A74" s="362"/>
      <c r="B74" s="432"/>
      <c r="C74" s="9"/>
      <c r="D74" s="365"/>
      <c r="F74" s="9"/>
      <c r="G74" s="9"/>
      <c r="H74" s="9"/>
      <c r="I74" s="412"/>
      <c r="R74" s="2" t="s">
        <v>269</v>
      </c>
      <c r="S74" s="426">
        <v>2</v>
      </c>
      <c r="T74" s="406" t="s">
        <v>270</v>
      </c>
      <c r="U74" s="220">
        <v>49</v>
      </c>
      <c r="W74" s="2" t="s">
        <v>271</v>
      </c>
      <c r="X74" s="426">
        <v>2</v>
      </c>
      <c r="Y74" s="2" t="s">
        <v>272</v>
      </c>
      <c r="Z74">
        <v>3.2</v>
      </c>
    </row>
    <row r="75" spans="1:26">
      <c r="A75" s="362"/>
      <c r="B75" s="432"/>
      <c r="C75" s="365"/>
      <c r="D75" s="365"/>
      <c r="F75" s="9"/>
      <c r="G75" s="9"/>
      <c r="H75" s="9"/>
      <c r="I75" s="412"/>
      <c r="R75" s="2" t="s">
        <v>273</v>
      </c>
      <c r="S75" s="426">
        <v>3</v>
      </c>
      <c r="T75" s="406" t="s">
        <v>274</v>
      </c>
      <c r="U75" s="220">
        <v>64</v>
      </c>
      <c r="W75" s="2" t="s">
        <v>275</v>
      </c>
      <c r="X75" s="426">
        <v>3</v>
      </c>
      <c r="Y75" s="2" t="s">
        <v>276</v>
      </c>
      <c r="Z75">
        <v>6.5</v>
      </c>
    </row>
    <row r="76" ht="12.5" spans="1:26">
      <c r="A76" s="2"/>
      <c r="B76" s="8"/>
      <c r="C76"/>
      <c r="I76" s="412">
        <v>1</v>
      </c>
      <c r="R76" s="2" t="s">
        <v>277</v>
      </c>
      <c r="S76" s="426">
        <v>4</v>
      </c>
      <c r="T76" s="406" t="s">
        <v>278</v>
      </c>
      <c r="U76" s="220">
        <v>81</v>
      </c>
      <c r="W76" s="2" t="s">
        <v>279</v>
      </c>
      <c r="X76" s="426">
        <v>4</v>
      </c>
      <c r="Y76" s="2" t="s">
        <v>280</v>
      </c>
      <c r="Z76">
        <v>12.5</v>
      </c>
    </row>
    <row r="77" spans="1:26">
      <c r="A77" s="13"/>
      <c r="B77" s="433"/>
      <c r="C77" s="365"/>
      <c r="D77" s="365"/>
      <c r="E77" s="365"/>
      <c r="F77" s="9"/>
      <c r="G77" s="9"/>
      <c r="H77" s="9"/>
      <c r="I77" s="412"/>
      <c r="R77" s="2" t="s">
        <v>281</v>
      </c>
      <c r="S77" s="426">
        <v>5</v>
      </c>
      <c r="T77" s="406" t="s">
        <v>282</v>
      </c>
      <c r="U77" s="220">
        <v>100</v>
      </c>
      <c r="W77" s="2" t="s">
        <v>283</v>
      </c>
      <c r="X77" s="426">
        <v>5</v>
      </c>
      <c r="Y77" s="2" t="s">
        <v>284</v>
      </c>
      <c r="Z77">
        <v>16.5</v>
      </c>
    </row>
    <row r="78" spans="1:23">
      <c r="A78" s="13"/>
      <c r="B78" s="433"/>
      <c r="C78" s="9"/>
      <c r="D78" s="365">
        <f>Isw_min</f>
        <v>0.3</v>
      </c>
      <c r="E78" s="365"/>
      <c r="F78" s="9"/>
      <c r="G78" s="9"/>
      <c r="H78" s="9"/>
      <c r="I78" s="412"/>
      <c r="R78" s="2" t="s">
        <v>285</v>
      </c>
      <c r="S78" s="426">
        <v>6</v>
      </c>
      <c r="T78" s="406" t="s">
        <v>286</v>
      </c>
      <c r="U78" s="220">
        <v>120</v>
      </c>
      <c r="W78" s="409" t="s">
        <v>287</v>
      </c>
    </row>
    <row r="79" spans="1:21">
      <c r="A79" s="13"/>
      <c r="B79" s="433"/>
      <c r="C79" s="365"/>
      <c r="D79" s="365"/>
      <c r="E79" s="365"/>
      <c r="F79" s="9"/>
      <c r="G79" s="9"/>
      <c r="H79" s="9"/>
      <c r="I79" s="412"/>
      <c r="R79" s="2" t="s">
        <v>288</v>
      </c>
      <c r="S79" s="426">
        <v>7</v>
      </c>
      <c r="T79" s="406" t="s">
        <v>289</v>
      </c>
      <c r="U79" s="220">
        <v>143</v>
      </c>
    </row>
    <row r="80" ht="16" spans="1:17">
      <c r="A80" s="2"/>
      <c r="B80" s="9"/>
      <c r="C80" s="365"/>
      <c r="D80" s="9"/>
      <c r="E80" s="365"/>
      <c r="F80" s="9"/>
      <c r="G80" s="9"/>
      <c r="H80" s="9"/>
      <c r="I80" s="412"/>
      <c r="K80" s="2" t="s">
        <v>290</v>
      </c>
      <c r="Q80" s="409" t="s">
        <v>291</v>
      </c>
    </row>
    <row r="81" ht="12.5" spans="1:9">
      <c r="A81" s="362" t="s">
        <v>292</v>
      </c>
      <c r="B81" s="434">
        <f>'LM(2)518x PSR flyback converter'!L7/1000000</f>
        <v>2.5e-5</v>
      </c>
      <c r="C81" s="9" t="s">
        <v>293</v>
      </c>
      <c r="D81" s="365" t="s">
        <v>294</v>
      </c>
      <c r="F81" s="9"/>
      <c r="G81" s="9"/>
      <c r="H81" s="9"/>
      <c r="I81" s="412"/>
    </row>
    <row r="82" ht="12.5" spans="1:9">
      <c r="A82" s="362" t="s">
        <v>295</v>
      </c>
      <c r="B82" s="383">
        <f>'LM(2)518x PSR flyback converter'!L11</f>
        <v>80</v>
      </c>
      <c r="C82" s="9" t="s">
        <v>20</v>
      </c>
      <c r="D82" s="365"/>
      <c r="F82" s="9"/>
      <c r="G82" s="9"/>
      <c r="H82" s="9"/>
      <c r="I82" s="412"/>
    </row>
    <row r="83" ht="12.5" spans="1:9">
      <c r="A83" s="362" t="s">
        <v>296</v>
      </c>
      <c r="B83" s="363">
        <f>'LM(2)518x PSR flyback converter'!L8/1000</f>
        <v>0.041</v>
      </c>
      <c r="C83" s="370" t="s">
        <v>68</v>
      </c>
      <c r="D83" s="365" t="s">
        <v>297</v>
      </c>
      <c r="F83" s="9"/>
      <c r="G83" s="9"/>
      <c r="H83" s="9"/>
      <c r="I83" s="412"/>
    </row>
    <row r="84" ht="12.5" spans="1:9">
      <c r="A84" s="362" t="s">
        <v>298</v>
      </c>
      <c r="B84" s="363">
        <f>'LM(2)518x PSR flyback converter'!L9/1000</f>
        <v>0.1</v>
      </c>
      <c r="C84" s="370" t="s">
        <v>68</v>
      </c>
      <c r="D84" s="365" t="s">
        <v>299</v>
      </c>
      <c r="F84" s="9"/>
      <c r="G84" s="9"/>
      <c r="H84" s="9"/>
      <c r="I84" s="412">
        <v>2</v>
      </c>
    </row>
    <row r="85" ht="12.5" spans="1:9">
      <c r="A85" s="362" t="s">
        <v>300</v>
      </c>
      <c r="B85" s="363">
        <f>'LM(2)518x PSR flyback converter'!L10/1000</f>
        <v>0.07</v>
      </c>
      <c r="C85" s="370" t="s">
        <v>68</v>
      </c>
      <c r="D85" s="365" t="s">
        <v>301</v>
      </c>
      <c r="E85" s="365"/>
      <c r="F85" s="9"/>
      <c r="G85" s="9"/>
      <c r="H85" s="9"/>
      <c r="I85" s="412">
        <v>1</v>
      </c>
    </row>
    <row r="86" ht="12.5" spans="1:9">
      <c r="A86" s="362"/>
      <c r="B86" s="9"/>
      <c r="C86" s="9"/>
      <c r="D86" s="9"/>
      <c r="E86" s="9"/>
      <c r="F86" s="9"/>
      <c r="G86" s="9"/>
      <c r="H86" s="9"/>
      <c r="I86" s="412"/>
    </row>
    <row r="87" ht="15.75" customHeight="1" spans="1:9">
      <c r="A87" s="365" t="s">
        <v>302</v>
      </c>
      <c r="B87" s="435">
        <v>100</v>
      </c>
      <c r="C87" s="13" t="s">
        <v>59</v>
      </c>
      <c r="D87" s="365"/>
      <c r="E87" s="9"/>
      <c r="F87" s="9"/>
      <c r="H87" s="9"/>
      <c r="I87" s="412"/>
    </row>
    <row r="88" spans="1:9">
      <c r="A88" s="362" t="s">
        <v>303</v>
      </c>
      <c r="B88" s="436">
        <f>Rdcr_pri*(1+0.0039*(B87-25))</f>
        <v>0.0529925</v>
      </c>
      <c r="C88" s="370" t="s">
        <v>68</v>
      </c>
      <c r="D88" s="9"/>
      <c r="H88" s="9"/>
      <c r="I88" s="412"/>
    </row>
    <row r="89" spans="1:9">
      <c r="A89" s="362" t="s">
        <v>304</v>
      </c>
      <c r="B89" s="436">
        <f>Rdcr_sec*(1+0.0039*(B87-25))</f>
        <v>0.12925</v>
      </c>
      <c r="C89" s="370" t="s">
        <v>68</v>
      </c>
      <c r="D89" s="9"/>
      <c r="H89" s="9"/>
      <c r="I89" s="412"/>
    </row>
    <row r="90" spans="1:9">
      <c r="A90" s="362" t="s">
        <v>305</v>
      </c>
      <c r="B90" s="436">
        <f>Rdcr_sec2*(1+0.0039*(B87-25))</f>
        <v>0.090475</v>
      </c>
      <c r="C90" s="370" t="s">
        <v>68</v>
      </c>
      <c r="D90" s="9"/>
      <c r="H90" s="9"/>
      <c r="I90" s="412"/>
    </row>
    <row r="91" spans="1:9">
      <c r="A91" s="13" t="s">
        <v>306</v>
      </c>
      <c r="B91">
        <f>CHOOSE(VARIANT,450,375,450,375,425)</f>
        <v>450</v>
      </c>
      <c r="C91" s="3" t="s">
        <v>307</v>
      </c>
      <c r="I91" s="412"/>
    </row>
    <row r="92" spans="1:9">
      <c r="A92" t="s">
        <v>308</v>
      </c>
      <c r="B92" s="437">
        <f>(Vout+Vfwd1)*Nps*toff_max*0.000000001/Isw_min*1000000</f>
        <v>18.4092</v>
      </c>
      <c r="C92" s="3" t="s">
        <v>309</v>
      </c>
      <c r="I92" s="412"/>
    </row>
    <row r="93" ht="13.75" spans="1:9">
      <c r="A93" s="438" t="s">
        <v>310</v>
      </c>
      <c r="B93" s="439">
        <f>CHOOSE(VARIANT,2,1,2,3,5)</f>
        <v>2</v>
      </c>
      <c r="C93" s="389" t="s">
        <v>18</v>
      </c>
      <c r="D93" s="388"/>
      <c r="E93" s="388"/>
      <c r="F93" s="388"/>
      <c r="G93" s="388"/>
      <c r="H93" s="388"/>
      <c r="I93" s="418"/>
    </row>
    <row r="94" spans="1:9">
      <c r="A94" s="356"/>
      <c r="B94" s="440"/>
      <c r="C94" s="440"/>
      <c r="D94" s="9"/>
      <c r="E94" s="9"/>
      <c r="F94" s="9"/>
      <c r="G94" s="9"/>
      <c r="H94" s="9"/>
      <c r="I94" s="9"/>
    </row>
    <row r="96" ht="16.25" spans="1:9">
      <c r="A96" s="355" t="s">
        <v>311</v>
      </c>
      <c r="B96" s="9"/>
      <c r="D96" s="356"/>
      <c r="E96" s="9"/>
      <c r="F96" s="9"/>
      <c r="G96" s="9"/>
      <c r="H96" s="9"/>
      <c r="I96" s="9"/>
    </row>
    <row r="97" ht="12.5" spans="1:12">
      <c r="A97" s="358" t="s">
        <v>312</v>
      </c>
      <c r="B97" s="441"/>
      <c r="C97" s="442" t="s">
        <v>18</v>
      </c>
      <c r="D97" s="361" t="s">
        <v>313</v>
      </c>
      <c r="E97" s="360"/>
      <c r="F97" s="360"/>
      <c r="G97" s="360"/>
      <c r="H97" s="360"/>
      <c r="I97" s="411"/>
      <c r="L97" s="192"/>
    </row>
    <row r="98" ht="12.5" spans="1:12">
      <c r="A98" s="362" t="s">
        <v>314</v>
      </c>
      <c r="B98" s="380"/>
      <c r="C98" s="13" t="s">
        <v>18</v>
      </c>
      <c r="D98" s="9"/>
      <c r="E98" s="365"/>
      <c r="F98" s="9"/>
      <c r="G98" s="9"/>
      <c r="H98" s="9"/>
      <c r="I98" s="412"/>
      <c r="L98" s="192"/>
    </row>
    <row r="99" ht="12.5" spans="1:12">
      <c r="A99" s="362" t="s">
        <v>315</v>
      </c>
      <c r="B99" s="380"/>
      <c r="C99" s="13" t="s">
        <v>18</v>
      </c>
      <c r="D99" s="9"/>
      <c r="E99" s="365"/>
      <c r="F99" s="9"/>
      <c r="G99" s="9"/>
      <c r="H99" s="9"/>
      <c r="I99" s="412"/>
      <c r="L99" s="192"/>
    </row>
    <row r="100" ht="12.5" spans="1:12">
      <c r="A100" s="362"/>
      <c r="B100" s="443"/>
      <c r="C100" s="13"/>
      <c r="D100" s="9"/>
      <c r="E100" s="365"/>
      <c r="F100" s="9"/>
      <c r="G100" s="9"/>
      <c r="H100" s="9"/>
      <c r="I100" s="412"/>
      <c r="L100" s="192"/>
    </row>
    <row r="101" ht="12.5" spans="1:12">
      <c r="A101" s="362" t="s">
        <v>316</v>
      </c>
      <c r="B101" s="444">
        <f>Vout_ripple</f>
        <v>180</v>
      </c>
      <c r="C101" s="13" t="s">
        <v>177</v>
      </c>
      <c r="D101" s="365" t="s">
        <v>317</v>
      </c>
      <c r="F101" s="9"/>
      <c r="G101" s="9"/>
      <c r="H101" s="9"/>
      <c r="I101" s="412"/>
      <c r="L101" s="192"/>
    </row>
    <row r="102" spans="1:9">
      <c r="A102" s="445" t="s">
        <v>318</v>
      </c>
      <c r="B102" s="446">
        <f>MAX(4.7,CHOOSE(MODE,'Calculations - Single'!BA212,'Calculations - Dual'!AW105))</f>
        <v>20.1076373742966</v>
      </c>
      <c r="C102" s="447" t="s">
        <v>25</v>
      </c>
      <c r="D102" s="365" t="s">
        <v>319</v>
      </c>
      <c r="E102" s="365"/>
      <c r="F102" s="9"/>
      <c r="G102" s="9"/>
      <c r="H102" s="9"/>
      <c r="I102" s="412"/>
    </row>
    <row r="103" ht="12.5" spans="1:9">
      <c r="A103" s="362" t="s">
        <v>320</v>
      </c>
      <c r="B103" s="448">
        <f>'LM(2)518x PSR flyback converter'!E22</f>
        <v>22</v>
      </c>
      <c r="C103" s="447" t="s">
        <v>25</v>
      </c>
      <c r="D103" s="365" t="s">
        <v>321</v>
      </c>
      <c r="F103" s="9"/>
      <c r="G103" s="9"/>
      <c r="H103" s="9"/>
      <c r="I103" s="412"/>
    </row>
    <row r="104" ht="12.5" spans="1:9">
      <c r="A104" s="449" t="s">
        <v>322</v>
      </c>
      <c r="B104" s="450">
        <f>(Vripple1_spec-Iout*B106/Cout*1000)/Iout</f>
        <v>-141.891720140766</v>
      </c>
      <c r="C104" s="370" t="s">
        <v>323</v>
      </c>
      <c r="D104" s="365" t="s">
        <v>324</v>
      </c>
      <c r="F104" s="9"/>
      <c r="G104" s="9"/>
      <c r="H104" s="9"/>
      <c r="I104" s="412"/>
    </row>
    <row r="105" ht="12.5" spans="1:9">
      <c r="A105" s="362" t="s">
        <v>325</v>
      </c>
      <c r="B105" s="451">
        <f>'LM(2)518x PSR flyback converter'!E23</f>
        <v>3</v>
      </c>
      <c r="C105" s="370" t="s">
        <v>323</v>
      </c>
      <c r="D105" s="365" t="s">
        <v>326</v>
      </c>
      <c r="F105" s="9"/>
      <c r="G105" s="9"/>
      <c r="H105" s="9"/>
      <c r="I105" s="412"/>
    </row>
    <row r="106" ht="12.5" spans="1:9">
      <c r="A106" s="362" t="s">
        <v>327</v>
      </c>
      <c r="B106" s="452">
        <f>CHOOSE(MODE,'Calculations - Single'!AT105,'Calculations - Dual'!AR105)</f>
        <v>11.0416178430969</v>
      </c>
      <c r="C106" s="447" t="s">
        <v>328</v>
      </c>
      <c r="D106" s="365"/>
      <c r="F106" s="9"/>
      <c r="G106" s="9"/>
      <c r="H106" s="9"/>
      <c r="I106" s="412"/>
    </row>
    <row r="107" spans="1:9">
      <c r="A107" s="375" t="s">
        <v>329</v>
      </c>
      <c r="B107" s="453">
        <f>'Calculations - Single'!BB105</f>
        <v>166.017033062427</v>
      </c>
      <c r="C107" s="365" t="s">
        <v>330</v>
      </c>
      <c r="D107" s="365" t="s">
        <v>331</v>
      </c>
      <c r="F107" s="9"/>
      <c r="G107" s="9"/>
      <c r="H107" s="204" t="s">
        <v>332</v>
      </c>
      <c r="I107" s="412"/>
    </row>
    <row r="108" spans="1:9">
      <c r="A108" s="375"/>
      <c r="B108" s="452"/>
      <c r="C108" s="365"/>
      <c r="D108" s="365"/>
      <c r="F108" s="9"/>
      <c r="G108" s="9"/>
      <c r="H108" s="9"/>
      <c r="I108" s="412"/>
    </row>
    <row r="109" spans="1:9">
      <c r="A109" s="375"/>
      <c r="B109" s="452"/>
      <c r="C109" s="365"/>
      <c r="D109" s="365"/>
      <c r="F109" s="9"/>
      <c r="G109" s="9"/>
      <c r="H109" s="9"/>
      <c r="I109" s="412"/>
    </row>
    <row r="110" ht="15.5" spans="1:9">
      <c r="A110" s="454" t="s">
        <v>333</v>
      </c>
      <c r="B110" s="452"/>
      <c r="C110" s="447"/>
      <c r="D110" s="365"/>
      <c r="F110" s="9"/>
      <c r="G110" s="9"/>
      <c r="H110" s="9"/>
      <c r="I110" s="412"/>
    </row>
    <row r="111" ht="12.5" spans="1:9">
      <c r="A111" s="362" t="s">
        <v>334</v>
      </c>
      <c r="B111" s="444">
        <f>Vout_ripple2</f>
        <v>50</v>
      </c>
      <c r="C111" s="13" t="s">
        <v>177</v>
      </c>
      <c r="D111" s="365" t="s">
        <v>335</v>
      </c>
      <c r="F111" s="9"/>
      <c r="G111" s="9"/>
      <c r="H111" s="9"/>
      <c r="I111" s="412"/>
    </row>
    <row r="112" spans="1:9">
      <c r="A112" s="445" t="s">
        <v>336</v>
      </c>
      <c r="B112" s="452">
        <f>MAX(4.7,'Calculations - Dual'!AY105)</f>
        <v>14.3647440975709</v>
      </c>
      <c r="C112" s="447" t="s">
        <v>25</v>
      </c>
      <c r="D112" s="365" t="s">
        <v>319</v>
      </c>
      <c r="F112" s="9"/>
      <c r="G112" s="9"/>
      <c r="H112" s="9"/>
      <c r="I112" s="412"/>
    </row>
    <row r="113" ht="12.5" spans="1:9">
      <c r="A113" s="362" t="s">
        <v>337</v>
      </c>
      <c r="B113" s="448">
        <f>'LM(2)518x PSR flyback converter'!L22</f>
        <v>10</v>
      </c>
      <c r="C113" s="447" t="s">
        <v>25</v>
      </c>
      <c r="D113" s="365" t="s">
        <v>321</v>
      </c>
      <c r="F113" s="9"/>
      <c r="G113" s="9"/>
      <c r="H113" s="9"/>
      <c r="I113" s="412"/>
    </row>
    <row r="114" spans="1:9">
      <c r="A114" s="449" t="s">
        <v>338</v>
      </c>
      <c r="B114" s="450">
        <f>(Vout_ripple2-Iout2*B116/Cout2*1000)/Iout2</f>
        <v>-187.5</v>
      </c>
      <c r="C114" s="370" t="s">
        <v>323</v>
      </c>
      <c r="D114" s="365" t="s">
        <v>324</v>
      </c>
      <c r="F114" s="9"/>
      <c r="G114" s="9"/>
      <c r="H114" s="204" t="s">
        <v>339</v>
      </c>
      <c r="I114" s="412"/>
    </row>
    <row r="115" ht="12.5" spans="1:9">
      <c r="A115" s="362" t="s">
        <v>340</v>
      </c>
      <c r="B115" s="451">
        <f>'LM(2)518x PSR flyback converter'!L23</f>
        <v>2</v>
      </c>
      <c r="C115" s="370" t="s">
        <v>323</v>
      </c>
      <c r="D115" s="365" t="s">
        <v>326</v>
      </c>
      <c r="F115" s="9"/>
      <c r="G115" s="9"/>
      <c r="I115" s="412"/>
    </row>
    <row r="116" spans="1:9">
      <c r="A116" s="362" t="s">
        <v>327</v>
      </c>
      <c r="B116" s="452">
        <f>'Calculations - Dual'!AS105</f>
        <v>3.125</v>
      </c>
      <c r="C116" s="447" t="s">
        <v>328</v>
      </c>
      <c r="D116" s="365"/>
      <c r="F116" s="9"/>
      <c r="G116" s="9"/>
      <c r="H116" s="204" t="s">
        <v>339</v>
      </c>
      <c r="I116" s="412"/>
    </row>
    <row r="117" spans="1:9">
      <c r="A117" s="375" t="s">
        <v>329</v>
      </c>
      <c r="B117" s="455">
        <f>'Calculations - Dual'!AZ105</f>
        <v>72.6237204878543</v>
      </c>
      <c r="C117" s="365" t="s">
        <v>330</v>
      </c>
      <c r="D117" s="365" t="s">
        <v>341</v>
      </c>
      <c r="F117" s="9"/>
      <c r="G117" s="9"/>
      <c r="H117" s="9"/>
      <c r="I117" s="412"/>
    </row>
    <row r="118" spans="1:9">
      <c r="A118" s="356"/>
      <c r="B118" s="452"/>
      <c r="C118" s="365"/>
      <c r="D118" s="365"/>
      <c r="F118" s="9"/>
      <c r="G118" s="9"/>
      <c r="H118" s="9"/>
      <c r="I118" s="412"/>
    </row>
    <row r="119" ht="13.25" spans="1:9">
      <c r="A119" s="388"/>
      <c r="B119" s="388"/>
      <c r="C119" s="388"/>
      <c r="D119" s="388"/>
      <c r="E119" s="388"/>
      <c r="F119" s="388"/>
      <c r="G119" s="388"/>
      <c r="H119" s="388"/>
      <c r="I119" s="418"/>
    </row>
    <row r="121" ht="13.75" spans="1:9">
      <c r="A121" s="9"/>
      <c r="B121" s="9"/>
      <c r="C121" s="356"/>
      <c r="D121" s="9"/>
      <c r="E121" s="9"/>
      <c r="F121" s="9"/>
      <c r="G121" s="9"/>
      <c r="H121" s="9"/>
      <c r="I121" s="9"/>
    </row>
    <row r="122" ht="15.5" spans="1:9">
      <c r="A122" s="456" t="s">
        <v>342</v>
      </c>
      <c r="B122" s="457"/>
      <c r="C122" s="458"/>
      <c r="D122" s="457"/>
      <c r="E122" s="457"/>
      <c r="F122" s="457"/>
      <c r="G122" s="457"/>
      <c r="H122" s="457"/>
      <c r="I122" s="465"/>
    </row>
    <row r="123" ht="12.5" spans="1:9">
      <c r="A123" s="459" t="s">
        <v>343</v>
      </c>
      <c r="B123" s="460">
        <f>0.05*VIN_nom</f>
        <v>0.6</v>
      </c>
      <c r="C123" s="13" t="s">
        <v>344</v>
      </c>
      <c r="D123" s="2" t="s">
        <v>345</v>
      </c>
      <c r="E123" s="9"/>
      <c r="F123" s="9"/>
      <c r="G123" s="9"/>
      <c r="H123" s="9"/>
      <c r="I123" s="466"/>
    </row>
    <row r="124" ht="12.5" spans="1:9">
      <c r="A124" s="459"/>
      <c r="B124" s="11"/>
      <c r="C124" s="13"/>
      <c r="E124" s="9"/>
      <c r="F124" s="9"/>
      <c r="G124" s="9"/>
      <c r="H124" s="9"/>
      <c r="I124" s="466"/>
    </row>
    <row r="125" ht="12.5" spans="1:9">
      <c r="A125" s="449" t="s">
        <v>346</v>
      </c>
      <c r="B125" s="461"/>
      <c r="C125" s="447" t="s">
        <v>347</v>
      </c>
      <c r="E125" s="9"/>
      <c r="F125" s="9"/>
      <c r="G125" s="9"/>
      <c r="H125" s="9"/>
      <c r="I125" s="466"/>
    </row>
    <row r="126" ht="12.5" spans="1:9">
      <c r="A126" s="449" t="s">
        <v>348</v>
      </c>
      <c r="B126" s="462">
        <f>'Calculations - Single'!BC105</f>
        <v>37.6172539672949</v>
      </c>
      <c r="C126" s="447" t="s">
        <v>25</v>
      </c>
      <c r="E126" s="9"/>
      <c r="F126" s="9"/>
      <c r="G126" s="9"/>
      <c r="H126" s="9"/>
      <c r="I126" s="466"/>
    </row>
    <row r="127" ht="12.5" spans="1:9">
      <c r="A127" s="449" t="s">
        <v>349</v>
      </c>
      <c r="B127" s="463">
        <f>MAX(2.2,Cinmin)</f>
        <v>37.6172539672949</v>
      </c>
      <c r="C127" s="447" t="s">
        <v>25</v>
      </c>
      <c r="E127" s="9"/>
      <c r="F127" s="9"/>
      <c r="G127" s="9"/>
      <c r="H127" s="9"/>
      <c r="I127" s="466"/>
    </row>
    <row r="128" ht="12.5" spans="1:9">
      <c r="A128" s="449" t="s">
        <v>350</v>
      </c>
      <c r="B128" s="464">
        <f>'LM(2)518x PSR flyback converter'!E18</f>
        <v>100</v>
      </c>
      <c r="C128" s="447" t="s">
        <v>25</v>
      </c>
      <c r="D128" s="9" t="s">
        <v>351</v>
      </c>
      <c r="F128" s="9"/>
      <c r="G128" s="9"/>
      <c r="H128" s="9"/>
      <c r="I128" s="466"/>
    </row>
    <row r="129" ht="12.5" spans="1:9">
      <c r="A129" s="449"/>
      <c r="B129" s="467"/>
      <c r="C129" s="447"/>
      <c r="D129" s="9"/>
      <c r="F129" s="9"/>
      <c r="G129" s="9"/>
      <c r="H129" s="9"/>
      <c r="I129" s="466"/>
    </row>
    <row r="130" ht="12.5" spans="1:9">
      <c r="A130" s="468" t="s">
        <v>352</v>
      </c>
      <c r="B130" s="380">
        <f>(Vinripple1-B133*B135/Cin)/B134</f>
        <v>0.346245187485145</v>
      </c>
      <c r="C130" s="370" t="s">
        <v>68</v>
      </c>
      <c r="D130" s="9"/>
      <c r="F130" s="9"/>
      <c r="G130" s="9"/>
      <c r="H130" s="9"/>
      <c r="I130" s="466"/>
    </row>
    <row r="131" ht="12.5" spans="1:9">
      <c r="A131" s="449" t="s">
        <v>353</v>
      </c>
      <c r="B131" s="469">
        <f>'LM(2)518x PSR flyback converter'!E19/1000</f>
        <v>0.003</v>
      </c>
      <c r="C131" s="370" t="s">
        <v>68</v>
      </c>
      <c r="D131" s="365" t="s">
        <v>354</v>
      </c>
      <c r="F131" s="9"/>
      <c r="G131" s="9"/>
      <c r="H131" s="9"/>
      <c r="I131" s="466"/>
    </row>
    <row r="132" spans="1:9">
      <c r="A132" s="449" t="s">
        <v>355</v>
      </c>
      <c r="B132" s="470">
        <f>'LM(2)518x PSR flyback converter'!E19</f>
        <v>3</v>
      </c>
      <c r="C132" s="4" t="s">
        <v>356</v>
      </c>
      <c r="D132" s="365"/>
      <c r="F132" s="9"/>
      <c r="G132" s="9"/>
      <c r="H132" s="9"/>
      <c r="I132" s="466"/>
    </row>
    <row r="133" ht="12.5" spans="1:9">
      <c r="A133" s="449" t="s">
        <v>357</v>
      </c>
      <c r="B133" s="471">
        <f>Pout_total/VIN_nom/Efficiency</f>
        <v>1.01851851851852</v>
      </c>
      <c r="C133" s="365" t="s">
        <v>18</v>
      </c>
      <c r="D133" s="365"/>
      <c r="F133" s="9"/>
      <c r="G133" s="9"/>
      <c r="H133" s="9"/>
      <c r="I133" s="466"/>
    </row>
    <row r="134" ht="12.5" spans="1:9">
      <c r="A134" s="449" t="s">
        <v>358</v>
      </c>
      <c r="B134" s="471">
        <f>CHOOSE(MODE,'Calculations - Single'!AJ105,'Calculations - Dual'!$AI$105)</f>
        <v>1.5</v>
      </c>
      <c r="C134" s="365" t="s">
        <v>18</v>
      </c>
      <c r="D134" s="365"/>
      <c r="F134" s="9"/>
      <c r="G134" s="9"/>
      <c r="H134" s="9"/>
      <c r="I134" s="466"/>
    </row>
    <row r="135" ht="12.5" spans="1:9">
      <c r="A135" s="449" t="s">
        <v>359</v>
      </c>
      <c r="B135" s="471">
        <f>CHOOSE(MODE,'Calculations - Single'!AU105,'Calculations - Dual'!$AT$105)</f>
        <v>7.91661784309686</v>
      </c>
      <c r="C135" s="447" t="s">
        <v>328</v>
      </c>
      <c r="D135" s="365"/>
      <c r="F135" s="9"/>
      <c r="G135" s="9"/>
      <c r="H135" s="9"/>
      <c r="I135" s="466"/>
    </row>
    <row r="136" ht="12.5" spans="1:9">
      <c r="A136" s="449" t="s">
        <v>360</v>
      </c>
      <c r="B136" s="462">
        <f>CHOOSE(MODE,'Calculations - Single'!BD105,'Calculations - Dual'!$BB$105)</f>
        <v>31.1586140035634</v>
      </c>
      <c r="C136" s="447" t="s">
        <v>330</v>
      </c>
      <c r="D136" s="2" t="s">
        <v>361</v>
      </c>
      <c r="E136" s="472"/>
      <c r="F136" s="447"/>
      <c r="G136" s="9"/>
      <c r="H136" s="9"/>
      <c r="I136" s="466"/>
    </row>
    <row r="137" ht="13.25" spans="1:9">
      <c r="A137" s="473"/>
      <c r="B137" s="474"/>
      <c r="C137" s="474"/>
      <c r="D137" s="474"/>
      <c r="E137" s="475"/>
      <c r="F137" s="475"/>
      <c r="G137" s="475"/>
      <c r="H137" s="475"/>
      <c r="I137" s="511"/>
    </row>
    <row r="138" spans="1:9">
      <c r="A138" s="9"/>
      <c r="B138" s="9"/>
      <c r="C138" s="356"/>
      <c r="D138" s="9"/>
      <c r="E138" s="9"/>
      <c r="F138" s="9"/>
      <c r="G138" s="9"/>
      <c r="H138" s="9"/>
      <c r="I138" s="9"/>
    </row>
    <row r="139" ht="16.25" spans="1:9">
      <c r="A139" s="355" t="s">
        <v>362</v>
      </c>
      <c r="B139" s="9"/>
      <c r="C139" s="356"/>
      <c r="D139" s="9"/>
      <c r="E139" s="9"/>
      <c r="F139" s="9"/>
      <c r="G139" s="9"/>
      <c r="H139" s="9"/>
      <c r="I139" s="9"/>
    </row>
    <row r="140" ht="12.5" spans="1:9">
      <c r="A140" s="476" t="s">
        <v>363</v>
      </c>
      <c r="B140" s="359">
        <f>'LM(2)518x PSR flyback converter'!E30/1000</f>
        <v>0.009</v>
      </c>
      <c r="C140" s="360" t="s">
        <v>364</v>
      </c>
      <c r="D140" s="361" t="s">
        <v>365</v>
      </c>
      <c r="E140" s="360"/>
      <c r="F140" s="360"/>
      <c r="G140" s="360"/>
      <c r="H140" s="360"/>
      <c r="I140" s="411"/>
    </row>
    <row r="141" ht="12.5" spans="1:9">
      <c r="A141" s="367" t="s">
        <v>366</v>
      </c>
      <c r="B141" s="477">
        <v>5e-6</v>
      </c>
      <c r="C141" s="9" t="s">
        <v>18</v>
      </c>
      <c r="D141" s="365" t="s">
        <v>367</v>
      </c>
      <c r="E141" s="9"/>
      <c r="F141" s="9"/>
      <c r="G141" s="9"/>
      <c r="H141" s="9"/>
      <c r="I141" s="412"/>
    </row>
    <row r="142" ht="12.5" spans="1:9">
      <c r="A142" s="367" t="s">
        <v>368</v>
      </c>
      <c r="B142" s="477">
        <f>0.000005*Tss/1</f>
        <v>4.5e-8</v>
      </c>
      <c r="C142" s="9" t="s">
        <v>369</v>
      </c>
      <c r="D142" s="365" t="s">
        <v>370</v>
      </c>
      <c r="E142" s="9"/>
      <c r="F142" s="9"/>
      <c r="G142" s="9"/>
      <c r="H142" s="9"/>
      <c r="I142" s="412"/>
    </row>
    <row r="143" ht="13.25" spans="1:9">
      <c r="A143" s="387" t="s">
        <v>371</v>
      </c>
      <c r="B143" s="478">
        <f>'Standard Value Calculator'!B4</f>
        <v>4.7e-8</v>
      </c>
      <c r="C143" s="388" t="s">
        <v>369</v>
      </c>
      <c r="D143" s="389" t="s">
        <v>372</v>
      </c>
      <c r="E143" s="388"/>
      <c r="F143" s="388"/>
      <c r="G143" s="388"/>
      <c r="H143" s="388"/>
      <c r="I143" s="418"/>
    </row>
    <row r="145" ht="16.25" spans="1:9">
      <c r="A145" s="355" t="s">
        <v>373</v>
      </c>
      <c r="B145" s="9"/>
      <c r="C145" s="356"/>
      <c r="D145" s="9"/>
      <c r="E145" s="9"/>
      <c r="F145" s="9"/>
      <c r="G145" s="9"/>
      <c r="H145" s="9"/>
      <c r="I145" s="9"/>
    </row>
    <row r="146" ht="12.75" customHeight="1" spans="1:9">
      <c r="A146" s="358"/>
      <c r="B146" s="479"/>
      <c r="C146" s="480"/>
      <c r="D146" s="361"/>
      <c r="E146" s="360"/>
      <c r="F146" s="360"/>
      <c r="G146" s="360"/>
      <c r="H146" s="360"/>
      <c r="I146" s="411"/>
    </row>
    <row r="147" ht="12.75" customHeight="1" spans="1:9">
      <c r="A147" s="362" t="s">
        <v>374</v>
      </c>
      <c r="B147" s="481">
        <v>1.5</v>
      </c>
      <c r="C147" s="365" t="s">
        <v>9</v>
      </c>
      <c r="D147" s="365"/>
      <c r="E147" s="9"/>
      <c r="F147" s="9"/>
      <c r="G147" s="9"/>
      <c r="H147" s="9"/>
      <c r="I147" s="412"/>
    </row>
    <row r="148" ht="12.75" customHeight="1" spans="1:9">
      <c r="A148" s="362" t="s">
        <v>375</v>
      </c>
      <c r="B148" s="481">
        <v>1.45</v>
      </c>
      <c r="C148" s="365" t="s">
        <v>9</v>
      </c>
      <c r="D148" s="365"/>
      <c r="E148" s="9"/>
      <c r="F148" s="9"/>
      <c r="G148" s="9"/>
      <c r="H148" s="9"/>
      <c r="I148" s="412"/>
    </row>
    <row r="149" ht="12.75" customHeight="1" spans="1:9">
      <c r="A149" s="362" t="s">
        <v>376</v>
      </c>
      <c r="B149" s="396">
        <f>B147-B148</f>
        <v>0.05</v>
      </c>
      <c r="C149" s="365" t="s">
        <v>9</v>
      </c>
      <c r="D149" s="365"/>
      <c r="E149" s="9"/>
      <c r="F149" s="9"/>
      <c r="G149" s="9"/>
      <c r="H149" s="9"/>
      <c r="I149" s="412"/>
    </row>
    <row r="150" ht="12.75" customHeight="1" spans="1:9">
      <c r="A150" s="362" t="s">
        <v>377</v>
      </c>
      <c r="B150" s="9">
        <v>0</v>
      </c>
      <c r="C150" s="13" t="s">
        <v>18</v>
      </c>
      <c r="D150" s="365"/>
      <c r="E150" s="9"/>
      <c r="F150" s="9"/>
      <c r="G150" s="9"/>
      <c r="H150" s="9"/>
      <c r="I150" s="412"/>
    </row>
    <row r="151" ht="12.75" customHeight="1" spans="1:9">
      <c r="A151" s="362" t="s">
        <v>378</v>
      </c>
      <c r="B151" s="482">
        <v>0.005</v>
      </c>
      <c r="C151" s="13" t="s">
        <v>347</v>
      </c>
      <c r="D151" s="365"/>
      <c r="E151" s="9"/>
      <c r="F151" s="9"/>
      <c r="G151" s="9"/>
      <c r="H151" s="9"/>
      <c r="I151" s="412"/>
    </row>
    <row r="152" ht="12.75" customHeight="1" spans="1:9">
      <c r="A152" s="362" t="s">
        <v>379</v>
      </c>
      <c r="B152" s="483">
        <f>Iuvlo2-Iuvlo1</f>
        <v>0.005</v>
      </c>
      <c r="C152" s="13" t="s">
        <v>347</v>
      </c>
      <c r="D152" s="365"/>
      <c r="F152" s="9"/>
      <c r="G152" s="9"/>
      <c r="H152" s="9"/>
      <c r="I152" s="412"/>
    </row>
    <row r="153" ht="12.75" customHeight="1" spans="1:9">
      <c r="A153" s="362"/>
      <c r="B153" s="396"/>
      <c r="C153" s="392"/>
      <c r="D153" s="365"/>
      <c r="E153" s="9"/>
      <c r="F153" s="9"/>
      <c r="G153" s="9"/>
      <c r="H153" s="9"/>
      <c r="I153" s="412"/>
    </row>
    <row r="154" ht="12.75" customHeight="1" spans="1:9">
      <c r="A154" s="362" t="s">
        <v>380</v>
      </c>
      <c r="B154" s="484">
        <f>'LM(2)518x PSR flyback converter'!E36</f>
        <v>10</v>
      </c>
      <c r="C154" s="13" t="s">
        <v>9</v>
      </c>
      <c r="E154" s="9"/>
      <c r="F154" s="9"/>
      <c r="G154" s="9"/>
      <c r="H154" s="9"/>
      <c r="I154" s="412"/>
    </row>
    <row r="155" ht="12.75" customHeight="1" spans="1:9">
      <c r="A155" s="362" t="s">
        <v>381</v>
      </c>
      <c r="B155" s="484">
        <f>'LM(2)518x PSR flyback converter'!E37</f>
        <v>8</v>
      </c>
      <c r="C155" s="13" t="s">
        <v>9</v>
      </c>
      <c r="E155" s="9"/>
      <c r="F155" s="9"/>
      <c r="G155" s="9"/>
      <c r="H155" s="9"/>
      <c r="I155" s="412"/>
    </row>
    <row r="156" ht="12.75" customHeight="1" spans="1:9">
      <c r="A156" s="362"/>
      <c r="B156" s="396"/>
      <c r="C156" s="13"/>
      <c r="E156" s="9"/>
      <c r="F156" s="9"/>
      <c r="G156" s="9"/>
      <c r="H156" s="9"/>
      <c r="I156" s="412"/>
    </row>
    <row r="157" ht="12.75" customHeight="1" spans="1:9">
      <c r="A157" s="362" t="s">
        <v>94</v>
      </c>
      <c r="B157" s="485">
        <f>(VINuvlo_off-VINuvlo_on*Vuvlo_off/Vuvlo_on)/(Iuvlo1*Vuvlo_off/Vuvlo_on-Iuvlo2)</f>
        <v>333.333333333333</v>
      </c>
      <c r="C157" s="4" t="s">
        <v>382</v>
      </c>
      <c r="D157" s="9">
        <f>'Standard Value Calculator'!J16</f>
        <v>332</v>
      </c>
      <c r="E157" s="4" t="s">
        <v>382</v>
      </c>
      <c r="F157" s="396">
        <f>IF(Ruvlo1&lt;0,"N/A",D157)</f>
        <v>332</v>
      </c>
      <c r="G157" s="396" t="str">
        <f>IF(Ruvlo1&lt;0,"N/A",D157&amp;"kΩ")</f>
        <v>332kΩ</v>
      </c>
      <c r="I157" s="412"/>
    </row>
    <row r="158" ht="12.75" customHeight="1" spans="1:9">
      <c r="A158" s="362" t="s">
        <v>95</v>
      </c>
      <c r="B158" s="486">
        <f>D157*Vuvlo_on/(VINuvlo_on-Vuvlo_on+Ruvlo1*Iuvlo1)</f>
        <v>58.5882352941176</v>
      </c>
      <c r="C158" s="4" t="s">
        <v>382</v>
      </c>
      <c r="D158" s="9">
        <f>'Standard Value Calculator'!J17</f>
        <v>59</v>
      </c>
      <c r="E158" s="4" t="s">
        <v>382</v>
      </c>
      <c r="F158" s="396">
        <f>IF(F157="N/A","N/A",D158)</f>
        <v>59</v>
      </c>
      <c r="G158" s="396" t="str">
        <f>IF(G157="N/A","N/A",D158&amp;"kΩ")</f>
        <v>59kΩ</v>
      </c>
      <c r="I158" s="412"/>
    </row>
    <row r="159" ht="12.75" customHeight="1" spans="1:9">
      <c r="A159" s="362"/>
      <c r="B159" s="487"/>
      <c r="C159" s="4"/>
      <c r="D159" s="396"/>
      <c r="E159" s="4"/>
      <c r="F159" s="396"/>
      <c r="G159" s="396"/>
      <c r="I159" s="412"/>
    </row>
    <row r="160" ht="12.75" customHeight="1" spans="1:9">
      <c r="A160" s="362" t="s">
        <v>383</v>
      </c>
      <c r="B160" s="488">
        <f>(D157+D158)/D158*Vuvlo_on</f>
        <v>9.9406779661017</v>
      </c>
      <c r="C160" s="3" t="s">
        <v>9</v>
      </c>
      <c r="E160" s="9"/>
      <c r="F160" s="4"/>
      <c r="G160" s="9"/>
      <c r="H160" s="9"/>
      <c r="I160" s="412"/>
    </row>
    <row r="161" ht="12.75" customHeight="1" spans="1:9">
      <c r="A161" s="362" t="s">
        <v>384</v>
      </c>
      <c r="B161" s="488">
        <f>(D157+D158)/D158*Vuvlo_off-Iuvlo2*D157</f>
        <v>7.94932203389831</v>
      </c>
      <c r="C161" s="3" t="s">
        <v>9</v>
      </c>
      <c r="E161" s="9"/>
      <c r="F161" s="4"/>
      <c r="G161" s="9"/>
      <c r="H161" s="9"/>
      <c r="I161" s="412"/>
    </row>
    <row r="162" ht="12.75" customHeight="1" spans="1:9">
      <c r="A162" s="387"/>
      <c r="B162" s="489"/>
      <c r="C162" s="490"/>
      <c r="D162" s="388"/>
      <c r="E162" s="388"/>
      <c r="F162" s="388"/>
      <c r="G162" s="388"/>
      <c r="H162" s="388"/>
      <c r="I162" s="418"/>
    </row>
    <row r="163" spans="2:3">
      <c r="B163" s="491"/>
      <c r="C163" s="405"/>
    </row>
    <row r="164" ht="16.25" spans="1:9">
      <c r="A164" s="355" t="s">
        <v>385</v>
      </c>
      <c r="B164" s="9"/>
      <c r="C164" s="356"/>
      <c r="D164" s="9"/>
      <c r="E164" s="9"/>
      <c r="F164" s="9"/>
      <c r="G164" s="9"/>
      <c r="H164" s="9"/>
      <c r="I164" s="9"/>
    </row>
    <row r="165" spans="1:9">
      <c r="A165" s="358" t="s">
        <v>386</v>
      </c>
      <c r="B165" s="492">
        <v>3.14159265</v>
      </c>
      <c r="C165" s="493"/>
      <c r="D165" s="494" t="s">
        <v>387</v>
      </c>
      <c r="E165" s="360"/>
      <c r="F165" s="360"/>
      <c r="G165" s="360"/>
      <c r="H165" s="360"/>
      <c r="I165" s="411"/>
    </row>
    <row r="166" spans="1:9">
      <c r="A166" s="2" t="s">
        <v>388</v>
      </c>
      <c r="B166" s="495"/>
      <c r="C166" s="496" t="s">
        <v>389</v>
      </c>
      <c r="D166" s="497" t="s">
        <v>390</v>
      </c>
      <c r="I166" s="412"/>
    </row>
    <row r="167" spans="1:9">
      <c r="A167" s="2" t="s">
        <v>391</v>
      </c>
      <c r="B167" s="495"/>
      <c r="C167" s="496" t="s">
        <v>389</v>
      </c>
      <c r="D167" s="497"/>
      <c r="I167" s="412"/>
    </row>
    <row r="168" ht="12.5" spans="3:9">
      <c r="C168" s="9"/>
      <c r="D168" s="9"/>
      <c r="F168" s="9"/>
      <c r="G168" s="9"/>
      <c r="H168" s="9"/>
      <c r="I168" s="412"/>
    </row>
    <row r="169" spans="1:9">
      <c r="A169" s="362" t="s">
        <v>202</v>
      </c>
      <c r="B169" s="498">
        <f>(Vout+Vfwd1)*Nps*10</f>
        <v>122.728</v>
      </c>
      <c r="C169" s="4" t="s">
        <v>382</v>
      </c>
      <c r="D169" s="365" t="s">
        <v>392</v>
      </c>
      <c r="F169" s="9"/>
      <c r="G169" s="9"/>
      <c r="H169" s="9"/>
      <c r="I169" s="412">
        <v>1</v>
      </c>
    </row>
    <row r="170" spans="1:9">
      <c r="A170" s="375" t="s">
        <v>393</v>
      </c>
      <c r="B170" s="499">
        <f>Rfb/1000</f>
        <v>196</v>
      </c>
      <c r="C170" s="4" t="s">
        <v>382</v>
      </c>
      <c r="D170" s="365" t="s">
        <v>394</v>
      </c>
      <c r="F170" s="9"/>
      <c r="G170" s="9"/>
      <c r="H170" s="9"/>
      <c r="I170" s="412"/>
    </row>
    <row r="171" spans="1:9">
      <c r="A171" s="362" t="s">
        <v>395</v>
      </c>
      <c r="B171" s="500">
        <f>'Standard Value Calculator'!J10/1000</f>
        <v>196</v>
      </c>
      <c r="C171" s="4" t="s">
        <v>382</v>
      </c>
      <c r="D171" s="365" t="s">
        <v>396</v>
      </c>
      <c r="F171" s="9"/>
      <c r="G171" s="9"/>
      <c r="H171" s="9"/>
      <c r="I171" s="412"/>
    </row>
    <row r="172" spans="1:9">
      <c r="A172" s="365"/>
      <c r="B172" s="11"/>
      <c r="C172" s="4"/>
      <c r="D172" s="365"/>
      <c r="F172" s="9"/>
      <c r="G172" s="9"/>
      <c r="H172" s="9"/>
      <c r="I172" s="412"/>
    </row>
    <row r="173" spans="1:9">
      <c r="A173" s="13" t="s">
        <v>397</v>
      </c>
      <c r="B173" s="501">
        <f>'LM(2)518x PSR flyback converter'!E33</f>
        <v>-1.5</v>
      </c>
      <c r="C173" s="13" t="s">
        <v>47</v>
      </c>
      <c r="D173" s="365"/>
      <c r="F173" s="9"/>
      <c r="G173" s="9"/>
      <c r="H173" s="9"/>
      <c r="I173" s="412"/>
    </row>
    <row r="174" ht="16" spans="1:9">
      <c r="A174" s="367" t="s">
        <v>96</v>
      </c>
      <c r="B174" s="378">
        <f>3*B170/Nps/ABS(Diode_TC)*1000</f>
        <v>587706.146926537</v>
      </c>
      <c r="C174" s="4" t="s">
        <v>66</v>
      </c>
      <c r="D174" s="365"/>
      <c r="F174" s="9"/>
      <c r="G174" s="9"/>
      <c r="H174" s="9"/>
      <c r="I174" s="412"/>
    </row>
    <row r="175" spans="1:9">
      <c r="A175" s="11" t="s">
        <v>398</v>
      </c>
      <c r="B175" s="443">
        <f>'Standard Value Calculator'!J9/1000</f>
        <v>590</v>
      </c>
      <c r="C175" s="4" t="s">
        <v>382</v>
      </c>
      <c r="D175" s="365"/>
      <c r="F175" s="9"/>
      <c r="G175" s="9"/>
      <c r="H175" s="9"/>
      <c r="I175" s="412"/>
    </row>
    <row r="176" ht="13.75" spans="1:9">
      <c r="A176" s="388"/>
      <c r="B176" s="388"/>
      <c r="C176" s="502"/>
      <c r="D176" s="388"/>
      <c r="E176" s="502"/>
      <c r="F176" s="388"/>
      <c r="G176" s="388"/>
      <c r="H176" s="388"/>
      <c r="I176" s="418"/>
    </row>
    <row r="177" spans="1:5">
      <c r="A177" s="503"/>
      <c r="B177" s="504"/>
      <c r="C177" s="504"/>
      <c r="E177" s="504"/>
    </row>
    <row r="178" spans="1:5">
      <c r="A178" s="503"/>
      <c r="B178" s="504"/>
      <c r="C178" s="504"/>
      <c r="E178" s="504"/>
    </row>
    <row r="179" ht="16.25" spans="1:9">
      <c r="A179" s="505" t="s">
        <v>399</v>
      </c>
      <c r="B179" s="9"/>
      <c r="C179" s="356"/>
      <c r="D179" s="9"/>
      <c r="E179" s="9"/>
      <c r="F179" s="9"/>
      <c r="G179" s="9"/>
      <c r="H179" s="9"/>
      <c r="I179" s="9"/>
    </row>
    <row r="180" spans="1:9">
      <c r="A180" s="476"/>
      <c r="B180" s="360"/>
      <c r="C180" s="391"/>
      <c r="D180" s="360"/>
      <c r="E180" s="360"/>
      <c r="F180" s="360"/>
      <c r="G180" s="360"/>
      <c r="H180" s="360"/>
      <c r="I180" s="411"/>
    </row>
    <row r="181" spans="1:9">
      <c r="A181" s="375" t="s">
        <v>400</v>
      </c>
      <c r="B181" s="9"/>
      <c r="C181" s="356"/>
      <c r="D181" s="9"/>
      <c r="E181" s="9"/>
      <c r="F181" s="9"/>
      <c r="G181" s="9"/>
      <c r="H181" s="9"/>
      <c r="I181" s="412"/>
    </row>
    <row r="182" ht="12.5" spans="1:9">
      <c r="A182" s="367" t="s">
        <v>401</v>
      </c>
      <c r="B182" s="383">
        <f>'LM(2)518x PSR flyback converter'!E45</f>
        <v>120</v>
      </c>
      <c r="C182" s="365" t="s">
        <v>59</v>
      </c>
      <c r="D182" s="9" t="s">
        <v>402</v>
      </c>
      <c r="F182" s="9"/>
      <c r="G182" s="9"/>
      <c r="H182" s="9"/>
      <c r="I182" s="412"/>
    </row>
    <row r="183" spans="1:9">
      <c r="A183" s="375" t="s">
        <v>403</v>
      </c>
      <c r="B183" s="9"/>
      <c r="C183" s="9"/>
      <c r="D183" s="9"/>
      <c r="F183" s="9"/>
      <c r="G183" s="9"/>
      <c r="H183" s="9"/>
      <c r="I183" s="412"/>
    </row>
    <row r="184" ht="12.5" spans="1:9">
      <c r="A184" s="367" t="s">
        <v>404</v>
      </c>
      <c r="B184" s="384">
        <f>4000/1000000</f>
        <v>0.004</v>
      </c>
      <c r="C184" s="365" t="s">
        <v>405</v>
      </c>
      <c r="D184" s="365" t="s">
        <v>406</v>
      </c>
      <c r="F184" s="9"/>
      <c r="G184" s="9"/>
      <c r="H184" s="9"/>
      <c r="I184" s="412"/>
    </row>
    <row r="185" ht="16" spans="1:9">
      <c r="A185" s="362" t="s">
        <v>407</v>
      </c>
      <c r="B185" s="384">
        <v>20</v>
      </c>
      <c r="C185" s="13" t="s">
        <v>57</v>
      </c>
      <c r="D185" s="365" t="s">
        <v>408</v>
      </c>
      <c r="F185" s="9"/>
      <c r="G185" s="9"/>
      <c r="H185" s="9"/>
      <c r="I185" s="412"/>
    </row>
    <row r="186" ht="12.5" spans="1:9">
      <c r="A186" s="367" t="s">
        <v>353</v>
      </c>
      <c r="B186" s="363">
        <f>RCinEsr</f>
        <v>0.003</v>
      </c>
      <c r="C186" s="370" t="s">
        <v>68</v>
      </c>
      <c r="D186" s="365" t="s">
        <v>409</v>
      </c>
      <c r="F186" s="9"/>
      <c r="G186" s="9"/>
      <c r="H186" s="9"/>
      <c r="I186" s="412"/>
    </row>
    <row r="187" ht="12.5" spans="1:9">
      <c r="A187" s="367"/>
      <c r="B187" s="363"/>
      <c r="C187" s="370"/>
      <c r="D187" s="365"/>
      <c r="F187" s="9"/>
      <c r="G187" s="9"/>
      <c r="H187" s="9"/>
      <c r="I187" s="412"/>
    </row>
    <row r="188" spans="1:9">
      <c r="A188" s="506" t="s">
        <v>410</v>
      </c>
      <c r="B188" s="9"/>
      <c r="C188" s="9"/>
      <c r="D188" s="9"/>
      <c r="F188" s="9"/>
      <c r="G188" s="9"/>
      <c r="H188" s="9"/>
      <c r="I188" s="412"/>
    </row>
    <row r="189" spans="1:9">
      <c r="A189" s="362" t="s">
        <v>411</v>
      </c>
      <c r="B189" s="384">
        <f>Vdd</f>
        <v>5</v>
      </c>
      <c r="C189" s="13" t="s">
        <v>9</v>
      </c>
      <c r="D189" s="507"/>
      <c r="F189" s="9"/>
      <c r="G189" s="9"/>
      <c r="H189" s="9"/>
      <c r="I189" s="412"/>
    </row>
    <row r="190" ht="12.5" spans="1:9">
      <c r="A190" s="367" t="s">
        <v>412</v>
      </c>
      <c r="B190" s="508">
        <f>IQ</f>
        <v>0.00029</v>
      </c>
      <c r="C190" s="9" t="s">
        <v>18</v>
      </c>
      <c r="D190" s="9" t="s">
        <v>413</v>
      </c>
      <c r="F190" s="9"/>
      <c r="G190" s="9"/>
      <c r="H190" s="9"/>
      <c r="I190" s="412"/>
    </row>
    <row r="191" ht="12.5" spans="1:9">
      <c r="A191" s="367"/>
      <c r="B191" s="9"/>
      <c r="C191" s="9"/>
      <c r="D191" s="9"/>
      <c r="F191" s="9"/>
      <c r="G191" s="9"/>
      <c r="H191" s="9"/>
      <c r="I191" s="412"/>
    </row>
    <row r="192" spans="1:9">
      <c r="A192" s="509" t="s">
        <v>414</v>
      </c>
      <c r="B192" s="510" t="s">
        <v>74</v>
      </c>
      <c r="C192" s="21" t="s">
        <v>415</v>
      </c>
      <c r="D192" s="9"/>
      <c r="F192" s="9"/>
      <c r="G192" s="9"/>
      <c r="H192" s="9"/>
      <c r="I192" s="412"/>
    </row>
    <row r="193" ht="12.5" spans="1:9">
      <c r="A193" s="512" t="s">
        <v>416</v>
      </c>
      <c r="B193" s="513"/>
      <c r="C193" s="13" t="s">
        <v>68</v>
      </c>
      <c r="D193" s="9"/>
      <c r="F193" s="9"/>
      <c r="G193" s="9"/>
      <c r="H193" s="9"/>
      <c r="I193" s="412"/>
    </row>
    <row r="194" ht="12.5" spans="1:9">
      <c r="A194" s="512" t="s">
        <v>417</v>
      </c>
      <c r="B194" s="18">
        <v>0</v>
      </c>
      <c r="C194" s="13" t="s">
        <v>59</v>
      </c>
      <c r="D194" s="9"/>
      <c r="F194" s="9"/>
      <c r="G194" s="9"/>
      <c r="H194" s="9"/>
      <c r="I194" s="412"/>
    </row>
    <row r="195" ht="12.5" spans="1:9">
      <c r="A195" s="512" t="s">
        <v>418</v>
      </c>
      <c r="B195" s="18" t="e">
        <v>#NAME?</v>
      </c>
      <c r="C195" s="11" t="s">
        <v>18</v>
      </c>
      <c r="D195" s="9"/>
      <c r="F195" s="9"/>
      <c r="G195" s="9"/>
      <c r="H195" s="9"/>
      <c r="I195" s="412"/>
    </row>
    <row r="196" ht="12.5" spans="1:9">
      <c r="A196" s="512" t="s">
        <v>419</v>
      </c>
      <c r="B196" s="11" t="e">
        <v>#NAME?</v>
      </c>
      <c r="C196" s="11" t="s">
        <v>18</v>
      </c>
      <c r="D196" s="9"/>
      <c r="F196" s="9"/>
      <c r="G196" s="9"/>
      <c r="H196" s="9"/>
      <c r="I196" s="412"/>
    </row>
    <row r="197" ht="12.5" spans="1:9">
      <c r="A197" s="512" t="s">
        <v>420</v>
      </c>
      <c r="B197" s="11" t="e">
        <f>C197/Vin</f>
        <v>#NAME?</v>
      </c>
      <c r="C197" s="11" t="e">
        <v>#NAME?</v>
      </c>
      <c r="D197" s="9"/>
      <c r="F197" s="9"/>
      <c r="G197" s="9"/>
      <c r="H197" s="9"/>
      <c r="I197" s="412"/>
    </row>
    <row r="198" ht="12.5" spans="1:9">
      <c r="A198" s="512" t="s">
        <v>421</v>
      </c>
      <c r="B198" s="11" t="e">
        <f>SUM(B195:B197)</f>
        <v>#NAME?</v>
      </c>
      <c r="C198" s="11" t="s">
        <v>18</v>
      </c>
      <c r="D198" s="9"/>
      <c r="F198" s="9"/>
      <c r="G198" s="9"/>
      <c r="H198" s="9"/>
      <c r="I198" s="412"/>
    </row>
    <row r="199" ht="13.75" spans="1:9">
      <c r="A199" s="387"/>
      <c r="B199" s="388"/>
      <c r="C199" s="428"/>
      <c r="D199" s="388"/>
      <c r="E199" s="388"/>
      <c r="F199" s="388"/>
      <c r="G199" s="388"/>
      <c r="H199" s="388"/>
      <c r="I199" s="418"/>
    </row>
    <row r="200" spans="1:3">
      <c r="A200" s="503"/>
      <c r="B200" s="503"/>
      <c r="C200" s="503"/>
    </row>
    <row r="201" ht="21.75" customHeight="1" spans="1:9">
      <c r="A201" s="355" t="s">
        <v>422</v>
      </c>
      <c r="B201" s="9"/>
      <c r="C201" s="356"/>
      <c r="D201" s="9"/>
      <c r="E201" s="9"/>
      <c r="F201" s="9"/>
      <c r="G201" s="9"/>
      <c r="H201" s="9"/>
      <c r="I201" s="9"/>
    </row>
    <row r="202" spans="1:9">
      <c r="A202" s="476"/>
      <c r="B202" s="360"/>
      <c r="C202" s="391"/>
      <c r="D202" s="360"/>
      <c r="E202" s="514"/>
      <c r="F202" s="514"/>
      <c r="G202" s="514"/>
      <c r="H202" s="514"/>
      <c r="I202" s="411"/>
    </row>
    <row r="203" spans="1:9">
      <c r="A203" s="367"/>
      <c r="B203" s="13"/>
      <c r="C203" s="356"/>
      <c r="D203" s="9"/>
      <c r="E203" s="515"/>
      <c r="F203" s="515"/>
      <c r="G203" s="515"/>
      <c r="H203" s="515"/>
      <c r="I203" s="412"/>
    </row>
    <row r="204" spans="1:9">
      <c r="A204" s="367" t="str">
        <f>"RUV1 = "&amp;'LM(2)518x PSR flyback converter'!E38&amp;"MΩ"</f>
        <v>RUV1 = 332MΩ</v>
      </c>
      <c r="B204" s="9" t="str">
        <f>C245</f>
        <v>332kΩ</v>
      </c>
      <c r="C204" s="356"/>
      <c r="D204" s="9"/>
      <c r="E204" s="515"/>
      <c r="F204" s="515"/>
      <c r="G204" s="515"/>
      <c r="H204" s="515"/>
      <c r="I204" s="412"/>
    </row>
    <row r="205" spans="1:9">
      <c r="A205" s="367" t="str">
        <f>"RUV2 = "&amp;'LM(2)518x PSR flyback converter'!E39&amp;"kΩ"</f>
        <v>RUV2 = 59kΩ</v>
      </c>
      <c r="B205" s="9" t="str">
        <f>C246</f>
        <v>59kΩ</v>
      </c>
      <c r="C205" s="356"/>
      <c r="D205" s="9"/>
      <c r="E205" s="515"/>
      <c r="F205" s="515"/>
      <c r="G205" s="515"/>
      <c r="H205" s="515"/>
      <c r="I205" s="412"/>
    </row>
    <row r="206" spans="1:9">
      <c r="A206" s="367"/>
      <c r="B206" s="9"/>
      <c r="C206" s="356"/>
      <c r="D206" s="9"/>
      <c r="E206" s="515"/>
      <c r="F206" s="515"/>
      <c r="G206" s="515"/>
      <c r="H206" s="515"/>
      <c r="I206" s="412"/>
    </row>
    <row r="207" spans="1:9">
      <c r="A207" s="367" t="str">
        <f>"Lmag = "&amp;'LM(2)518x PSR flyback converter'!L7&amp;"µH"</f>
        <v>Lmag = 25µH</v>
      </c>
      <c r="B207" s="9" t="str">
        <f>'LM(2)518x PSR flyback converter'!L7&amp;"µH"</f>
        <v>25µH</v>
      </c>
      <c r="C207" s="356"/>
      <c r="D207" s="9"/>
      <c r="E207" s="9"/>
      <c r="F207" s="9"/>
      <c r="G207" s="9"/>
      <c r="H207" s="9"/>
      <c r="I207" s="412"/>
    </row>
    <row r="208" spans="1:9">
      <c r="A208" s="367" t="str">
        <f>"Rdcr = "&amp;Rdcr_pri*1000&amp;"mΩ"</f>
        <v>Rdcr = 41mΩ</v>
      </c>
      <c r="B208" s="516" t="str">
        <f>Rdcr_pri*1000&amp;"mΩ"</f>
        <v>41mΩ</v>
      </c>
      <c r="C208" s="356"/>
      <c r="D208" s="9"/>
      <c r="E208" s="9"/>
      <c r="F208" s="9"/>
      <c r="G208" s="9"/>
      <c r="H208" s="9"/>
      <c r="I208" s="412"/>
    </row>
    <row r="209" spans="1:9">
      <c r="A209" s="362" t="s">
        <v>423</v>
      </c>
      <c r="B209" s="516" t="str">
        <f>W52</f>
        <v>1 : 1.5 : 0.44</v>
      </c>
      <c r="C209" s="356"/>
      <c r="D209" s="9"/>
      <c r="E209" s="9"/>
      <c r="F209" s="9"/>
      <c r="G209" s="9"/>
      <c r="H209" s="9"/>
      <c r="I209" s="412"/>
    </row>
    <row r="210" spans="1:9">
      <c r="A210" s="367"/>
      <c r="B210" s="516"/>
      <c r="C210" s="356"/>
      <c r="D210" s="9"/>
      <c r="E210" s="9"/>
      <c r="F210" s="9"/>
      <c r="G210" s="9"/>
      <c r="H210" s="9"/>
      <c r="I210" s="412"/>
    </row>
    <row r="211" spans="1:9">
      <c r="A211" s="367" t="str">
        <f>"Css = "&amp;ROUND(Css_u*1000000000,1)&amp;"nF"</f>
        <v>Css = 47nF</v>
      </c>
      <c r="B211" s="9" t="str">
        <f>ROUND(Css_u*1000000000,1)&amp;"nF"</f>
        <v>47nF</v>
      </c>
      <c r="C211" s="356"/>
      <c r="D211" s="9"/>
      <c r="E211" s="9"/>
      <c r="F211" s="9"/>
      <c r="G211" s="9"/>
      <c r="H211" s="9"/>
      <c r="I211" s="412"/>
    </row>
    <row r="212" spans="1:9">
      <c r="A212" s="367"/>
      <c r="B212" s="9"/>
      <c r="C212" s="356"/>
      <c r="D212" s="9"/>
      <c r="E212" s="9"/>
      <c r="F212" s="9"/>
      <c r="G212" s="9"/>
      <c r="H212" s="9"/>
      <c r="I212" s="412"/>
    </row>
    <row r="213" spans="1:9">
      <c r="A213" s="367" t="s">
        <v>424</v>
      </c>
      <c r="B213" s="9" t="str">
        <f>VIN_nom&amp;"V"</f>
        <v>12V</v>
      </c>
      <c r="C213" s="356"/>
      <c r="D213" s="9"/>
      <c r="E213" s="9"/>
      <c r="F213" s="9"/>
      <c r="G213" s="9"/>
      <c r="H213" s="9"/>
      <c r="I213" s="412"/>
    </row>
    <row r="214" spans="1:9">
      <c r="A214" s="362" t="s">
        <v>425</v>
      </c>
      <c r="B214" s="9" t="str">
        <f>VIN_min&amp;"V..."&amp;VIN_max&amp;"V"</f>
        <v>10V...14V</v>
      </c>
      <c r="C214" s="356"/>
      <c r="D214" s="9"/>
      <c r="E214" s="9"/>
      <c r="F214" s="9"/>
      <c r="G214" s="9"/>
      <c r="H214" s="9"/>
      <c r="I214" s="412"/>
    </row>
    <row r="215" spans="1:9">
      <c r="A215" s="362"/>
      <c r="B215" s="9"/>
      <c r="C215" s="356"/>
      <c r="D215" s="9"/>
      <c r="E215" s="9"/>
      <c r="F215" s="9"/>
      <c r="G215" s="9"/>
      <c r="H215" s="9"/>
      <c r="I215" s="412"/>
    </row>
    <row r="216" spans="1:9">
      <c r="A216" s="367" t="str">
        <f>"VOUT = "&amp;'LM(2)518x PSR flyback converter'!E10&amp;"V"</f>
        <v>VOUT = 18V</v>
      </c>
      <c r="B216" s="9" t="str">
        <f>'LM(2)518x PSR flyback converter'!E10&amp;"V"</f>
        <v>18V</v>
      </c>
      <c r="C216" s="356"/>
      <c r="D216" s="9">
        <f>MODE</f>
        <v>2</v>
      </c>
      <c r="E216" s="9"/>
      <c r="F216" s="9"/>
      <c r="G216" s="9"/>
      <c r="H216" s="9"/>
      <c r="I216" s="412"/>
    </row>
    <row r="217" spans="1:9">
      <c r="A217" s="367" t="str">
        <f>"VOUT2 = "&amp;'LM(2)518x PSR flyback converter'!E12&amp;"V"</f>
        <v>VOUT2 = -5V</v>
      </c>
      <c r="B217" s="9" t="str">
        <f>IF(MODE_TOP="DUAL",'LM(2)518x PSR flyback converter'!E12&amp;"V","")</f>
        <v/>
      </c>
      <c r="C217" s="356"/>
      <c r="D217" s="365" t="b">
        <f>MODE=2</f>
        <v>1</v>
      </c>
      <c r="E217" s="9"/>
      <c r="F217" s="9"/>
      <c r="G217" s="9"/>
      <c r="H217" s="9"/>
      <c r="I217" s="412"/>
    </row>
    <row r="218" spans="1:9">
      <c r="A218" s="367" t="str">
        <f>"VOUT2 = "&amp;'LM(2)518x PSR flyback converter'!E12&amp;"V"</f>
        <v>VOUT2 = -5V</v>
      </c>
      <c r="B218" s="9" t="str">
        <f>IF(MODE_TOP="BIPOLAR",'LM(2)518x PSR flyback converter'!E12&amp;"V","")</f>
        <v>-5V</v>
      </c>
      <c r="C218" s="356"/>
      <c r="D218" s="9"/>
      <c r="E218" s="9"/>
      <c r="F218" s="9"/>
      <c r="G218" s="9"/>
      <c r="H218" s="9"/>
      <c r="I218" s="412"/>
    </row>
    <row r="219" spans="1:9">
      <c r="A219" s="367"/>
      <c r="B219" s="9"/>
      <c r="C219" s="356"/>
      <c r="D219" s="9"/>
      <c r="E219" s="9"/>
      <c r="F219" s="9"/>
      <c r="G219" s="9"/>
      <c r="H219" s="9"/>
      <c r="I219" s="412"/>
    </row>
    <row r="220" spans="1:9">
      <c r="A220" s="517" t="s">
        <v>426</v>
      </c>
      <c r="B220" s="365" t="str">
        <f>IF(MODE=1,"","Co1")</f>
        <v>Co1</v>
      </c>
      <c r="C220" s="365" t="str">
        <f>IF(MODE_TOP="DUAL","Co2","")</f>
        <v/>
      </c>
      <c r="D220" s="365" t="str">
        <f>IF(MODE_TOP="BIPOLAR","Co2","")</f>
        <v>Co2</v>
      </c>
      <c r="E220" s="9"/>
      <c r="F220" s="365" t="str">
        <f>MODE_TOP</f>
        <v>BIPOLAR</v>
      </c>
      <c r="G220" s="9"/>
      <c r="H220" s="9"/>
      <c r="I220" s="412"/>
    </row>
    <row r="221" ht="12.5" spans="1:9">
      <c r="A221" s="367" t="str">
        <f>"COUT = "&amp;'LM(2)518x PSR flyback converter'!$E$22&amp;"µF"</f>
        <v>COUT = 22µF</v>
      </c>
      <c r="B221" s="9" t="str">
        <f>'LM(2)518x PSR flyback converter'!$E$22&amp;"µF"</f>
        <v>22µF</v>
      </c>
      <c r="C221" s="9" t="str">
        <f>IF(MODE_TOP="DUAL",'LM(2)518x PSR flyback converter'!$L$22&amp;"µF","")</f>
        <v/>
      </c>
      <c r="D221" s="9" t="str">
        <f>IF(MODE_TOP="BIPOLAR",'LM(2)518x PSR flyback converter'!$L$22&amp;"µF","")</f>
        <v>10µF</v>
      </c>
      <c r="E221" s="9"/>
      <c r="F221" s="9" t="str">
        <f>'LM(2)518x PSR flyback converter'!$L$22&amp;"µF"</f>
        <v>10µF</v>
      </c>
      <c r="G221" s="9"/>
      <c r="H221" s="9"/>
      <c r="I221" s="412"/>
    </row>
    <row r="222" spans="1:9">
      <c r="A222" s="362" t="s">
        <v>427</v>
      </c>
      <c r="B222" s="9" t="str">
        <f>"22µF"</f>
        <v>22µF</v>
      </c>
      <c r="C222" s="356"/>
      <c r="D222" s="9"/>
      <c r="E222" s="9"/>
      <c r="F222" s="9"/>
      <c r="G222" s="9"/>
      <c r="H222" s="9"/>
      <c r="I222" s="412"/>
    </row>
    <row r="223" spans="1:9">
      <c r="A223" s="362" t="s">
        <v>428</v>
      </c>
      <c r="B223" s="403" t="str">
        <f>ROUNDUP(Cout/22,0)&amp;" x"</f>
        <v>1 x</v>
      </c>
      <c r="C223" s="394"/>
      <c r="D223" s="9"/>
      <c r="E223" s="9"/>
      <c r="F223" s="9"/>
      <c r="G223" s="9"/>
      <c r="H223" s="9"/>
      <c r="I223" s="412"/>
    </row>
    <row r="224" spans="1:9">
      <c r="A224" s="362"/>
      <c r="B224" s="403">
        <f>Cout</f>
        <v>22</v>
      </c>
      <c r="C224" s="394"/>
      <c r="D224" s="9"/>
      <c r="E224" s="9"/>
      <c r="F224" s="9"/>
      <c r="G224" s="9"/>
      <c r="H224" s="9"/>
      <c r="I224" s="412"/>
    </row>
    <row r="225" spans="1:9">
      <c r="A225" s="517" t="s">
        <v>429</v>
      </c>
      <c r="B225" s="9"/>
      <c r="C225" s="356"/>
      <c r="D225" s="9"/>
      <c r="E225" s="9"/>
      <c r="F225" s="9"/>
      <c r="G225" s="9"/>
      <c r="H225" s="9"/>
      <c r="I225" s="412"/>
    </row>
    <row r="226" spans="1:9">
      <c r="A226" s="367" t="s">
        <v>430</v>
      </c>
      <c r="B226" s="9" t="str">
        <f>Cin&amp;"µF"</f>
        <v>100µF</v>
      </c>
      <c r="E226" s="9"/>
      <c r="F226" s="9"/>
      <c r="G226" s="9"/>
      <c r="H226" s="9"/>
      <c r="I226" s="412"/>
    </row>
    <row r="227" spans="1:9">
      <c r="A227" s="362" t="s">
        <v>431</v>
      </c>
      <c r="B227" s="9" t="str">
        <f>"4.7µF"</f>
        <v>4.7µF</v>
      </c>
      <c r="C227" s="356"/>
      <c r="D227" s="9"/>
      <c r="E227" s="9"/>
      <c r="F227" s="9"/>
      <c r="G227" s="9"/>
      <c r="H227" s="9"/>
      <c r="I227" s="412"/>
    </row>
    <row r="228" spans="1:9">
      <c r="A228" s="362" t="s">
        <v>432</v>
      </c>
      <c r="B228" s="403" t="str">
        <f>ROUNDUP(Cin/4.7,0)&amp;" x"</f>
        <v>22 x</v>
      </c>
      <c r="C228" s="394"/>
      <c r="D228" s="9"/>
      <c r="E228" s="9"/>
      <c r="F228" s="9"/>
      <c r="G228" s="9"/>
      <c r="H228" s="9"/>
      <c r="I228" s="412"/>
    </row>
    <row r="229" spans="1:9">
      <c r="A229" s="362"/>
      <c r="B229" s="403"/>
      <c r="D229" s="9"/>
      <c r="E229" s="9"/>
      <c r="F229" s="9"/>
      <c r="G229" s="9"/>
      <c r="H229" s="9"/>
      <c r="I229" s="412"/>
    </row>
    <row r="230" ht="16" spans="1:9">
      <c r="A230" s="362" t="s">
        <v>433</v>
      </c>
      <c r="B230" s="518" t="s">
        <v>434</v>
      </c>
      <c r="C230" s="518" t="s">
        <v>88</v>
      </c>
      <c r="D230" s="9"/>
      <c r="E230" s="9"/>
      <c r="F230" s="9"/>
      <c r="G230" s="9"/>
      <c r="H230" s="9"/>
      <c r="I230" s="412"/>
    </row>
    <row r="231" spans="1:9">
      <c r="A231" s="362"/>
      <c r="B231" s="403"/>
      <c r="D231" s="9"/>
      <c r="E231" s="9"/>
      <c r="F231" s="9"/>
      <c r="G231" s="9"/>
      <c r="H231" s="9"/>
      <c r="I231" s="412"/>
    </row>
    <row r="232" spans="1:9">
      <c r="A232" s="517" t="s">
        <v>435</v>
      </c>
      <c r="B232" s="394" t="str">
        <f>IF(MODE_TC=1,"YES","NO")</f>
        <v>YES</v>
      </c>
      <c r="D232" s="9"/>
      <c r="E232" s="9"/>
      <c r="F232" s="9"/>
      <c r="G232" s="9"/>
      <c r="H232" s="9"/>
      <c r="I232" s="412"/>
    </row>
    <row r="233" spans="1:9">
      <c r="A233" s="362" t="s">
        <v>436</v>
      </c>
      <c r="B233" s="394" t="str">
        <f>IF(MODE_TC=2,"YES","NO")</f>
        <v>NO</v>
      </c>
      <c r="C233" s="519" t="str">
        <f>IF(MODE_TC=2,"R1","")</f>
        <v/>
      </c>
      <c r="D233" s="519" t="str">
        <f>IF(MODE_TC=2,"R2","")</f>
        <v/>
      </c>
      <c r="E233" s="519"/>
      <c r="F233" s="9"/>
      <c r="G233" s="9"/>
      <c r="H233" s="9"/>
      <c r="I233" s="412"/>
    </row>
    <row r="234" ht="12.5" spans="1:9">
      <c r="A234" s="367" t="str">
        <f>"RFB = "&amp;'LM(2)518x PSR flyback converter'!E27&amp;"kΩ"</f>
        <v>RFB = 122.728kΩ</v>
      </c>
      <c r="B234" s="9" t="str">
        <f>IF(MODE_TC=1,"",'LM(2)518x PSR flyback converter'!E27&amp;"kΩ")</f>
        <v/>
      </c>
      <c r="C234" s="365" t="str">
        <f>'LM(2)518x PSR flyback converter'!E27&amp;"kΩ"</f>
        <v>122.728kΩ</v>
      </c>
      <c r="D234" s="9"/>
      <c r="E234" s="9"/>
      <c r="F234" s="9"/>
      <c r="G234" s="9"/>
      <c r="H234" s="9"/>
      <c r="I234" s="412"/>
    </row>
    <row r="235" ht="12.5" spans="1:9">
      <c r="A235" s="367" t="str">
        <f>"RFB2 = "&amp;IF(Vout=Vref,"OPEN",'LM(2)518x PSR flyback converter'!E28&amp;"kΩ")</f>
        <v>RFB2 = 196kΩ</v>
      </c>
      <c r="B235" s="9" t="str">
        <f>IF(MODE_TC=1,"",IF(Vout=Vref,"OPEN",Rfb2_u/1000&amp;"kΩ"))</f>
        <v/>
      </c>
      <c r="C235" s="365" t="str">
        <f>'LM(2)518x PSR flyback converter'!E28&amp;"kΩ"</f>
        <v>196kΩ</v>
      </c>
      <c r="D235" s="9"/>
      <c r="E235" s="9"/>
      <c r="F235" s="9"/>
      <c r="G235" s="9"/>
      <c r="H235" s="9"/>
      <c r="I235" s="412"/>
    </row>
    <row r="236" ht="12.5" spans="1:9">
      <c r="A236" s="367"/>
      <c r="B236" s="9"/>
      <c r="C236" s="365"/>
      <c r="D236" s="9"/>
      <c r="E236" s="9"/>
      <c r="F236" s="9"/>
      <c r="G236" s="9"/>
      <c r="H236" s="9"/>
      <c r="I236" s="412"/>
    </row>
    <row r="237" spans="1:9">
      <c r="A237" s="362" t="s">
        <v>437</v>
      </c>
      <c r="B237" s="356" t="str">
        <f>IF(MODE=1,"YES","NO")</f>
        <v>NO</v>
      </c>
      <c r="C237" s="9" t="str">
        <f>IF(MODE=1,"Rt","")</f>
        <v/>
      </c>
      <c r="D237" s="9"/>
      <c r="E237" s="9"/>
      <c r="F237" s="9"/>
      <c r="G237" s="9"/>
      <c r="H237" s="9"/>
      <c r="I237" s="412"/>
    </row>
    <row r="238" spans="1:9">
      <c r="A238" s="362" t="s">
        <v>438</v>
      </c>
      <c r="B238" s="9" t="str">
        <f>IF(MODE=2,"",'Standard Value Calculator'!J4/1000&amp;"kΩ")</f>
        <v/>
      </c>
      <c r="C238" s="356"/>
      <c r="D238" s="9"/>
      <c r="E238" s="9"/>
      <c r="F238" s="9"/>
      <c r="G238" s="9"/>
      <c r="H238" s="9"/>
      <c r="I238" s="412"/>
    </row>
    <row r="239" spans="1:9">
      <c r="A239" s="362"/>
      <c r="B239" s="9"/>
      <c r="C239" s="356"/>
      <c r="D239" s="9"/>
      <c r="E239" s="9"/>
      <c r="F239" s="9"/>
      <c r="G239" s="9"/>
      <c r="H239" s="9"/>
      <c r="I239" s="412"/>
    </row>
    <row r="240" spans="1:9">
      <c r="A240" s="517" t="s">
        <v>439</v>
      </c>
      <c r="B240" s="394" t="str">
        <f>IF(MODE=1,"YES","NO")</f>
        <v>NO</v>
      </c>
      <c r="C240" s="365" t="str">
        <f>IF(TC=1,"Rtc","")</f>
        <v>Rtc</v>
      </c>
      <c r="D240" s="9"/>
      <c r="E240" s="9"/>
      <c r="F240" s="9"/>
      <c r="G240" s="9"/>
      <c r="H240" s="9"/>
      <c r="I240" s="412"/>
    </row>
    <row r="241" ht="12.5" spans="1:9">
      <c r="A241" s="520" t="str">
        <f>"RTC = "&amp;RTC&amp;"kΩ"</f>
        <v>RTC = 590kΩ</v>
      </c>
      <c r="B241" s="9" t="str">
        <f>IF(TC=1,RTC&amp;"kΩ","")</f>
        <v>590kΩ</v>
      </c>
      <c r="C241" s="365" t="str">
        <f>CHOOSE(TC,"Rtc","")</f>
        <v>Rtc</v>
      </c>
      <c r="D241" s="9"/>
      <c r="E241" s="9"/>
      <c r="F241" s="521"/>
      <c r="G241" s="9"/>
      <c r="H241" s="9"/>
      <c r="I241" s="412"/>
    </row>
    <row r="242" ht="12.5" spans="1:9">
      <c r="A242" s="362" t="s">
        <v>440</v>
      </c>
      <c r="B242" s="426"/>
      <c r="C242" s="9"/>
      <c r="D242" s="9"/>
      <c r="E242" s="9"/>
      <c r="F242" s="521"/>
      <c r="G242" s="9"/>
      <c r="H242" s="9"/>
      <c r="I242" s="412"/>
    </row>
    <row r="243" spans="1:9">
      <c r="A243" s="367"/>
      <c r="B243" s="403"/>
      <c r="C243" s="394"/>
      <c r="D243" s="9"/>
      <c r="E243" s="370"/>
      <c r="F243" s="9"/>
      <c r="G243" s="9"/>
      <c r="H243" s="9"/>
      <c r="I243" s="412"/>
    </row>
    <row r="244" spans="1:9">
      <c r="A244" s="517" t="s">
        <v>441</v>
      </c>
      <c r="B244" s="394" t="str">
        <f>IF(MODE_UVLO=1,"YES","NO")</f>
        <v>YES</v>
      </c>
      <c r="C244" s="519" t="str">
        <f>IF(MODE_UVLO=1,"Ruv1","")</f>
        <v>Ruv1</v>
      </c>
      <c r="D244" s="519" t="str">
        <f>IF(MODE_UVLO=1,"Ruv2","")</f>
        <v>Ruv2</v>
      </c>
      <c r="E244" s="519"/>
      <c r="F244" s="519" t="s">
        <v>74</v>
      </c>
      <c r="G244" s="519" t="s">
        <v>415</v>
      </c>
      <c r="H244" s="365" t="s">
        <v>442</v>
      </c>
      <c r="I244" s="412"/>
    </row>
    <row r="245" ht="12.5" spans="1:9">
      <c r="A245" s="367" t="str">
        <f>"RUV1 = "&amp;C245</f>
        <v>RUV1 = 332kΩ</v>
      </c>
      <c r="B245" s="9" t="str">
        <f>'LM(2)518x PSR flyback converter'!E38&amp;" kΩ"</f>
        <v>332 kΩ</v>
      </c>
      <c r="C245" s="519" t="str">
        <f>IF(MODE_UVLO=1,'LM(2)518x PSR flyback converter'!E38&amp;"kΩ","")</f>
        <v>332kΩ</v>
      </c>
      <c r="F245" s="9">
        <f>IF(MODE_UVLO=1,'LM(2)518x PSR flyback converter'!E38,"")</f>
        <v>332</v>
      </c>
      <c r="G245" s="365" t="str">
        <f>IF(MODE_UVLO=1,"kΩ","")</f>
        <v>kΩ</v>
      </c>
      <c r="H245" s="519" t="str">
        <f>IF(MODE_UVLO=1,'LM(2)518x PSR flyback converter'!E38&amp;"k","")</f>
        <v>332k</v>
      </c>
      <c r="I245" s="412"/>
    </row>
    <row r="246" ht="12.5" spans="1:9">
      <c r="A246" s="367" t="str">
        <f>"RUV2 = "&amp;C246</f>
        <v>RUV2 = 59kΩ</v>
      </c>
      <c r="B246" s="9" t="str">
        <f>IF(D158&gt;=1000,D158/1000&amp;" MΩ",D158&amp;" kΩ")</f>
        <v>59 kΩ</v>
      </c>
      <c r="C246" s="519" t="str">
        <f>IF(MODE_UVLO=1,IF(D158&lt;1,D158*1000&amp;"Ω",IF(D158&lt;1000,D158&amp;"kΩ",D158/1000&amp;"MΩ")),"")</f>
        <v>59kΩ</v>
      </c>
      <c r="F246" s="9">
        <f>IF(MODE_UVLO=1,IF(D158&lt;1,D158*1000,IF(D158&lt;1000,D158,D158/1000)),"")</f>
        <v>59</v>
      </c>
      <c r="G246" s="365" t="str">
        <f>IF(MODE_UVLO=1,IF(D158&lt;1,"Ω",IF(D158&lt;1000,"kΩ","MΩ")),"")</f>
        <v>kΩ</v>
      </c>
      <c r="H246" s="519" t="str">
        <f>IF(MODE_UVLO=1,IF(D158&lt;1,D158*1000,IF(D158&lt;1000,D158&amp;"k",D158/1000&amp;"M")),"")</f>
        <v>59k</v>
      </c>
      <c r="I246" s="412"/>
    </row>
    <row r="247" ht="12.5" spans="1:9">
      <c r="A247" s="367"/>
      <c r="B247" s="9"/>
      <c r="C247" s="519"/>
      <c r="F247" s="9"/>
      <c r="G247" s="365"/>
      <c r="H247" s="519"/>
      <c r="I247" s="412"/>
    </row>
    <row r="248" spans="1:9">
      <c r="A248" s="517" t="s">
        <v>443</v>
      </c>
      <c r="B248" s="9"/>
      <c r="C248" s="519"/>
      <c r="F248" s="9"/>
      <c r="G248" s="365"/>
      <c r="H248" s="519"/>
      <c r="I248" s="412"/>
    </row>
    <row r="249" ht="12.5" spans="1:9">
      <c r="A249" s="367" t="str">
        <f>"RSET = "&amp;C249</f>
        <v>RSET = 12.1kΩ</v>
      </c>
      <c r="B249" s="365" t="s">
        <v>444</v>
      </c>
      <c r="C249" s="365" t="s">
        <v>445</v>
      </c>
      <c r="F249" s="9">
        <f>IF(MODE_UVLO=1,IF(D159&lt;1,D159*1000,IF(D159&lt;1000,D159,D159/1000)),"")</f>
        <v>0</v>
      </c>
      <c r="G249" s="365" t="str">
        <f>IF(MODE_UVLO=1,IF(D159&lt;1,"Ω",IF(D159&lt;1000,"kΩ","MΩ")),"")</f>
        <v>Ω</v>
      </c>
      <c r="H249" s="519">
        <f>IF(MODE_UVLO=1,IF(D159&lt;1,D159*1000,IF(D159&lt;1000,D159&amp;"k",D159&amp;"M")),"")</f>
        <v>0</v>
      </c>
      <c r="I249" s="412"/>
    </row>
    <row r="250" ht="12.5" spans="1:9">
      <c r="A250" s="367"/>
      <c r="B250" s="365"/>
      <c r="C250" s="365"/>
      <c r="F250" s="9"/>
      <c r="G250" s="365"/>
      <c r="H250" s="519"/>
      <c r="I250" s="412"/>
    </row>
    <row r="251" spans="1:9">
      <c r="A251" s="517" t="s">
        <v>446</v>
      </c>
      <c r="B251" s="403"/>
      <c r="C251" s="394"/>
      <c r="D251" s="9"/>
      <c r="E251" s="370"/>
      <c r="F251" s="9"/>
      <c r="G251" s="9"/>
      <c r="H251" s="9"/>
      <c r="I251" s="412"/>
    </row>
    <row r="252" spans="1:9">
      <c r="A252" s="367" t="str">
        <f>"Css = "&amp;Css*1000000000&amp;"nF"</f>
        <v>Css = 45nF</v>
      </c>
      <c r="B252" s="9" t="str">
        <f>Css*1000000000&amp;"nF"</f>
        <v>45nF</v>
      </c>
      <c r="D252" s="9"/>
      <c r="E252" s="9"/>
      <c r="F252" s="9"/>
      <c r="G252" s="9"/>
      <c r="H252" s="9"/>
      <c r="I252" s="412"/>
    </row>
    <row r="253" ht="12.5" spans="1:9">
      <c r="A253" s="367" t="s">
        <v>368</v>
      </c>
      <c r="B253" s="9" t="str">
        <f>CHOOSE(MODE_SS,'Standard Value Calculator'!B4*1000000000&amp;"nF","")</f>
        <v/>
      </c>
      <c r="C253" s="9" t="str">
        <f>CHOOSE(MODE_SS,"Css","")</f>
        <v/>
      </c>
      <c r="D253" s="522" t="str">
        <f>B253</f>
        <v/>
      </c>
      <c r="E253" s="9"/>
      <c r="F253" s="9"/>
      <c r="G253" s="9"/>
      <c r="H253" s="9"/>
      <c r="I253" s="412"/>
    </row>
    <row r="254" spans="1:9">
      <c r="A254" s="367"/>
      <c r="B254" s="9"/>
      <c r="C254" s="365" t="str">
        <f>C253</f>
        <v/>
      </c>
      <c r="D254" s="356"/>
      <c r="E254" s="9"/>
      <c r="F254" s="9"/>
      <c r="G254" s="9"/>
      <c r="H254" s="9"/>
      <c r="I254" s="412"/>
    </row>
    <row r="255" spans="1:9">
      <c r="A255" s="367"/>
      <c r="B255" s="9"/>
      <c r="C255" s="365"/>
      <c r="D255" s="356"/>
      <c r="E255" s="9"/>
      <c r="F255" s="9"/>
      <c r="G255" s="9"/>
      <c r="H255" s="9"/>
      <c r="I255" s="412"/>
    </row>
    <row r="256" ht="12.5" spans="1:9">
      <c r="A256" s="362" t="s">
        <v>447</v>
      </c>
      <c r="B256" s="365">
        <f>ROUND(Iout*2,1)</f>
        <v>1</v>
      </c>
      <c r="C256" s="365" t="s">
        <v>18</v>
      </c>
      <c r="D256" s="9"/>
      <c r="E256" s="9"/>
      <c r="F256" s="9"/>
      <c r="G256" s="9"/>
      <c r="H256" s="9"/>
      <c r="I256" s="412"/>
    </row>
    <row r="257" ht="12.5" spans="1:9">
      <c r="A257" s="362" t="s">
        <v>448</v>
      </c>
      <c r="B257">
        <f>ROUND(VRRM_DIODE,0)</f>
        <v>39</v>
      </c>
      <c r="C257" s="365" t="s">
        <v>9</v>
      </c>
      <c r="D257" s="9"/>
      <c r="E257" s="9"/>
      <c r="F257" s="9"/>
      <c r="G257" s="9"/>
      <c r="H257" s="9"/>
      <c r="I257" s="412"/>
    </row>
    <row r="258" spans="6:9">
      <c r="F258" s="9"/>
      <c r="G258" s="9"/>
      <c r="H258" s="9"/>
      <c r="I258" s="412"/>
    </row>
    <row r="259" ht="12.5" spans="1:9">
      <c r="A259" s="362"/>
      <c r="B259" s="426"/>
      <c r="C259" s="9"/>
      <c r="D259" s="9"/>
      <c r="E259" s="9"/>
      <c r="F259" s="9"/>
      <c r="G259" s="9"/>
      <c r="H259" s="9"/>
      <c r="I259" s="412"/>
    </row>
    <row r="260" ht="12.5" spans="1:9">
      <c r="A260" s="362" t="s">
        <v>449</v>
      </c>
      <c r="B260" s="365" t="s">
        <v>450</v>
      </c>
      <c r="C260" s="9"/>
      <c r="D260" s="9"/>
      <c r="E260" s="9"/>
      <c r="F260" s="9"/>
      <c r="G260" s="9"/>
      <c r="H260" s="9"/>
      <c r="I260" s="412"/>
    </row>
    <row r="261" ht="12.5" spans="1:9">
      <c r="A261" s="362"/>
      <c r="B261" s="365"/>
      <c r="C261" s="9"/>
      <c r="D261" s="9"/>
      <c r="E261" s="9"/>
      <c r="F261" s="9"/>
      <c r="G261" s="9"/>
      <c r="H261" s="9"/>
      <c r="I261" s="412"/>
    </row>
    <row r="262" ht="12.5" spans="1:9">
      <c r="A262" s="362" t="s">
        <v>451</v>
      </c>
      <c r="B262" s="523" t="str">
        <f>CHOOSE(MODE,ROUND('Calculations - Single'!$CD$105,1)&amp;"%",ROUND('Calculations - Dual'!CF105,1)&amp;"%")</f>
        <v>81.3%</v>
      </c>
      <c r="C262" s="9"/>
      <c r="D262" s="9"/>
      <c r="E262" s="9"/>
      <c r="F262" s="9"/>
      <c r="G262" s="9"/>
      <c r="H262" s="9"/>
      <c r="I262" s="412"/>
    </row>
    <row r="263" ht="12.5" spans="1:9">
      <c r="A263" s="362" t="s">
        <v>452</v>
      </c>
      <c r="B263" s="523" t="str">
        <f>ROUND('Calculations - Single'!$CD$55,1)&amp;"%"</f>
        <v>86.9%</v>
      </c>
      <c r="C263" s="9"/>
      <c r="D263" s="9"/>
      <c r="E263" s="9"/>
      <c r="F263" s="9"/>
      <c r="G263" s="9"/>
      <c r="H263" s="9"/>
      <c r="I263" s="412"/>
    </row>
    <row r="264" ht="12.5" spans="1:9">
      <c r="A264" s="362" t="s">
        <v>453</v>
      </c>
      <c r="B264" s="523" t="str">
        <f>ROUND('Calculations - Single'!$CD$15,1)&amp;"%"</f>
        <v>89.3%</v>
      </c>
      <c r="C264" s="365" t="s">
        <v>454</v>
      </c>
      <c r="D264" s="9"/>
      <c r="E264" s="9"/>
      <c r="F264" s="9"/>
      <c r="G264" s="9"/>
      <c r="H264" s="9"/>
      <c r="I264" s="412"/>
    </row>
    <row r="265" ht="12.5" spans="1:9">
      <c r="A265" s="362" t="s">
        <v>455</v>
      </c>
      <c r="B265" s="523" t="str">
        <f>ROUND(Parameters!BZ56,1)&amp;"%"</f>
        <v>0%</v>
      </c>
      <c r="C265" s="365" t="s">
        <v>456</v>
      </c>
      <c r="D265" s="9"/>
      <c r="E265" s="9"/>
      <c r="F265" s="9"/>
      <c r="G265" s="9"/>
      <c r="H265" s="9"/>
      <c r="I265" s="412"/>
    </row>
    <row r="266" spans="1:9">
      <c r="A266" s="367"/>
      <c r="B266" s="9"/>
      <c r="C266" s="356"/>
      <c r="D266" s="9"/>
      <c r="E266" s="9"/>
      <c r="F266" s="9"/>
      <c r="G266" s="9"/>
      <c r="H266" s="9"/>
      <c r="I266" s="412"/>
    </row>
    <row r="267" spans="1:9">
      <c r="A267" s="367"/>
      <c r="B267" s="9"/>
      <c r="C267" s="356"/>
      <c r="D267" s="9"/>
      <c r="E267" s="9"/>
      <c r="F267" s="9"/>
      <c r="G267" s="9"/>
      <c r="H267" s="9"/>
      <c r="I267" s="412"/>
    </row>
    <row r="268" spans="1:9">
      <c r="A268" s="367"/>
      <c r="B268" s="9"/>
      <c r="C268" s="356"/>
      <c r="D268" s="9"/>
      <c r="E268" s="9"/>
      <c r="F268" s="9"/>
      <c r="G268" s="9"/>
      <c r="H268" s="9"/>
      <c r="I268" s="412"/>
    </row>
    <row r="269" spans="1:9">
      <c r="A269" s="367" t="s">
        <v>457</v>
      </c>
      <c r="B269" s="9" t="str">
        <f>IF(C269="y","","|")</f>
        <v>|</v>
      </c>
      <c r="C269" s="356" t="s">
        <v>458</v>
      </c>
      <c r="D269" s="9"/>
      <c r="E269" s="9"/>
      <c r="F269" s="9"/>
      <c r="G269" s="9"/>
      <c r="H269" s="9"/>
      <c r="I269" s="412"/>
    </row>
    <row r="270" spans="1:9">
      <c r="A270" s="367"/>
      <c r="B270" s="9"/>
      <c r="C270" s="356"/>
      <c r="D270" s="9"/>
      <c r="E270" s="9"/>
      <c r="F270" s="9"/>
      <c r="G270" s="9"/>
      <c r="H270" s="9"/>
      <c r="I270" s="412"/>
    </row>
    <row r="271" spans="1:9">
      <c r="A271" s="445" t="s">
        <v>459</v>
      </c>
      <c r="B271" s="9" t="str">
        <f>'LM(2)518x PSR flyback converter'!$E$11&amp;"A"</f>
        <v>0.5A</v>
      </c>
      <c r="C271" s="356"/>
      <c r="D271" s="9"/>
      <c r="E271" s="9"/>
      <c r="F271" s="9"/>
      <c r="G271" s="9"/>
      <c r="H271" s="9"/>
      <c r="I271" s="412"/>
    </row>
    <row r="272" spans="1:9">
      <c r="A272" s="445" t="s">
        <v>460</v>
      </c>
      <c r="B272" s="9" t="str">
        <f>IF(MODE_TOP="DUAL",'LM(2)518x PSR flyback converter'!$E$13&amp;"A","")</f>
        <v/>
      </c>
      <c r="C272" s="356"/>
      <c r="D272" s="365">
        <f>MODE</f>
        <v>2</v>
      </c>
      <c r="E272" s="9"/>
      <c r="F272" s="9"/>
      <c r="G272" s="9"/>
      <c r="H272" s="9"/>
      <c r="I272" s="412"/>
    </row>
    <row r="273" spans="1:9">
      <c r="A273" s="445" t="s">
        <v>461</v>
      </c>
      <c r="B273" s="9" t="str">
        <f>IF(MODE_TOP="BIPOLAR",Iout2_actual&amp;"A","")</f>
        <v>-0.4A</v>
      </c>
      <c r="C273" s="356"/>
      <c r="D273" s="9"/>
      <c r="E273" s="9"/>
      <c r="F273" s="9"/>
      <c r="G273" s="9"/>
      <c r="H273" s="9"/>
      <c r="I273" s="412"/>
    </row>
    <row r="274" spans="1:9">
      <c r="A274" s="367"/>
      <c r="B274" s="9"/>
      <c r="C274" s="356"/>
      <c r="D274" s="9"/>
      <c r="E274" s="9"/>
      <c r="F274" s="9"/>
      <c r="G274" s="9"/>
      <c r="H274" s="9"/>
      <c r="I274" s="412"/>
    </row>
    <row r="275" spans="1:9">
      <c r="A275" s="362" t="s">
        <v>462</v>
      </c>
      <c r="B275" s="9">
        <v>1</v>
      </c>
      <c r="C275" s="356"/>
      <c r="D275" s="9"/>
      <c r="E275" s="9"/>
      <c r="F275" s="9"/>
      <c r="G275" s="9"/>
      <c r="H275" s="9"/>
      <c r="I275" s="412"/>
    </row>
    <row r="276" spans="1:9">
      <c r="A276" s="362" t="s">
        <v>463</v>
      </c>
      <c r="B276" s="9">
        <v>2</v>
      </c>
      <c r="C276" s="356"/>
      <c r="D276" s="9"/>
      <c r="E276" s="9"/>
      <c r="F276" s="9"/>
      <c r="G276" s="9"/>
      <c r="H276" s="9"/>
      <c r="I276" s="412"/>
    </row>
    <row r="277" spans="1:9">
      <c r="A277" s="512" t="s">
        <v>424</v>
      </c>
      <c r="B277" s="9">
        <v>3</v>
      </c>
      <c r="C277" s="356"/>
      <c r="D277" s="9"/>
      <c r="E277" s="9"/>
      <c r="F277" s="9"/>
      <c r="G277" s="9"/>
      <c r="H277" s="9"/>
      <c r="I277" s="412"/>
    </row>
    <row r="278" spans="1:9">
      <c r="A278" s="362" t="s">
        <v>464</v>
      </c>
      <c r="B278" s="9">
        <v>4</v>
      </c>
      <c r="C278" s="356"/>
      <c r="D278" s="9"/>
      <c r="E278" s="9"/>
      <c r="F278" s="9"/>
      <c r="G278" s="9"/>
      <c r="H278" s="9"/>
      <c r="I278" s="412"/>
    </row>
    <row r="279" spans="1:9">
      <c r="A279" s="362" t="s">
        <v>465</v>
      </c>
      <c r="B279" s="9">
        <v>5</v>
      </c>
      <c r="C279" s="356"/>
      <c r="D279" s="9"/>
      <c r="E279" s="9"/>
      <c r="F279" s="9"/>
      <c r="G279" s="9"/>
      <c r="H279" s="9"/>
      <c r="I279" s="412"/>
    </row>
    <row r="280" spans="1:9">
      <c r="A280" s="362" t="s">
        <v>466</v>
      </c>
      <c r="B280" s="9">
        <v>6</v>
      </c>
      <c r="C280" s="356"/>
      <c r="D280" s="9"/>
      <c r="E280" s="9"/>
      <c r="F280" s="9"/>
      <c r="G280" s="9"/>
      <c r="H280" s="9"/>
      <c r="I280" s="412"/>
    </row>
    <row r="281" spans="1:9">
      <c r="A281" s="362" t="s">
        <v>467</v>
      </c>
      <c r="B281" s="9">
        <v>7</v>
      </c>
      <c r="C281" s="356"/>
      <c r="D281" s="9"/>
      <c r="E281" s="9"/>
      <c r="F281" s="9"/>
      <c r="G281" s="9"/>
      <c r="H281" s="9"/>
      <c r="I281" s="412"/>
    </row>
    <row r="282" spans="1:9">
      <c r="A282" s="512" t="s">
        <v>468</v>
      </c>
      <c r="B282" s="9">
        <v>8</v>
      </c>
      <c r="C282" s="356"/>
      <c r="D282" s="9"/>
      <c r="E282" s="9"/>
      <c r="F282" s="9"/>
      <c r="G282" s="9"/>
      <c r="H282" s="9"/>
      <c r="I282" s="412"/>
    </row>
    <row r="283" ht="13.75" spans="1:9">
      <c r="A283" s="524"/>
      <c r="B283" s="388"/>
      <c r="C283" s="428"/>
      <c r="D283" s="388"/>
      <c r="E283" s="388"/>
      <c r="F283" s="388"/>
      <c r="G283" s="388"/>
      <c r="H283" s="388"/>
      <c r="I283" s="418"/>
    </row>
  </sheetData>
  <sheetProtection selectLockedCells="1"/>
  <mergeCells count="2">
    <mergeCell ref="A1:I1"/>
    <mergeCell ref="E5:H5"/>
  </mergeCells>
  <pageMargins left="0.75" right="0.75" top="1" bottom="1" header="0.5" footer="0.5"/>
  <pageSetup paperSize="1" orientation="portrait"/>
  <headerFooter alignWithMargins="0"/>
  <ignoredErrors>
    <ignoredError sqref="R64:R68"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AR687"/>
  <sheetViews>
    <sheetView zoomScale="115" zoomScaleNormal="115" workbookViewId="0">
      <pane ySplit="11" topLeftCell="A12" activePane="bottomLeft" state="frozen"/>
      <selection/>
      <selection pane="bottomLeft" activeCell="D8" sqref="D8"/>
    </sheetView>
  </sheetViews>
  <sheetFormatPr defaultColWidth="9.18181818181818" defaultRowHeight="12.5"/>
  <cols>
    <col min="1" max="1" width="10.4545454545455" style="22" customWidth="1"/>
    <col min="2" max="2" width="10.7272727272727" style="22" customWidth="1"/>
    <col min="3" max="3" width="6.18181818181818" style="22" customWidth="1"/>
    <col min="4" max="4" width="16.2636363636364" style="22" customWidth="1"/>
    <col min="5" max="5" width="4.45454545454545" style="22" customWidth="1"/>
    <col min="6" max="6" width="3.26363636363636" style="22" customWidth="1"/>
    <col min="7" max="7" width="16.1818181818182" style="22" customWidth="1"/>
    <col min="8" max="8" width="15.7272727272727" style="22" customWidth="1"/>
    <col min="9" max="9" width="10" style="22" customWidth="1"/>
    <col min="10" max="10" width="10.8181818181818" style="22" customWidth="1"/>
    <col min="11" max="11" width="10.1818181818182" style="22" customWidth="1"/>
    <col min="12" max="14" width="11.8181818181818" style="22" customWidth="1"/>
    <col min="15" max="15" width="14.2636363636364" style="22" customWidth="1"/>
    <col min="16" max="16" width="11" style="22" customWidth="1"/>
    <col min="17" max="17" width="12" style="22" customWidth="1"/>
    <col min="18" max="18" width="11.4545454545455" style="22" customWidth="1"/>
    <col min="19" max="19" width="10.8181818181818" style="22" customWidth="1"/>
    <col min="20" max="20" width="11.4545454545455" style="22" customWidth="1"/>
    <col min="21" max="21" width="11.8181818181818" style="22" customWidth="1"/>
    <col min="22" max="22" width="13.5454545454545" style="22" customWidth="1"/>
    <col min="23" max="23" width="9.45454545454546" style="22" customWidth="1"/>
    <col min="24" max="24" width="16.1818181818182" style="22" customWidth="1"/>
    <col min="25" max="25" width="16.1818181818182" style="27" customWidth="1"/>
    <col min="26" max="26" width="8.81818181818182" style="22" customWidth="1"/>
    <col min="27" max="27" width="13.4545454545455" style="22" customWidth="1"/>
    <col min="28" max="28" width="9.26363636363636" style="22" customWidth="1"/>
    <col min="29" max="29" width="9.18181818181818" style="22"/>
    <col min="30" max="30" width="13.5454545454545" style="22" customWidth="1"/>
    <col min="31" max="31" width="10.5454545454545" style="22" customWidth="1"/>
    <col min="32" max="32" width="9.18181818181818" style="22"/>
    <col min="33" max="33" width="9.26363636363636" style="22" customWidth="1"/>
    <col min="34" max="34" width="11.2636363636364" style="22" customWidth="1"/>
    <col min="35" max="35" width="5.81818181818182" style="22" customWidth="1"/>
    <col min="36" max="36" width="12.2636363636364" style="22" customWidth="1"/>
    <col min="37" max="37" width="8.81818181818182" style="22" customWidth="1"/>
    <col min="38" max="38" width="18.1818181818182" style="22" customWidth="1"/>
    <col min="39" max="39" width="45.2636363636364" style="22" customWidth="1"/>
    <col min="40" max="40" width="19.2636363636364" style="22" customWidth="1"/>
    <col min="41" max="41" width="40.7272727272727" style="22" customWidth="1"/>
    <col min="42" max="42" width="40.1818181818182" style="22" customWidth="1"/>
    <col min="43" max="43" width="40.7272727272727" style="22" customWidth="1"/>
    <col min="44" max="44" width="40.1818181818182" style="22" customWidth="1"/>
    <col min="45" max="45" width="28.4545454545455" style="22" customWidth="1"/>
    <col min="46" max="16384" width="9.18181818181818" style="22"/>
  </cols>
  <sheetData>
    <row r="1" ht="13.25"/>
    <row r="2" s="37" customFormat="1" ht="13" spans="1:25">
      <c r="A2" s="237" t="s">
        <v>469</v>
      </c>
      <c r="G2" s="238" t="s">
        <v>470</v>
      </c>
      <c r="H2" s="239"/>
      <c r="I2" s="265"/>
      <c r="J2" s="266"/>
      <c r="K2" s="238" t="s">
        <v>471</v>
      </c>
      <c r="L2" s="239"/>
      <c r="M2" s="239"/>
      <c r="N2" s="238"/>
      <c r="O2" s="267"/>
      <c r="P2" s="238" t="s">
        <v>472</v>
      </c>
      <c r="Q2" s="265"/>
      <c r="R2" s="266"/>
      <c r="S2" s="238" t="s">
        <v>473</v>
      </c>
      <c r="T2" s="265"/>
      <c r="U2" s="266"/>
      <c r="V2" s="238" t="s">
        <v>474</v>
      </c>
      <c r="W2" s="239"/>
      <c r="X2" s="267"/>
      <c r="Y2" s="195"/>
    </row>
    <row r="3" spans="2:26">
      <c r="B3" s="184"/>
      <c r="H3" s="240" t="s">
        <v>475</v>
      </c>
      <c r="I3" s="68">
        <f>Vref/(Vout_eff*Npri_sec)</f>
        <v>0.0806666666666667</v>
      </c>
      <c r="J3" s="268" t="s">
        <v>476</v>
      </c>
      <c r="K3" s="269" t="s">
        <v>477</v>
      </c>
      <c r="L3" s="92">
        <f>1/Rcs_gain</f>
        <v>1.5</v>
      </c>
      <c r="M3" s="268" t="s">
        <v>478</v>
      </c>
      <c r="N3" s="49" t="s">
        <v>479</v>
      </c>
      <c r="O3" s="270">
        <f>gmEA</f>
        <v>1.2e-5</v>
      </c>
      <c r="P3" s="271" t="s">
        <v>480</v>
      </c>
      <c r="Q3" s="272">
        <f>1/(2*Pi*D25*D26)</f>
        <v>1850638.87527624</v>
      </c>
      <c r="R3" s="268" t="s">
        <v>197</v>
      </c>
      <c r="S3" s="271"/>
      <c r="T3" s="272"/>
      <c r="U3" s="268"/>
      <c r="V3" s="302" t="s">
        <v>481</v>
      </c>
      <c r="W3" s="272">
        <f>Am*Afb*Aea</f>
        <v>69696</v>
      </c>
      <c r="X3" s="279" t="s">
        <v>476</v>
      </c>
      <c r="Y3" s="131">
        <f>20*LOG(Am*Afb*Aea)</f>
        <v>96.8641570747933</v>
      </c>
      <c r="Z3" s="22" t="s">
        <v>482</v>
      </c>
    </row>
    <row r="4" ht="13" spans="2:26">
      <c r="B4" s="22">
        <f>BODE_TYPE</f>
        <v>2</v>
      </c>
      <c r="H4" s="241" t="s">
        <v>483</v>
      </c>
      <c r="I4" s="272">
        <f>1/(2*Pi*Rcomp*Ccomp)</f>
        <v>1326.29119394797</v>
      </c>
      <c r="J4" s="268" t="s">
        <v>197</v>
      </c>
      <c r="K4" s="271" t="s">
        <v>484</v>
      </c>
      <c r="L4" s="92">
        <f>CHOOSE(BODE_TYPE,Rload_pri/Rcs_gain*(Lmag/(2*Vout_eff*Npri_sec)*Fsw_DCM)*SQRT(Iout_eff/(Lmag/(2*Vout_eff*Npri_sec)*Fsw_DCM*Npri_sec)),Rload_pri/(Rcs_gain*2*(2*M+1)))</f>
        <v>15</v>
      </c>
      <c r="M4" s="268" t="s">
        <v>476</v>
      </c>
      <c r="N4" s="273" t="s">
        <v>485</v>
      </c>
      <c r="O4" s="274">
        <f>REAout</f>
        <v>4800000000</v>
      </c>
      <c r="P4" s="271" t="s">
        <v>486</v>
      </c>
      <c r="Q4" s="272">
        <f>CHOOSE(BODE_TYPE,2/(2*Pi*D25*Rload_sec),1/(2*Pi*D25*Rload_sec)*(2*M+1)/(M+1))</f>
        <v>1024.96922322992</v>
      </c>
      <c r="R4" s="268" t="s">
        <v>197</v>
      </c>
      <c r="S4" s="275"/>
      <c r="T4" s="303"/>
      <c r="U4" s="279"/>
      <c r="V4" s="304" t="s">
        <v>487</v>
      </c>
      <c r="W4" s="305">
        <f>AK7</f>
        <v>28.348</v>
      </c>
      <c r="X4" s="306" t="s">
        <v>488</v>
      </c>
      <c r="Y4" s="131">
        <f>20*LOG(Am*Afb)</f>
        <v>1.655707406329</v>
      </c>
      <c r="Z4" s="22" t="s">
        <v>482</v>
      </c>
    </row>
    <row r="5" ht="13" spans="8:26">
      <c r="H5" s="240" t="s">
        <v>489</v>
      </c>
      <c r="I5" s="92">
        <f>1/(2*Pi*REAout*Ccomp)</f>
        <v>0.552621330811654</v>
      </c>
      <c r="J5" s="268" t="s">
        <v>197</v>
      </c>
      <c r="K5" s="271"/>
      <c r="L5" s="68"/>
      <c r="M5" s="268"/>
      <c r="N5" s="273"/>
      <c r="O5" s="273"/>
      <c r="P5" s="275" t="s">
        <v>490</v>
      </c>
      <c r="Q5" s="307">
        <f>Rload_pri/(2*Pi*Lmag*M*(M+1))</f>
        <v>282071.530232873</v>
      </c>
      <c r="R5" s="279" t="s">
        <v>197</v>
      </c>
      <c r="S5" s="275"/>
      <c r="T5" s="50"/>
      <c r="U5" s="279"/>
      <c r="V5" s="304" t="s">
        <v>491</v>
      </c>
      <c r="W5" s="308">
        <f>AK9</f>
        <v>56.4144029808726</v>
      </c>
      <c r="X5" s="309" t="s">
        <v>492</v>
      </c>
      <c r="Y5" s="131">
        <f>20*LOG(Am)</f>
        <v>23.5218251811136</v>
      </c>
      <c r="Z5" s="22" t="s">
        <v>482</v>
      </c>
    </row>
    <row r="6" spans="8:37">
      <c r="H6" s="240" t="s">
        <v>493</v>
      </c>
      <c r="I6" s="101">
        <f>gmEA*REAout</f>
        <v>57600</v>
      </c>
      <c r="J6" s="268" t="s">
        <v>476</v>
      </c>
      <c r="K6" s="275">
        <f>Vout_eff</f>
        <v>5</v>
      </c>
      <c r="L6" s="276"/>
      <c r="M6" s="277"/>
      <c r="N6" s="278"/>
      <c r="O6" s="279"/>
      <c r="P6" s="275"/>
      <c r="Q6" s="50">
        <f>M</f>
        <v>0.625</v>
      </c>
      <c r="R6" s="279"/>
      <c r="S6" s="275"/>
      <c r="T6" s="276"/>
      <c r="U6" s="279"/>
      <c r="V6" s="310" t="s">
        <v>494</v>
      </c>
      <c r="W6" s="50">
        <v>57.2957795785523</v>
      </c>
      <c r="X6" s="279"/>
      <c r="Y6" s="131">
        <f>20*LOG(Aea)</f>
        <v>95.2084496684642</v>
      </c>
      <c r="Z6" s="22" t="s">
        <v>482</v>
      </c>
      <c r="AJ6" s="333" t="s">
        <v>495</v>
      </c>
      <c r="AK6" s="333"/>
    </row>
    <row r="7" ht="13.25" spans="8:37">
      <c r="H7" s="242" t="s">
        <v>496</v>
      </c>
      <c r="I7" s="280">
        <f>1/(2*Pi*Rcomp*Chf)</f>
        <v>198943.679092195</v>
      </c>
      <c r="J7" s="281" t="s">
        <v>197</v>
      </c>
      <c r="K7" s="282"/>
      <c r="L7" s="283"/>
      <c r="M7" s="283"/>
      <c r="N7" s="284"/>
      <c r="O7" s="281"/>
      <c r="P7" s="282"/>
      <c r="Q7" s="282"/>
      <c r="R7" s="281"/>
      <c r="S7" s="282"/>
      <c r="T7" s="282"/>
      <c r="U7" s="281"/>
      <c r="V7" s="282"/>
      <c r="W7" s="282"/>
      <c r="X7" s="281"/>
      <c r="Y7" s="131">
        <f>20*LOG(Acs)</f>
        <v>3.52182518111362</v>
      </c>
      <c r="Z7" s="22" t="s">
        <v>482</v>
      </c>
      <c r="AJ7" s="22" t="s">
        <v>497</v>
      </c>
      <c r="AK7" s="22">
        <f>SUM(AJ12:AJ613)/1000</f>
        <v>28.348</v>
      </c>
    </row>
    <row r="8" spans="8:24">
      <c r="H8" s="243"/>
      <c r="I8" s="285"/>
      <c r="J8" s="250"/>
      <c r="K8" s="250"/>
      <c r="L8" s="286"/>
      <c r="M8" s="286"/>
      <c r="N8" s="286"/>
      <c r="O8" s="250"/>
      <c r="P8" s="250"/>
      <c r="Q8" s="250"/>
      <c r="R8" s="250"/>
      <c r="S8" s="250"/>
      <c r="T8" s="250"/>
      <c r="U8" s="250"/>
      <c r="V8" s="250"/>
      <c r="W8" s="250"/>
      <c r="X8" s="250"/>
    </row>
    <row r="9" ht="13.25" spans="1:37">
      <c r="A9" s="244"/>
      <c r="B9" s="813" t="s">
        <v>498</v>
      </c>
      <c r="AJ9" s="22" t="s">
        <v>499</v>
      </c>
      <c r="AK9" s="27">
        <f>SUM(AK13:AK613)</f>
        <v>56.4144029808726</v>
      </c>
    </row>
    <row r="10" ht="14" spans="1:39">
      <c r="A10" s="245"/>
      <c r="B10" s="814" t="s">
        <v>500</v>
      </c>
      <c r="G10" s="246" t="s">
        <v>501</v>
      </c>
      <c r="H10" s="247" t="s">
        <v>502</v>
      </c>
      <c r="I10" s="287" t="s">
        <v>503</v>
      </c>
      <c r="J10" s="288"/>
      <c r="K10" s="288"/>
      <c r="L10" s="288"/>
      <c r="M10" s="288"/>
      <c r="N10" s="289"/>
      <c r="O10" s="287" t="s">
        <v>504</v>
      </c>
      <c r="P10" s="288"/>
      <c r="Q10" s="288"/>
      <c r="R10" s="288"/>
      <c r="S10" s="288"/>
      <c r="T10" s="289"/>
      <c r="U10" s="311" t="s">
        <v>505</v>
      </c>
      <c r="V10" s="312"/>
      <c r="W10" s="311" t="s">
        <v>506</v>
      </c>
      <c r="X10" s="313"/>
      <c r="Y10" s="322"/>
      <c r="AD10" s="323" t="s">
        <v>507</v>
      </c>
      <c r="AE10" s="324"/>
      <c r="AG10" s="323" t="s">
        <v>508</v>
      </c>
      <c r="AH10" s="324"/>
      <c r="AM10" s="196" t="s">
        <v>509</v>
      </c>
    </row>
    <row r="11" ht="13" spans="7:34">
      <c r="G11" s="248"/>
      <c r="H11" s="249"/>
      <c r="I11" s="290" t="s">
        <v>486</v>
      </c>
      <c r="J11" s="291"/>
      <c r="K11" s="291" t="s">
        <v>480</v>
      </c>
      <c r="L11" s="292"/>
      <c r="M11" s="293" t="s">
        <v>490</v>
      </c>
      <c r="N11" s="294"/>
      <c r="O11" s="290" t="s">
        <v>510</v>
      </c>
      <c r="P11" s="291"/>
      <c r="Q11" s="291" t="s">
        <v>511</v>
      </c>
      <c r="R11" s="292"/>
      <c r="S11" s="293" t="s">
        <v>512</v>
      </c>
      <c r="T11" s="294"/>
      <c r="U11" s="290" t="s">
        <v>513</v>
      </c>
      <c r="V11" s="292"/>
      <c r="W11" s="271"/>
      <c r="X11" s="101"/>
      <c r="Y11" s="325"/>
      <c r="AD11" s="271"/>
      <c r="AE11" s="268"/>
      <c r="AG11" s="271"/>
      <c r="AH11" s="268"/>
    </row>
    <row r="12" ht="13.75" spans="1:34">
      <c r="A12" s="250"/>
      <c r="B12" s="250"/>
      <c r="C12" s="250"/>
      <c r="D12" s="250"/>
      <c r="E12" s="250"/>
      <c r="F12" s="251"/>
      <c r="G12" s="252"/>
      <c r="H12" s="253"/>
      <c r="I12" s="295" t="s">
        <v>514</v>
      </c>
      <c r="J12" s="296" t="s">
        <v>515</v>
      </c>
      <c r="K12" s="296" t="s">
        <v>514</v>
      </c>
      <c r="L12" s="297" t="s">
        <v>515</v>
      </c>
      <c r="M12" s="296" t="s">
        <v>514</v>
      </c>
      <c r="N12" s="297" t="s">
        <v>515</v>
      </c>
      <c r="O12" s="295" t="s">
        <v>514</v>
      </c>
      <c r="P12" s="296" t="s">
        <v>515</v>
      </c>
      <c r="Q12" s="296" t="s">
        <v>514</v>
      </c>
      <c r="R12" s="297" t="s">
        <v>515</v>
      </c>
      <c r="S12" s="295" t="s">
        <v>514</v>
      </c>
      <c r="T12" s="296" t="s">
        <v>515</v>
      </c>
      <c r="U12" s="295" t="s">
        <v>514</v>
      </c>
      <c r="V12" s="297" t="s">
        <v>515</v>
      </c>
      <c r="W12" s="314" t="s">
        <v>516</v>
      </c>
      <c r="X12" s="315" t="s">
        <v>517</v>
      </c>
      <c r="Y12" s="326" t="s">
        <v>518</v>
      </c>
      <c r="AB12" s="327" t="s">
        <v>519</v>
      </c>
      <c r="AD12" s="328" t="s">
        <v>520</v>
      </c>
      <c r="AE12" s="329" t="s">
        <v>521</v>
      </c>
      <c r="AG12" s="328" t="s">
        <v>520</v>
      </c>
      <c r="AH12" s="329" t="s">
        <v>521</v>
      </c>
    </row>
    <row r="13" ht="13" spans="1:44">
      <c r="A13" s="196" t="s">
        <v>522</v>
      </c>
      <c r="B13" s="254">
        <v>3</v>
      </c>
      <c r="D13" s="22" t="s">
        <v>523</v>
      </c>
      <c r="G13" s="255">
        <v>0.1</v>
      </c>
      <c r="H13" s="256">
        <f>G13/1000</f>
        <v>0.0001</v>
      </c>
      <c r="I13" s="298">
        <f t="shared" ref="I13:I76" si="0">SQRT(1+(G13/pole1)^2)</f>
        <v>1.00000000475936</v>
      </c>
      <c r="J13" s="299">
        <f t="shared" ref="J13:J76" si="1">ATAN(G13/pole1)</f>
        <v>9.75639047654389e-5</v>
      </c>
      <c r="K13" s="299">
        <f t="shared" ref="K13:K76" si="2">SQRT(1+(G13/Zero1)^2)</f>
        <v>1</v>
      </c>
      <c r="L13" s="300">
        <f t="shared" ref="L13:L76" si="3">ATAN(G13/Zero1)</f>
        <v>5.40353935799999e-8</v>
      </c>
      <c r="M13" s="299">
        <f t="shared" ref="M13:M76" si="4">SQRT(1+(G13/z_RHP)^2)</f>
        <v>1.00000000000006</v>
      </c>
      <c r="N13" s="300">
        <f t="shared" ref="N13:N76" si="5">-ATAN(G13/z_RHP)</f>
        <v>-3.54520003906235e-7</v>
      </c>
      <c r="O13" s="298">
        <f t="shared" ref="O13:O76" si="6">SQRT(1+(G13/Pole2)^2)</f>
        <v>1.01624061059521</v>
      </c>
      <c r="P13" s="301">
        <f t="shared" ref="P13:P76" si="7">ATAN(G13/Pole2)</f>
        <v>0.179018526313094</v>
      </c>
      <c r="Q13" s="299">
        <f t="shared" ref="Q13:Q76" si="8">SQRT(1+(G13/Zero2)^2)</f>
        <v>1.00000000284245</v>
      </c>
      <c r="R13" s="300">
        <f t="shared" ref="R13:R76" si="9">ATAN(G13/Zero2)</f>
        <v>7.53982234571231e-5</v>
      </c>
      <c r="S13" s="298">
        <f t="shared" ref="S13:S76" si="10">SQRT(1+(G13/pole4)^2)</f>
        <v>1.00000000000013</v>
      </c>
      <c r="T13" s="301">
        <f t="shared" ref="T13:T76" si="11">ATAN(G13/pole4)</f>
        <v>5.02654823999958e-7</v>
      </c>
      <c r="U13" s="316">
        <f>IMABS(IMPRODUCT(AO13,AR13))</f>
        <v>0.999599999999481</v>
      </c>
      <c r="V13" s="317">
        <f>IMARGUMENT(IMPRODUCT(AO13,AR13))</f>
        <v>-1.25645916902264e-6</v>
      </c>
      <c r="W13" s="318">
        <f t="shared" ref="W13:W76" si="12">20*LOG10(((K13*Q13*M13*U13)/(I13*O13*S13))*Adc)</f>
        <v>96.7207510868055</v>
      </c>
      <c r="X13" s="319">
        <f t="shared" ref="X13:X76" si="13">((L13+R13+N13+V13)-(J13+P13+T13))*radconv</f>
        <v>-10.2583940304103</v>
      </c>
      <c r="Y13" s="330">
        <f t="shared" ref="Y13:Y76" si="14">IF(X13&gt;0,X13,X13+180)</f>
        <v>169.74160596959</v>
      </c>
      <c r="AA13" s="22">
        <f t="shared" ref="AA13:AA76" si="15">IF(W13&lt;0,G13,1000000000)</f>
        <v>1000000000</v>
      </c>
      <c r="AB13" s="22">
        <f t="shared" ref="AB13:AB76" si="16">G13^2</f>
        <v>0.01</v>
      </c>
      <c r="AD13" s="331">
        <f t="shared" ref="AD13:AD76" si="17">20*LOG10((Q13/(O13*S13))*Aea)</f>
        <v>95.0685187727315</v>
      </c>
      <c r="AE13" s="332">
        <f t="shared" ref="AE13:AE76" si="18">(R13-(P13+T13))*radconv</f>
        <v>-10.2527148241205</v>
      </c>
      <c r="AG13" s="331">
        <f t="shared" ref="AG13:AG76" si="19">20*LOG10((K13*M13/(I13*U13))*Acs*Am)</f>
        <v>27.0471253718048</v>
      </c>
      <c r="AH13" s="332">
        <f t="shared" ref="AH13:AH76" si="20">(L13+N13-(J13+V13))*radconv</f>
        <v>-0.00553522667466568</v>
      </c>
      <c r="AJ13" s="22">
        <f t="shared" ref="AJ13:AJ76" si="21">SUM((W14&lt;0)*(W13&gt;0))*G13</f>
        <v>0</v>
      </c>
      <c r="AK13" s="22">
        <f t="shared" ref="AK13:AK44" si="22">IF(AJ13&gt;0,Y11,0)</f>
        <v>0</v>
      </c>
      <c r="AM13" s="22" t="str">
        <f t="shared" ref="AM13" si="23">IMSUB(1,IMEXP(COMPLEX(0,-2*Pi*G13*Tsw)))</f>
        <v>1.61104463103356E-12+1.79519579999904E-06i</v>
      </c>
      <c r="AN13" s="22" t="str">
        <f t="shared" ref="AN13" si="24">COMPLEX(0,2*Pi*G13*Tsw)</f>
        <v>0.0000017951958i</v>
      </c>
      <c r="AO13" s="22" t="str">
        <f>IMDIV(AM13,AN13)</f>
        <v>0.999999999999465-8.97420009022726E-07i</v>
      </c>
      <c r="AP13" s="22" t="str">
        <f t="shared" ref="AP13" si="25">IMDIV(IMEXP(COMPLEX(0,-2*Pi*G13*Tsw)),6)</f>
        <v>0.166666666666398-2.9919929999984E-07i</v>
      </c>
      <c r="AQ13" s="22" t="str">
        <f>IMSUB(1,AP13)</f>
        <v>0.833333333333602+2.9919929999984E-07i</v>
      </c>
      <c r="AR13" s="22" t="str">
        <f>IMDIV(0.833,AQ13)</f>
        <v>0.999599999999549-3.5889554433553E-07i</v>
      </c>
    </row>
    <row r="14" ht="13" spans="1:44">
      <c r="A14" s="196" t="s">
        <v>524</v>
      </c>
      <c r="B14" s="244">
        <v>5</v>
      </c>
      <c r="C14" s="22" t="s">
        <v>9</v>
      </c>
      <c r="D14" s="22" t="s">
        <v>525</v>
      </c>
      <c r="G14" s="257">
        <v>1.0965</v>
      </c>
      <c r="H14" s="256">
        <f t="shared" ref="H14:H77" si="26">G14/1000</f>
        <v>0.0010965</v>
      </c>
      <c r="I14" s="298">
        <f t="shared" si="0"/>
        <v>1.00000057222325</v>
      </c>
      <c r="J14" s="299">
        <f t="shared" si="1"/>
        <v>0.00106978781104241</v>
      </c>
      <c r="K14" s="299">
        <f t="shared" si="2"/>
        <v>1.00000000000018</v>
      </c>
      <c r="L14" s="300">
        <f t="shared" si="3"/>
        <v>5.92498090604631e-7</v>
      </c>
      <c r="M14" s="299">
        <f t="shared" si="4"/>
        <v>1.00000000000756</v>
      </c>
      <c r="N14" s="300">
        <f t="shared" si="5"/>
        <v>-3.88731184281245e-6</v>
      </c>
      <c r="O14" s="298">
        <f t="shared" si="6"/>
        <v>2.22192909257543</v>
      </c>
      <c r="P14" s="301">
        <f t="shared" si="7"/>
        <v>1.10396450882203</v>
      </c>
      <c r="Q14" s="320">
        <f t="shared" si="8"/>
        <v>1.00000034175071</v>
      </c>
      <c r="R14" s="321">
        <f t="shared" si="9"/>
        <v>0.000826741333414375</v>
      </c>
      <c r="S14" s="298">
        <f t="shared" si="10"/>
        <v>1.00000000001519</v>
      </c>
      <c r="T14" s="301">
        <f t="shared" si="11"/>
        <v>5.51161014510419e-6</v>
      </c>
      <c r="U14" s="316">
        <f t="shared" ref="U14:U77" si="27">IMABS(IMPRODUCT(AO14,AR14))</f>
        <v>0.999599999937383</v>
      </c>
      <c r="V14" s="317">
        <f t="shared" ref="V14:V77" si="28">IMARGUMENT(IMPRODUCT(AO14,AR14))</f>
        <v>-1.37790132701346e-5</v>
      </c>
      <c r="W14" s="318">
        <f t="shared" si="12"/>
        <v>89.9260761137872</v>
      </c>
      <c r="X14" s="319">
        <f t="shared" si="13"/>
        <v>-63.2677267476509</v>
      </c>
      <c r="Y14" s="332">
        <f t="shared" si="14"/>
        <v>116.732273252349</v>
      </c>
      <c r="AA14" s="22">
        <f t="shared" si="15"/>
        <v>1000000000</v>
      </c>
      <c r="AB14" s="22">
        <f t="shared" si="16"/>
        <v>1.20231225</v>
      </c>
      <c r="AD14" s="331">
        <f t="shared" si="17"/>
        <v>88.2738487291135</v>
      </c>
      <c r="AE14" s="332">
        <f t="shared" si="18"/>
        <v>-63.2054541628038</v>
      </c>
      <c r="AG14" s="331">
        <f t="shared" si="19"/>
        <v>27.0471204434837</v>
      </c>
      <c r="AH14" s="332">
        <f t="shared" si="20"/>
        <v>-0.0606936262326712</v>
      </c>
      <c r="AJ14" s="22">
        <f t="shared" si="21"/>
        <v>0</v>
      </c>
      <c r="AK14" s="22">
        <f t="shared" si="22"/>
        <v>0</v>
      </c>
      <c r="AM14" s="22" t="str">
        <f t="shared" ref="AM14:AM77" si="29">IMSUB(1,IMEXP(COMPLEX(0,-2*Pi*G14*Tsw)))</f>
        <v>1.93736027220837E-10+0.0000196843219457288i</v>
      </c>
      <c r="AN14" s="22" t="str">
        <f t="shared" ref="AN14:AN77" si="30">COMPLEX(0,2*Pi*G14*Tsw)</f>
        <v>0.000019684321947i</v>
      </c>
      <c r="AO14" s="22" t="str">
        <f t="shared" ref="AO14:AO77" si="31">IMDIV(AM14,AN14)</f>
        <v>0.999999999935421-0.0000098421488808439i</v>
      </c>
      <c r="AP14" s="22" t="str">
        <f t="shared" ref="AP14:AP77" si="32">IMDIV(IMEXP(COMPLEX(0,-2*Pi*G14*Tsw)),6)</f>
        <v>0.166666666634377-3.28072032428813E-06i</v>
      </c>
      <c r="AQ14" s="22" t="str">
        <f t="shared" ref="AQ14:AQ77" si="33">IMSUB(1,AP14)</f>
        <v>0.833333333365623+3.28072032428813E-06i</v>
      </c>
      <c r="AR14" s="22" t="str">
        <f t="shared" ref="AR14:AR77" si="34">IMDIV(0.833,AQ14)</f>
        <v>0.999599999945775-3.93528964302414E-06i</v>
      </c>
    </row>
    <row r="15" ht="13" spans="1:44">
      <c r="A15" s="196" t="s">
        <v>526</v>
      </c>
      <c r="B15" s="244">
        <v>1</v>
      </c>
      <c r="C15" s="22" t="s">
        <v>18</v>
      </c>
      <c r="G15" s="257">
        <v>1.2023</v>
      </c>
      <c r="H15" s="256">
        <f t="shared" si="26"/>
        <v>0.0012023</v>
      </c>
      <c r="I15" s="298">
        <f t="shared" si="0"/>
        <v>1.00000068797697</v>
      </c>
      <c r="J15" s="299">
        <f t="shared" si="1"/>
        <v>0.00117301029271403</v>
      </c>
      <c r="K15" s="299">
        <f t="shared" si="2"/>
        <v>1.00000000000021</v>
      </c>
      <c r="L15" s="300">
        <f t="shared" si="3"/>
        <v>6.49667537012248e-7</v>
      </c>
      <c r="M15" s="299">
        <f t="shared" si="4"/>
        <v>1.00000000000908</v>
      </c>
      <c r="N15" s="300">
        <f t="shared" si="5"/>
        <v>-4.26239400693903e-6</v>
      </c>
      <c r="O15" s="298">
        <f t="shared" si="6"/>
        <v>2.39444554584036</v>
      </c>
      <c r="P15" s="301">
        <f t="shared" si="7"/>
        <v>1.13995739207182</v>
      </c>
      <c r="Q15" s="320">
        <f t="shared" si="8"/>
        <v>1.00000041088268</v>
      </c>
      <c r="R15" s="321">
        <f t="shared" si="9"/>
        <v>0.000906512594029253</v>
      </c>
      <c r="S15" s="298">
        <f t="shared" si="10"/>
        <v>1.00000000001826</v>
      </c>
      <c r="T15" s="301">
        <f t="shared" si="11"/>
        <v>6.04341894887843e-6</v>
      </c>
      <c r="U15" s="316">
        <f t="shared" si="27"/>
        <v>0.999599999924717</v>
      </c>
      <c r="V15" s="317">
        <f t="shared" si="28"/>
        <v>-1.51085599993696e-5</v>
      </c>
      <c r="W15" s="318">
        <f t="shared" si="12"/>
        <v>89.2765803198596</v>
      </c>
      <c r="X15" s="319">
        <f t="shared" si="13"/>
        <v>-65.3314355715933</v>
      </c>
      <c r="Y15" s="332">
        <f t="shared" si="14"/>
        <v>114.668564428407</v>
      </c>
      <c r="AA15" s="22">
        <f t="shared" si="15"/>
        <v>1000000000</v>
      </c>
      <c r="AB15" s="22">
        <f t="shared" si="16"/>
        <v>1.44552529</v>
      </c>
      <c r="AD15" s="331">
        <f t="shared" si="17"/>
        <v>87.6243539407057</v>
      </c>
      <c r="AE15" s="332">
        <f t="shared" si="18"/>
        <v>-65.2631543817154</v>
      </c>
      <c r="AG15" s="331">
        <f t="shared" si="19"/>
        <v>27.0471194381839</v>
      </c>
      <c r="AH15" s="332">
        <f t="shared" si="20"/>
        <v>-0.0665498764307415</v>
      </c>
      <c r="AJ15" s="22">
        <f t="shared" si="21"/>
        <v>0</v>
      </c>
      <c r="AK15" s="22">
        <f t="shared" si="22"/>
        <v>0</v>
      </c>
      <c r="AM15" s="22" t="str">
        <f t="shared" si="29"/>
        <v>2.32927011012407E-10+0.0000215836391017242i</v>
      </c>
      <c r="AN15" s="22" t="str">
        <f t="shared" si="30"/>
        <v>0.0000215836391034i</v>
      </c>
      <c r="AO15" s="22" t="str">
        <f t="shared" si="31"/>
        <v>0.999999999922358-0.0000107918321788338i</v>
      </c>
      <c r="AP15" s="22" t="str">
        <f t="shared" si="32"/>
        <v>0.166666666627845-0.0000035972731836207i</v>
      </c>
      <c r="AQ15" s="22" t="str">
        <f t="shared" si="33"/>
        <v>0.833333333372155+0.0000035972731836207i</v>
      </c>
      <c r="AR15" s="22" t="str">
        <f t="shared" si="34"/>
        <v>0.999599999934806-4.31500112873426E-06i</v>
      </c>
    </row>
    <row r="16" ht="13" spans="1:44">
      <c r="A16" s="196" t="s">
        <v>527</v>
      </c>
      <c r="B16" s="244">
        <v>24</v>
      </c>
      <c r="C16" s="22" t="s">
        <v>9</v>
      </c>
      <c r="G16" s="257">
        <v>1.3183</v>
      </c>
      <c r="H16" s="256">
        <f t="shared" si="26"/>
        <v>0.0013183</v>
      </c>
      <c r="I16" s="298">
        <f t="shared" si="0"/>
        <v>1.00000082713553</v>
      </c>
      <c r="J16" s="299">
        <f t="shared" si="1"/>
        <v>0.00128618425137128</v>
      </c>
      <c r="K16" s="299">
        <f t="shared" si="2"/>
        <v>1.00000000000025</v>
      </c>
      <c r="L16" s="300">
        <f t="shared" si="3"/>
        <v>7.12348593565019e-7</v>
      </c>
      <c r="M16" s="299">
        <f t="shared" si="4"/>
        <v>1.00000000001092</v>
      </c>
      <c r="N16" s="300">
        <f t="shared" si="5"/>
        <v>-4.67363721146206e-6</v>
      </c>
      <c r="O16" s="298">
        <f t="shared" si="6"/>
        <v>2.58665780345049</v>
      </c>
      <c r="P16" s="301">
        <f t="shared" si="7"/>
        <v>1.17385504087292</v>
      </c>
      <c r="Q16" s="320">
        <f t="shared" si="8"/>
        <v>1.00000049399281</v>
      </c>
      <c r="R16" s="321">
        <f t="shared" si="9"/>
        <v>0.000993974454374649</v>
      </c>
      <c r="S16" s="298">
        <f t="shared" si="10"/>
        <v>1.00000000002196</v>
      </c>
      <c r="T16" s="301">
        <f t="shared" si="11"/>
        <v>6.62649854469501e-6</v>
      </c>
      <c r="U16" s="316">
        <f t="shared" si="27"/>
        <v>0.999599999909488</v>
      </c>
      <c r="V16" s="317">
        <f t="shared" si="28"/>
        <v>-1.6566231359821e-5</v>
      </c>
      <c r="W16" s="318">
        <f t="shared" si="12"/>
        <v>88.6058995608532</v>
      </c>
      <c r="X16" s="319">
        <f t="shared" si="13"/>
        <v>-67.2752378778067</v>
      </c>
      <c r="Y16" s="332">
        <f t="shared" si="14"/>
        <v>112.724762122193</v>
      </c>
      <c r="AA16" s="22">
        <f t="shared" si="15"/>
        <v>1000000000</v>
      </c>
      <c r="AB16" s="22">
        <f t="shared" si="16"/>
        <v>1.73791489</v>
      </c>
      <c r="AD16" s="331">
        <f t="shared" si="17"/>
        <v>86.9536743905304</v>
      </c>
      <c r="AE16" s="332">
        <f t="shared" si="18"/>
        <v>-67.200368808183</v>
      </c>
      <c r="AG16" s="331">
        <f t="shared" si="19"/>
        <v>27.0471182296176</v>
      </c>
      <c r="AH16" s="332">
        <f t="shared" si="20"/>
        <v>-0.0729707193430326</v>
      </c>
      <c r="AJ16" s="22">
        <f t="shared" si="21"/>
        <v>0</v>
      </c>
      <c r="AK16" s="22">
        <f t="shared" si="22"/>
        <v>0</v>
      </c>
      <c r="AM16" s="22" t="str">
        <f t="shared" si="29"/>
        <v>2.80040990396913E-10+0.0000236660662291908i</v>
      </c>
      <c r="AN16" s="22" t="str">
        <f t="shared" si="30"/>
        <v>0.0000236660662314i</v>
      </c>
      <c r="AO16" s="22" t="str">
        <f t="shared" si="31"/>
        <v>0.999999999906651-0.000011833018113731i</v>
      </c>
      <c r="AP16" s="22" t="str">
        <f t="shared" si="32"/>
        <v>0.166666666619993-0.0000039443443715318i</v>
      </c>
      <c r="AQ16" s="22" t="str">
        <f t="shared" si="33"/>
        <v>0.833333333380007+0.0000039443443715318i</v>
      </c>
      <c r="AR16" s="22" t="str">
        <f t="shared" si="34"/>
        <v>0.99959999992162-4.73131995990384E-06i</v>
      </c>
    </row>
    <row r="17" spans="7:44">
      <c r="G17" s="257">
        <v>1.4454</v>
      </c>
      <c r="H17" s="256">
        <f t="shared" si="26"/>
        <v>0.0014454</v>
      </c>
      <c r="I17" s="298">
        <f t="shared" si="0"/>
        <v>1.00000099431557</v>
      </c>
      <c r="J17" s="299">
        <f t="shared" si="1"/>
        <v>0.00141018774917299</v>
      </c>
      <c r="K17" s="299">
        <f t="shared" si="2"/>
        <v>1.00000000000031</v>
      </c>
      <c r="L17" s="300">
        <f t="shared" si="3"/>
        <v>7.81027578805161e-7</v>
      </c>
      <c r="M17" s="299">
        <f t="shared" si="4"/>
        <v>1.00000000001313</v>
      </c>
      <c r="N17" s="300">
        <f t="shared" si="5"/>
        <v>-5.12423213641609e-6</v>
      </c>
      <c r="O17" s="298">
        <f t="shared" si="6"/>
        <v>2.80018200164949</v>
      </c>
      <c r="P17" s="301">
        <f t="shared" si="7"/>
        <v>1.20561395736748</v>
      </c>
      <c r="Q17" s="320">
        <f t="shared" si="8"/>
        <v>1.0000005938383</v>
      </c>
      <c r="R17" s="321">
        <f t="shared" si="9"/>
        <v>0.00108980549246891</v>
      </c>
      <c r="S17" s="298">
        <f t="shared" si="10"/>
        <v>1.00000000002639</v>
      </c>
      <c r="T17" s="301">
        <f t="shared" si="11"/>
        <v>7.26537282596816e-6</v>
      </c>
      <c r="U17" s="316">
        <f t="shared" si="27"/>
        <v>0.999599999891195</v>
      </c>
      <c r="V17" s="317">
        <f t="shared" si="28"/>
        <v>-1.81634289758997e-5</v>
      </c>
      <c r="W17" s="318">
        <f t="shared" si="12"/>
        <v>87.9169533478857</v>
      </c>
      <c r="X17" s="319">
        <f t="shared" si="13"/>
        <v>-69.0966539196283</v>
      </c>
      <c r="Y17" s="332">
        <f t="shared" si="14"/>
        <v>110.903346080372</v>
      </c>
      <c r="AA17" s="22">
        <f t="shared" si="15"/>
        <v>1000000000</v>
      </c>
      <c r="AB17" s="22">
        <f t="shared" si="16"/>
        <v>2.08918116</v>
      </c>
      <c r="AD17" s="331">
        <f t="shared" si="17"/>
        <v>86.2647296298081</v>
      </c>
      <c r="AE17" s="332">
        <f t="shared" si="18"/>
        <v>-69.0145665780734</v>
      </c>
      <c r="AG17" s="331">
        <f t="shared" si="19"/>
        <v>27.0471167776902</v>
      </c>
      <c r="AH17" s="332">
        <f t="shared" si="20"/>
        <v>-0.080005965908994</v>
      </c>
      <c r="AJ17" s="22">
        <f t="shared" si="21"/>
        <v>0</v>
      </c>
      <c r="AK17" s="22">
        <f t="shared" si="22"/>
        <v>0</v>
      </c>
      <c r="AM17" s="22" t="str">
        <f t="shared" si="29"/>
        <v>3.36643046772167E-10+0.0000259477600902883i</v>
      </c>
      <c r="AN17" s="22" t="str">
        <f t="shared" si="30"/>
        <v>0.0000259477600932i</v>
      </c>
      <c r="AO17" s="22" t="str">
        <f t="shared" si="31"/>
        <v>0.999999999887786-0.0000129738769575101i</v>
      </c>
      <c r="AP17" s="22" t="str">
        <f t="shared" si="32"/>
        <v>0.166666666610559-4.32462668171472E-06i</v>
      </c>
      <c r="AQ17" s="22" t="str">
        <f t="shared" si="33"/>
        <v>0.833333333389441+4.32462668171472E-06i</v>
      </c>
      <c r="AR17" s="22" t="str">
        <f t="shared" si="34"/>
        <v>0.999599999905777-0.0000051874761964122i</v>
      </c>
    </row>
    <row r="18" spans="1:44">
      <c r="A18" s="22" t="s">
        <v>528</v>
      </c>
      <c r="B18" s="258">
        <f>Vout_eff*Npri_sec/Vin_eff</f>
        <v>0.625</v>
      </c>
      <c r="C18" s="22" t="s">
        <v>476</v>
      </c>
      <c r="G18" s="257">
        <v>1.5849</v>
      </c>
      <c r="H18" s="256">
        <f t="shared" si="26"/>
        <v>0.0015849</v>
      </c>
      <c r="I18" s="298">
        <f t="shared" si="0"/>
        <v>1.00000119550618</v>
      </c>
      <c r="J18" s="299">
        <f t="shared" si="1"/>
        <v>0.00154628909913494</v>
      </c>
      <c r="K18" s="299">
        <f t="shared" si="2"/>
        <v>1.00000000000037</v>
      </c>
      <c r="L18" s="300">
        <f t="shared" si="3"/>
        <v>8.5640695284921e-7</v>
      </c>
      <c r="M18" s="299">
        <f t="shared" si="4"/>
        <v>1.00000000001579</v>
      </c>
      <c r="N18" s="300">
        <f t="shared" si="5"/>
        <v>-5.61878754185103e-6</v>
      </c>
      <c r="O18" s="298">
        <f t="shared" si="6"/>
        <v>3.0373075920987</v>
      </c>
      <c r="P18" s="301">
        <f t="shared" si="7"/>
        <v>1.23529883837482</v>
      </c>
      <c r="Q18" s="320">
        <f t="shared" si="8"/>
        <v>1.00000071399605</v>
      </c>
      <c r="R18" s="321">
        <f t="shared" si="9"/>
        <v>0.00119498587702628</v>
      </c>
      <c r="S18" s="298">
        <f t="shared" si="10"/>
        <v>1.00000000003173</v>
      </c>
      <c r="T18" s="301">
        <f t="shared" si="11"/>
        <v>7.96657630540747e-6</v>
      </c>
      <c r="U18" s="316">
        <f t="shared" si="27"/>
        <v>0.999599999869178</v>
      </c>
      <c r="V18" s="317">
        <f t="shared" si="28"/>
        <v>-1.99164475965346e-5</v>
      </c>
      <c r="W18" s="318">
        <f t="shared" si="12"/>
        <v>87.2109023259957</v>
      </c>
      <c r="X18" s="319">
        <f t="shared" si="13"/>
        <v>-70.7994085930445</v>
      </c>
      <c r="Y18" s="332">
        <f t="shared" si="14"/>
        <v>109.200591406955</v>
      </c>
      <c r="AA18" s="22">
        <f t="shared" si="15"/>
        <v>1000000000</v>
      </c>
      <c r="AB18" s="22">
        <f t="shared" si="16"/>
        <v>2.51190801</v>
      </c>
      <c r="AD18" s="331">
        <f t="shared" si="17"/>
        <v>85.5586803556034</v>
      </c>
      <c r="AE18" s="332">
        <f t="shared" si="18"/>
        <v>-70.7093987609555</v>
      </c>
      <c r="AG18" s="331">
        <f t="shared" si="19"/>
        <v>27.0471150303875</v>
      </c>
      <c r="AH18" s="332">
        <f t="shared" si="20"/>
        <v>-0.0877275753057715</v>
      </c>
      <c r="AJ18" s="22">
        <f t="shared" si="21"/>
        <v>0</v>
      </c>
      <c r="AK18" s="22">
        <f t="shared" si="22"/>
        <v>0</v>
      </c>
      <c r="AM18" s="22" t="str">
        <f t="shared" si="29"/>
        <v>4.04760003291926E-10+0.0000284520582303612i</v>
      </c>
      <c r="AN18" s="22" t="str">
        <f t="shared" si="30"/>
        <v>0.0000284520582342i</v>
      </c>
      <c r="AO18" s="22" t="str">
        <f t="shared" si="31"/>
        <v>0.999999999865078-0.0000142260359500247i</v>
      </c>
      <c r="AP18" s="22" t="str">
        <f t="shared" si="32"/>
        <v>0.166666666599207-0.0000047420097050602i</v>
      </c>
      <c r="AQ18" s="22" t="str">
        <f t="shared" si="33"/>
        <v>0.833333333400793+0.0000047420097050602i</v>
      </c>
      <c r="AR18" s="22" t="str">
        <f t="shared" si="34"/>
        <v>0.999599999886713-0.0000056881354803087i</v>
      </c>
    </row>
    <row r="19" spans="1:44">
      <c r="A19" s="22" t="s">
        <v>529</v>
      </c>
      <c r="B19" s="22">
        <f>1/350000</f>
        <v>2.85714285714286e-6</v>
      </c>
      <c r="G19" s="257">
        <v>1.7378</v>
      </c>
      <c r="H19" s="256">
        <f t="shared" si="26"/>
        <v>0.0017378</v>
      </c>
      <c r="I19" s="298">
        <f t="shared" si="0"/>
        <v>1.00000143730067</v>
      </c>
      <c r="J19" s="299">
        <f t="shared" si="1"/>
        <v>0.00169546391779914</v>
      </c>
      <c r="K19" s="299">
        <f t="shared" si="2"/>
        <v>1.00000000000044</v>
      </c>
      <c r="L19" s="300">
        <f t="shared" si="3"/>
        <v>9.39027069632964e-7</v>
      </c>
      <c r="M19" s="299">
        <f t="shared" si="4"/>
        <v>1.00000000001898</v>
      </c>
      <c r="N19" s="300">
        <f t="shared" si="5"/>
        <v>-6.16084862780486e-6</v>
      </c>
      <c r="O19" s="298">
        <f t="shared" si="6"/>
        <v>3.29982060433787</v>
      </c>
      <c r="P19" s="301">
        <f t="shared" si="7"/>
        <v>1.26290817119689</v>
      </c>
      <c r="Q19" s="320">
        <f t="shared" si="8"/>
        <v>1.0000008584038</v>
      </c>
      <c r="R19" s="321">
        <f t="shared" si="9"/>
        <v>0.0013102695798939</v>
      </c>
      <c r="S19" s="298">
        <f t="shared" si="10"/>
        <v>1.00000000003815</v>
      </c>
      <c r="T19" s="301">
        <f t="shared" si="11"/>
        <v>8.73513553124983e-6</v>
      </c>
      <c r="U19" s="316">
        <f t="shared" si="27"/>
        <v>0.99959999984272</v>
      </c>
      <c r="V19" s="317">
        <f t="shared" si="28"/>
        <v>-2.1837847966147e-5</v>
      </c>
      <c r="W19" s="318">
        <f t="shared" si="12"/>
        <v>86.490870394529</v>
      </c>
      <c r="X19" s="319">
        <f t="shared" si="13"/>
        <v>-72.3834291059896</v>
      </c>
      <c r="Y19" s="332">
        <f t="shared" si="14"/>
        <v>107.61657089401</v>
      </c>
      <c r="AA19" s="22">
        <f t="shared" si="15"/>
        <v>1000000000</v>
      </c>
      <c r="AB19" s="22">
        <f t="shared" si="16"/>
        <v>3.01994884</v>
      </c>
      <c r="AD19" s="331">
        <f t="shared" si="17"/>
        <v>84.8386505245357</v>
      </c>
      <c r="AE19" s="332">
        <f t="shared" si="18"/>
        <v>-72.2847357742115</v>
      </c>
      <c r="AG19" s="331">
        <f t="shared" si="19"/>
        <v>27.0471129304483</v>
      </c>
      <c r="AH19" s="332">
        <f t="shared" si="20"/>
        <v>-0.0961908987310655</v>
      </c>
      <c r="AJ19" s="22">
        <f t="shared" si="21"/>
        <v>0</v>
      </c>
      <c r="AK19" s="22">
        <f t="shared" si="22"/>
        <v>0</v>
      </c>
      <c r="AM19" s="22" t="str">
        <f t="shared" si="29"/>
        <v>4.86623963347199E-10+0.0000311969126073396i</v>
      </c>
      <c r="AN19" s="22" t="str">
        <f t="shared" si="30"/>
        <v>0.0000311969126124i</v>
      </c>
      <c r="AO19" s="22" t="str">
        <f t="shared" si="31"/>
        <v>0.999999999837791-0.0000155984654441022i</v>
      </c>
      <c r="AP19" s="22" t="str">
        <f t="shared" si="32"/>
        <v>0.166666666585563-0.0000051994854345566i</v>
      </c>
      <c r="AQ19" s="22" t="str">
        <f t="shared" si="33"/>
        <v>0.833333333414437+0.0000051994854345566i</v>
      </c>
      <c r="AR19" s="22" t="str">
        <f t="shared" si="34"/>
        <v>0.9995999998638-6.23688676700253E-06i</v>
      </c>
    </row>
    <row r="20" spans="7:44">
      <c r="G20" s="257">
        <v>1.9055</v>
      </c>
      <c r="H20" s="256">
        <f t="shared" si="26"/>
        <v>0.0019055</v>
      </c>
      <c r="I20" s="298">
        <f t="shared" si="0"/>
        <v>1.00000172808812</v>
      </c>
      <c r="J20" s="299">
        <f t="shared" si="1"/>
        <v>0.00185907806943709</v>
      </c>
      <c r="K20" s="299">
        <f t="shared" si="2"/>
        <v>1.00000000000053</v>
      </c>
      <c r="L20" s="300">
        <f t="shared" si="3"/>
        <v>1.02964442466654e-6</v>
      </c>
      <c r="M20" s="299">
        <f t="shared" si="4"/>
        <v>1.00000000002282</v>
      </c>
      <c r="N20" s="300">
        <f t="shared" si="5"/>
        <v>-6.75537867433083e-6</v>
      </c>
      <c r="O20" s="298">
        <f t="shared" si="6"/>
        <v>3.59019126813018</v>
      </c>
      <c r="P20" s="301">
        <f t="shared" si="7"/>
        <v>1.28852615850731</v>
      </c>
      <c r="Q20" s="320">
        <f t="shared" si="8"/>
        <v>1.00000103207181</v>
      </c>
      <c r="R20" s="321">
        <f t="shared" si="9"/>
        <v>0.00143671216217129</v>
      </c>
      <c r="S20" s="298">
        <f t="shared" si="10"/>
        <v>1.00000000004587</v>
      </c>
      <c r="T20" s="301">
        <f t="shared" si="11"/>
        <v>9.5780876710271e-6</v>
      </c>
      <c r="U20" s="316">
        <f t="shared" si="27"/>
        <v>0.999599999810901</v>
      </c>
      <c r="V20" s="317">
        <f t="shared" si="28"/>
        <v>-2.39452181990432e-5</v>
      </c>
      <c r="W20" s="318">
        <f t="shared" si="12"/>
        <v>85.7583242501963</v>
      </c>
      <c r="X20" s="319">
        <f t="shared" si="13"/>
        <v>-73.8535593473091</v>
      </c>
      <c r="Y20" s="332">
        <f t="shared" si="14"/>
        <v>106.146440652691</v>
      </c>
      <c r="AA20" s="22">
        <f t="shared" si="15"/>
        <v>1000000000</v>
      </c>
      <c r="AB20" s="22">
        <f t="shared" si="16"/>
        <v>3.63093025</v>
      </c>
      <c r="AD20" s="331">
        <f t="shared" si="17"/>
        <v>84.1061069061891</v>
      </c>
      <c r="AE20" s="332">
        <f t="shared" si="18"/>
        <v>-73.7453419996719</v>
      </c>
      <c r="AG20" s="331">
        <f t="shared" si="19"/>
        <v>27.0471104050152</v>
      </c>
      <c r="AH20" s="332">
        <f t="shared" si="20"/>
        <v>-0.105473427749389</v>
      </c>
      <c r="AJ20" s="22">
        <f t="shared" si="21"/>
        <v>0</v>
      </c>
      <c r="AK20" s="22">
        <f t="shared" si="22"/>
        <v>0</v>
      </c>
      <c r="AM20" s="22" t="str">
        <f t="shared" si="29"/>
        <v>5.85074988457279E-10+0.0000342074559623287i</v>
      </c>
      <c r="AN20" s="22" t="str">
        <f t="shared" si="30"/>
        <v>0.000034207455969i</v>
      </c>
      <c r="AO20" s="22" t="str">
        <f t="shared" si="31"/>
        <v>0.999999999804975-0.0000171037270058169i</v>
      </c>
      <c r="AP20" s="22" t="str">
        <f t="shared" si="32"/>
        <v>0.166666666569154-5.70124266038812E-06i</v>
      </c>
      <c r="AQ20" s="22" t="str">
        <f t="shared" si="33"/>
        <v>0.833333333430846+5.70124266038812E-06i</v>
      </c>
      <c r="AR20" s="22" t="str">
        <f t="shared" si="34"/>
        <v>0.999599999836244-6.83875459406818E-06i</v>
      </c>
    </row>
    <row r="21" ht="13" spans="1:44">
      <c r="A21" s="196" t="s">
        <v>530</v>
      </c>
      <c r="B21" s="259">
        <f>Vout_eff/Iout_eff</f>
        <v>5</v>
      </c>
      <c r="C21" s="260" t="s">
        <v>68</v>
      </c>
      <c r="D21" s="260"/>
      <c r="E21" s="260"/>
      <c r="G21" s="257">
        <v>2.0893</v>
      </c>
      <c r="H21" s="256">
        <f t="shared" si="26"/>
        <v>0.0020893</v>
      </c>
      <c r="I21" s="298">
        <f t="shared" si="0"/>
        <v>1.00000207754056</v>
      </c>
      <c r="J21" s="299">
        <f t="shared" si="1"/>
        <v>0.00203839984549326</v>
      </c>
      <c r="K21" s="299">
        <f t="shared" si="2"/>
        <v>1.00000000000064</v>
      </c>
      <c r="L21" s="300">
        <f t="shared" si="3"/>
        <v>1.12896147806646e-6</v>
      </c>
      <c r="M21" s="299">
        <f t="shared" si="4"/>
        <v>1.00000000002743</v>
      </c>
      <c r="N21" s="300">
        <f t="shared" si="5"/>
        <v>-7.40698644147782e-6</v>
      </c>
      <c r="O21" s="298">
        <f t="shared" si="6"/>
        <v>3.91072301960121</v>
      </c>
      <c r="P21" s="301">
        <f t="shared" si="7"/>
        <v>1.31221718318159</v>
      </c>
      <c r="Q21" s="320">
        <f t="shared" si="8"/>
        <v>1.00000124077653</v>
      </c>
      <c r="R21" s="321">
        <f t="shared" si="9"/>
        <v>0.00157529378261648</v>
      </c>
      <c r="S21" s="298">
        <f t="shared" si="10"/>
        <v>1.00000000005515</v>
      </c>
      <c r="T21" s="301">
        <f t="shared" si="11"/>
        <v>1.05019672374459e-5</v>
      </c>
      <c r="U21" s="316">
        <f t="shared" si="27"/>
        <v>0.999599999772661</v>
      </c>
      <c r="V21" s="317">
        <f t="shared" si="28"/>
        <v>-2.62549053086572e-5</v>
      </c>
      <c r="W21" s="318">
        <f t="shared" si="12"/>
        <v>85.0155335985918</v>
      </c>
      <c r="X21" s="319">
        <f t="shared" si="13"/>
        <v>-75.2135062276631</v>
      </c>
      <c r="Y21" s="332">
        <f t="shared" si="14"/>
        <v>104.786493772337</v>
      </c>
      <c r="AA21" s="22">
        <f t="shared" si="15"/>
        <v>1000000000</v>
      </c>
      <c r="AB21" s="22">
        <f t="shared" si="16"/>
        <v>4.36517449</v>
      </c>
      <c r="AD21" s="331">
        <f t="shared" si="17"/>
        <v>83.3633192901756</v>
      </c>
      <c r="AE21" s="332">
        <f t="shared" si="18"/>
        <v>-75.0948505198208</v>
      </c>
      <c r="AG21" s="331">
        <f t="shared" si="19"/>
        <v>27.047107370089</v>
      </c>
      <c r="AH21" s="332">
        <f t="shared" si="20"/>
        <v>-0.115647117307409</v>
      </c>
      <c r="AJ21" s="22">
        <f t="shared" si="21"/>
        <v>0</v>
      </c>
      <c r="AK21" s="22">
        <f t="shared" si="22"/>
        <v>0</v>
      </c>
      <c r="AM21" s="22" t="str">
        <f t="shared" si="29"/>
        <v>7.03388014500206E-10+0.000037507025840606i</v>
      </c>
      <c r="AN21" s="22" t="str">
        <f t="shared" si="30"/>
        <v>0.0000375070258494i</v>
      </c>
      <c r="AO21" s="22" t="str">
        <f t="shared" si="31"/>
        <v>0.999999999765537-0.0000187535001395334i</v>
      </c>
      <c r="AP21" s="22" t="str">
        <f t="shared" si="32"/>
        <v>0.166666666549435-6.25117097343433E-06i</v>
      </c>
      <c r="AQ21" s="22" t="str">
        <f t="shared" si="33"/>
        <v>0.833333333450565+6.25117097343433E-06i</v>
      </c>
      <c r="AR21" s="22" t="str">
        <f t="shared" si="34"/>
        <v>0.99959999980313-7.49840460352228E-06i</v>
      </c>
    </row>
    <row r="22" spans="1:44">
      <c r="A22" s="22" t="s">
        <v>531</v>
      </c>
      <c r="B22" s="259">
        <f>Rload_sec*(Npri_sec^2)</f>
        <v>45</v>
      </c>
      <c r="C22" s="260" t="s">
        <v>68</v>
      </c>
      <c r="D22" s="260"/>
      <c r="E22" s="260"/>
      <c r="G22" s="257">
        <v>2.2909</v>
      </c>
      <c r="H22" s="256">
        <f t="shared" si="26"/>
        <v>0.0022909</v>
      </c>
      <c r="I22" s="298">
        <f t="shared" si="0"/>
        <v>1.00000249781389</v>
      </c>
      <c r="J22" s="299">
        <f t="shared" si="1"/>
        <v>0.00223508777947462</v>
      </c>
      <c r="K22" s="299">
        <f t="shared" si="2"/>
        <v>1.00000000000077</v>
      </c>
      <c r="L22" s="300">
        <f t="shared" si="3"/>
        <v>1.23789683152359e-6</v>
      </c>
      <c r="M22" s="299">
        <f t="shared" si="4"/>
        <v>1.00000000003298</v>
      </c>
      <c r="N22" s="300">
        <f t="shared" si="5"/>
        <v>-8.12169876930971e-6</v>
      </c>
      <c r="O22" s="298">
        <f t="shared" si="6"/>
        <v>4.26442192708223</v>
      </c>
      <c r="P22" s="301">
        <f t="shared" si="7"/>
        <v>1.33409380703881</v>
      </c>
      <c r="Q22" s="320">
        <f t="shared" si="8"/>
        <v>1.00000149177791</v>
      </c>
      <c r="R22" s="321">
        <f t="shared" si="9"/>
        <v>0.00172729618662429</v>
      </c>
      <c r="S22" s="298">
        <f t="shared" si="10"/>
        <v>1.0000000000663</v>
      </c>
      <c r="T22" s="301">
        <f t="shared" si="11"/>
        <v>1.1515319362507e-5</v>
      </c>
      <c r="U22" s="316">
        <f t="shared" si="27"/>
        <v>0.999599999726672</v>
      </c>
      <c r="V22" s="317">
        <f t="shared" si="28"/>
        <v>-2.87883045073453e-5</v>
      </c>
      <c r="W22" s="318">
        <f t="shared" si="12"/>
        <v>84.2634699275709</v>
      </c>
      <c r="X22" s="319">
        <f t="shared" si="13"/>
        <v>-76.4697426607311</v>
      </c>
      <c r="Y22" s="332">
        <f t="shared" si="14"/>
        <v>103.530257339269</v>
      </c>
      <c r="AA22" s="22">
        <f t="shared" si="15"/>
        <v>1000000000</v>
      </c>
      <c r="AB22" s="22">
        <f t="shared" si="16"/>
        <v>5.24822281</v>
      </c>
      <c r="AD22" s="331">
        <f t="shared" si="17"/>
        <v>82.6112592699442</v>
      </c>
      <c r="AE22" s="332">
        <f t="shared" si="18"/>
        <v>-76.3396377028315</v>
      </c>
      <c r="AG22" s="331">
        <f t="shared" si="19"/>
        <v>27.0471037200985</v>
      </c>
      <c r="AH22" s="332">
        <f t="shared" si="20"/>
        <v>-0.12680606120049</v>
      </c>
      <c r="AJ22" s="22">
        <f t="shared" si="21"/>
        <v>0</v>
      </c>
      <c r="AK22" s="22">
        <f t="shared" si="22"/>
        <v>0</v>
      </c>
      <c r="AM22" s="22" t="str">
        <f t="shared" si="29"/>
        <v>8.45679970495894E-10+0.0000411261405706068i</v>
      </c>
      <c r="AN22" s="22" t="str">
        <f t="shared" si="30"/>
        <v>0.0000411261405822i</v>
      </c>
      <c r="AO22" s="22" t="str">
        <f t="shared" si="31"/>
        <v>0.999999999718106-0.0000205630763919024i</v>
      </c>
      <c r="AP22" s="22" t="str">
        <f t="shared" si="32"/>
        <v>0.16666666652572-0.0000068543567617678i</v>
      </c>
      <c r="AQ22" s="22" t="str">
        <f t="shared" si="33"/>
        <v>0.83333333347428+0.0000068543567617678i</v>
      </c>
      <c r="AR22" s="22" t="str">
        <f t="shared" si="34"/>
        <v>0.999599999763304-8.22193801953821E-06i</v>
      </c>
    </row>
    <row r="23" spans="2:44">
      <c r="B23" s="235"/>
      <c r="G23" s="257">
        <v>2.5119</v>
      </c>
      <c r="H23" s="256">
        <f t="shared" si="26"/>
        <v>0.0025119</v>
      </c>
      <c r="I23" s="298">
        <f t="shared" si="0"/>
        <v>1.00000300297968</v>
      </c>
      <c r="J23" s="299">
        <f t="shared" si="1"/>
        <v>0.00245070282530555</v>
      </c>
      <c r="K23" s="299">
        <f t="shared" si="2"/>
        <v>1.00000000000092</v>
      </c>
      <c r="L23" s="300">
        <f t="shared" si="3"/>
        <v>1.35731505133519e-6</v>
      </c>
      <c r="M23" s="299">
        <f t="shared" si="4"/>
        <v>1.00000000003965</v>
      </c>
      <c r="N23" s="300">
        <f t="shared" si="5"/>
        <v>-8.90518797788569e-6</v>
      </c>
      <c r="O23" s="298">
        <f t="shared" si="6"/>
        <v>4.65412805622888</v>
      </c>
      <c r="P23" s="301">
        <f t="shared" si="7"/>
        <v>1.35424475702248</v>
      </c>
      <c r="Q23" s="320">
        <f t="shared" si="8"/>
        <v>1.00000179347999</v>
      </c>
      <c r="R23" s="321">
        <f t="shared" si="9"/>
        <v>0.00189392571412996</v>
      </c>
      <c r="S23" s="298">
        <f t="shared" si="10"/>
        <v>1.00000000007971</v>
      </c>
      <c r="T23" s="301">
        <f t="shared" si="11"/>
        <v>1.2626186523385e-5</v>
      </c>
      <c r="U23" s="316">
        <f t="shared" si="27"/>
        <v>0.999599999671392</v>
      </c>
      <c r="V23" s="317">
        <f t="shared" si="28"/>
        <v>-3.15654690869038e-5</v>
      </c>
      <c r="W23" s="318">
        <f t="shared" si="12"/>
        <v>83.5039049445028</v>
      </c>
      <c r="X23" s="319">
        <f t="shared" si="13"/>
        <v>-77.627374529029</v>
      </c>
      <c r="Y23" s="332">
        <f t="shared" si="14"/>
        <v>102.372625470971</v>
      </c>
      <c r="AA23" s="22">
        <f t="shared" si="15"/>
        <v>1000000000</v>
      </c>
      <c r="AB23" s="22">
        <f t="shared" si="16"/>
        <v>6.30964161</v>
      </c>
      <c r="AD23" s="331">
        <f t="shared" si="17"/>
        <v>81.8516986750994</v>
      </c>
      <c r="AE23" s="332">
        <f t="shared" si="18"/>
        <v>-77.484718570715</v>
      </c>
      <c r="AG23" s="331">
        <f t="shared" si="19"/>
        <v>27.0470993328359</v>
      </c>
      <c r="AH23" s="332">
        <f t="shared" si="20"/>
        <v>-0.139038821995632</v>
      </c>
      <c r="AJ23" s="22">
        <f t="shared" si="21"/>
        <v>0</v>
      </c>
      <c r="AK23" s="22">
        <f t="shared" si="22"/>
        <v>0</v>
      </c>
      <c r="AM23" s="22" t="str">
        <f t="shared" si="29"/>
        <v>1.01671304708617E-09+0.0000450935232849176i</v>
      </c>
      <c r="AN23" s="22" t="str">
        <f t="shared" si="30"/>
        <v>0.0000450935233002i</v>
      </c>
      <c r="AO23" s="22" t="str">
        <f t="shared" si="31"/>
        <v>0.999999999661095-0.0000225467644281781i</v>
      </c>
      <c r="AP23" s="22" t="str">
        <f t="shared" si="32"/>
        <v>0.166666666497214-7.51558721415293E-06i</v>
      </c>
      <c r="AQ23" s="22" t="str">
        <f t="shared" si="33"/>
        <v>0.833333333502786+7.51558721415293E-06i</v>
      </c>
      <c r="AR23" s="22" t="str">
        <f t="shared" si="34"/>
        <v>0.999599999715433-9.01509717072114E-06i</v>
      </c>
    </row>
    <row r="24" spans="4:44">
      <c r="D24" s="261"/>
      <c r="E24" s="37"/>
      <c r="G24" s="257">
        <v>2.7542</v>
      </c>
      <c r="H24" s="256">
        <f t="shared" si="26"/>
        <v>0.0027542</v>
      </c>
      <c r="I24" s="298">
        <f t="shared" si="0"/>
        <v>1.00000361026032</v>
      </c>
      <c r="J24" s="299">
        <f t="shared" si="1"/>
        <v>0.00268709860615944</v>
      </c>
      <c r="K24" s="299">
        <f t="shared" si="2"/>
        <v>1.00000000000111</v>
      </c>
      <c r="L24" s="300">
        <f t="shared" si="3"/>
        <v>1.48824280997926e-6</v>
      </c>
      <c r="M24" s="299">
        <f t="shared" si="4"/>
        <v>1.00000000004767</v>
      </c>
      <c r="N24" s="300">
        <f t="shared" si="5"/>
        <v>-9.76418994727563e-6</v>
      </c>
      <c r="O24" s="298">
        <f t="shared" si="6"/>
        <v>5.08321637807681</v>
      </c>
      <c r="P24" s="301">
        <f t="shared" si="7"/>
        <v>1.37277895122505</v>
      </c>
      <c r="Q24" s="320">
        <f t="shared" si="8"/>
        <v>1.00000215616857</v>
      </c>
      <c r="R24" s="321">
        <f t="shared" si="9"/>
        <v>0.00207661488937024</v>
      </c>
      <c r="S24" s="298">
        <f t="shared" si="10"/>
        <v>1.00000000009583</v>
      </c>
      <c r="T24" s="301">
        <f t="shared" si="11"/>
        <v>1.38441191617235e-5</v>
      </c>
      <c r="U24" s="316">
        <f t="shared" si="27"/>
        <v>0.999599999604941</v>
      </c>
      <c r="V24" s="317">
        <f t="shared" si="28"/>
        <v>-3.46102962975292e-5</v>
      </c>
      <c r="W24" s="318">
        <f t="shared" si="12"/>
        <v>82.7378974544322</v>
      </c>
      <c r="X24" s="319">
        <f t="shared" si="13"/>
        <v>-78.6926687502908</v>
      </c>
      <c r="Y24" s="332">
        <f t="shared" si="14"/>
        <v>101.307331249709</v>
      </c>
      <c r="AA24" s="22">
        <f t="shared" si="15"/>
        <v>1000000000</v>
      </c>
      <c r="AB24" s="22">
        <f t="shared" si="16"/>
        <v>7.58561764</v>
      </c>
      <c r="AD24" s="331">
        <f t="shared" si="17"/>
        <v>81.0856964602902</v>
      </c>
      <c r="AE24" s="332">
        <f t="shared" si="18"/>
        <v>-78.5362521400957</v>
      </c>
      <c r="AG24" s="331">
        <f t="shared" si="19"/>
        <v>27.0470940587294</v>
      </c>
      <c r="AH24" s="332">
        <f t="shared" si="20"/>
        <v>-0.152450562379517</v>
      </c>
      <c r="AJ24" s="22">
        <f t="shared" si="21"/>
        <v>0</v>
      </c>
      <c r="AK24" s="22">
        <f t="shared" si="22"/>
        <v>0</v>
      </c>
      <c r="AM24" s="22" t="str">
        <f t="shared" si="29"/>
        <v>1.22231902377479E-09+0.0000494432827034548i</v>
      </c>
      <c r="AN24" s="22" t="str">
        <f t="shared" si="30"/>
        <v>0.0000494432827236i</v>
      </c>
      <c r="AO24" s="22" t="str">
        <f t="shared" si="31"/>
        <v>0.999999999592559-0.0000247216397545416i</v>
      </c>
      <c r="AP24" s="22" t="str">
        <f t="shared" si="32"/>
        <v>0.166666666462947-8.24054711724247E-06i</v>
      </c>
      <c r="AQ24" s="22" t="str">
        <f t="shared" si="33"/>
        <v>0.833333333537053+8.24054711724247E-06i</v>
      </c>
      <c r="AR24" s="22" t="str">
        <f t="shared" si="34"/>
        <v>0.999599999657888-9.88470107227521E-06i</v>
      </c>
    </row>
    <row r="25" ht="13" spans="1:44">
      <c r="A25" s="196" t="s">
        <v>532</v>
      </c>
      <c r="B25" s="244">
        <v>43</v>
      </c>
      <c r="C25" s="22" t="s">
        <v>533</v>
      </c>
      <c r="D25" s="262">
        <f>Cout_sec*0.000001</f>
        <v>4.3e-5</v>
      </c>
      <c r="E25" s="22" t="s">
        <v>369</v>
      </c>
      <c r="G25" s="257">
        <v>3.02</v>
      </c>
      <c r="H25" s="256">
        <f t="shared" si="26"/>
        <v>0.00302</v>
      </c>
      <c r="I25" s="298">
        <f t="shared" si="0"/>
        <v>1.00000434071526</v>
      </c>
      <c r="J25" s="299">
        <f t="shared" si="1"/>
        <v>0.002946421406882</v>
      </c>
      <c r="K25" s="299">
        <f t="shared" si="2"/>
        <v>1.00000000000133</v>
      </c>
      <c r="L25" s="300">
        <f t="shared" si="3"/>
        <v>1.63186888611455e-6</v>
      </c>
      <c r="M25" s="299">
        <f t="shared" si="4"/>
        <v>1.00000000005731</v>
      </c>
      <c r="N25" s="300">
        <f t="shared" si="5"/>
        <v>-1.07065041175597e-5</v>
      </c>
      <c r="O25" s="298">
        <f t="shared" si="6"/>
        <v>5.55560350486359</v>
      </c>
      <c r="P25" s="301">
        <f t="shared" si="7"/>
        <v>1.38981145488827</v>
      </c>
      <c r="Q25" s="320">
        <f t="shared" si="8"/>
        <v>1.00000259242115</v>
      </c>
      <c r="R25" s="321">
        <f t="shared" si="9"/>
        <v>0.0022770224173863</v>
      </c>
      <c r="S25" s="298">
        <f t="shared" si="10"/>
        <v>1.00000000011522</v>
      </c>
      <c r="T25" s="301">
        <f t="shared" si="11"/>
        <v>1.5180175683634e-5</v>
      </c>
      <c r="U25" s="316">
        <f t="shared" si="27"/>
        <v>0.99959999952501</v>
      </c>
      <c r="V25" s="317">
        <f t="shared" si="28"/>
        <v>-3.79504312856476e-5</v>
      </c>
      <c r="W25" s="318">
        <f t="shared" si="12"/>
        <v>81.9660419693837</v>
      </c>
      <c r="X25" s="319">
        <f t="shared" si="13"/>
        <v>-79.6722486098234</v>
      </c>
      <c r="Y25" s="332">
        <f t="shared" si="14"/>
        <v>100.327751390177</v>
      </c>
      <c r="AA25" s="22">
        <f t="shared" si="15"/>
        <v>1000000000</v>
      </c>
      <c r="AB25" s="22">
        <f t="shared" si="16"/>
        <v>9.1204</v>
      </c>
      <c r="AD25" s="331">
        <f t="shared" si="17"/>
        <v>80.3138473204763</v>
      </c>
      <c r="AE25" s="332">
        <f t="shared" si="18"/>
        <v>-79.5007367605034</v>
      </c>
      <c r="AG25" s="331">
        <f t="shared" si="19"/>
        <v>27.0470877148839</v>
      </c>
      <c r="AH25" s="332">
        <f t="shared" si="20"/>
        <v>-0.167163050228362</v>
      </c>
      <c r="AJ25" s="22">
        <f t="shared" si="21"/>
        <v>0</v>
      </c>
      <c r="AK25" s="22">
        <f t="shared" si="22"/>
        <v>0</v>
      </c>
      <c r="AM25" s="22" t="str">
        <f t="shared" si="29"/>
        <v>1.46962797487049E-09+0.0000542149131334414i</v>
      </c>
      <c r="AN25" s="22" t="str">
        <f t="shared" si="30"/>
        <v>0.00005421491316i</v>
      </c>
      <c r="AO25" s="22" t="str">
        <f t="shared" si="31"/>
        <v>0.999999999510124-0.0000271074486559316i</v>
      </c>
      <c r="AP25" s="22" t="str">
        <f t="shared" si="32"/>
        <v>0.166666666421729-9.03581885557357E-06i</v>
      </c>
      <c r="AQ25" s="22" t="str">
        <f t="shared" si="33"/>
        <v>0.833333333578271+9.03581885557357E-06i</v>
      </c>
      <c r="AR25" s="22" t="str">
        <f t="shared" si="34"/>
        <v>0.999599999588669-0.0000108386454259918i</v>
      </c>
    </row>
    <row r="26" ht="13" spans="1:44">
      <c r="A26" s="196" t="s">
        <v>534</v>
      </c>
      <c r="B26" s="244">
        <v>2</v>
      </c>
      <c r="C26" s="22" t="s">
        <v>323</v>
      </c>
      <c r="D26" s="37">
        <f>B26*0.001</f>
        <v>0.002</v>
      </c>
      <c r="E26" s="260" t="s">
        <v>68</v>
      </c>
      <c r="G26" s="257">
        <v>3.3113</v>
      </c>
      <c r="H26" s="256">
        <f t="shared" si="26"/>
        <v>0.0033113</v>
      </c>
      <c r="I26" s="298">
        <f t="shared" si="0"/>
        <v>1.00000521848308</v>
      </c>
      <c r="J26" s="299">
        <f t="shared" si="1"/>
        <v>0.00323062234945173</v>
      </c>
      <c r="K26" s="299">
        <f t="shared" si="2"/>
        <v>1.0000000000016</v>
      </c>
      <c r="L26" s="300">
        <f t="shared" si="3"/>
        <v>1.78927398761263e-6</v>
      </c>
      <c r="M26" s="299">
        <f t="shared" si="4"/>
        <v>1.0000000000689</v>
      </c>
      <c r="N26" s="300">
        <f t="shared" si="5"/>
        <v>-1.17392208888084e-5</v>
      </c>
      <c r="O26" s="298">
        <f t="shared" si="6"/>
        <v>6.07485900178491</v>
      </c>
      <c r="P26" s="301">
        <f t="shared" si="7"/>
        <v>1.40543080836956</v>
      </c>
      <c r="Q26" s="320">
        <f t="shared" si="8"/>
        <v>1.00000311665416</v>
      </c>
      <c r="R26" s="321">
        <f t="shared" si="9"/>
        <v>0.0024966561905914</v>
      </c>
      <c r="S26" s="298">
        <f t="shared" si="10"/>
        <v>1.00000000013852</v>
      </c>
      <c r="T26" s="301">
        <f t="shared" si="11"/>
        <v>1.6644409185575e-5</v>
      </c>
      <c r="U26" s="316">
        <f t="shared" si="27"/>
        <v>0.999599999428958</v>
      </c>
      <c r="V26" s="317">
        <f t="shared" si="28"/>
        <v>-4.16110150033535e-5</v>
      </c>
      <c r="W26" s="318">
        <f t="shared" si="12"/>
        <v>81.1899397149574</v>
      </c>
      <c r="X26" s="319">
        <f t="shared" si="13"/>
        <v>-80.5712148524131</v>
      </c>
      <c r="Y26" s="332">
        <f t="shared" si="14"/>
        <v>99.4287851475869</v>
      </c>
      <c r="AA26" s="22">
        <f t="shared" si="15"/>
        <v>1000000000</v>
      </c>
      <c r="AB26" s="22">
        <f t="shared" si="16"/>
        <v>10.96470769</v>
      </c>
      <c r="AD26" s="331">
        <f t="shared" si="17"/>
        <v>79.5377526909397</v>
      </c>
      <c r="AE26" s="332">
        <f t="shared" si="18"/>
        <v>-80.3831596008691</v>
      </c>
      <c r="AG26" s="331">
        <f t="shared" si="19"/>
        <v>27.0470800916635</v>
      </c>
      <c r="AH26" s="332">
        <f t="shared" si="20"/>
        <v>-0.183286980456528</v>
      </c>
      <c r="AJ26" s="22">
        <f t="shared" si="21"/>
        <v>0</v>
      </c>
      <c r="AK26" s="22">
        <f t="shared" si="22"/>
        <v>0</v>
      </c>
      <c r="AM26" s="22" t="str">
        <f t="shared" si="29"/>
        <v>1.76681302921367E-09+0.000059444318490391i</v>
      </c>
      <c r="AN26" s="22" t="str">
        <f t="shared" si="30"/>
        <v>0.0000594443185254i</v>
      </c>
      <c r="AO26" s="22" t="str">
        <f t="shared" si="31"/>
        <v>0.999999999411062-0.0000297221513012842i</v>
      </c>
      <c r="AP26" s="22" t="str">
        <f t="shared" si="32"/>
        <v>0.166666666372198-9.90738641506517E-06i</v>
      </c>
      <c r="AQ26" s="22" t="str">
        <f t="shared" si="33"/>
        <v>0.833333333627802+9.90738641506517E-06i</v>
      </c>
      <c r="AR26" s="22" t="str">
        <f t="shared" si="34"/>
        <v>0.99959999950549-0.0000118841081425204i</v>
      </c>
    </row>
    <row r="27" spans="1:44">
      <c r="A27" s="22" t="s">
        <v>535</v>
      </c>
      <c r="B27" s="263">
        <f>Cout_sec/Npri_sec^2</f>
        <v>4.77777777777778</v>
      </c>
      <c r="C27" s="22" t="s">
        <v>533</v>
      </c>
      <c r="D27" s="262">
        <f>Cout_pri*0.000001</f>
        <v>4.77777777777778e-6</v>
      </c>
      <c r="E27" s="22" t="s">
        <v>369</v>
      </c>
      <c r="G27" s="257">
        <v>3.6308</v>
      </c>
      <c r="H27" s="256">
        <f t="shared" si="26"/>
        <v>0.0036308</v>
      </c>
      <c r="I27" s="298">
        <f t="shared" si="0"/>
        <v>1.00000627410302</v>
      </c>
      <c r="J27" s="299">
        <f t="shared" si="1"/>
        <v>0.00354233544881451</v>
      </c>
      <c r="K27" s="299">
        <f t="shared" si="2"/>
        <v>1.00000000000192</v>
      </c>
      <c r="L27" s="300">
        <f t="shared" si="3"/>
        <v>1.96191707010012e-6</v>
      </c>
      <c r="M27" s="299">
        <f t="shared" si="4"/>
        <v>1.00000000008284</v>
      </c>
      <c r="N27" s="300">
        <f t="shared" si="5"/>
        <v>-1.28719123011172e-5</v>
      </c>
      <c r="O27" s="298">
        <f t="shared" si="6"/>
        <v>6.64580704361065</v>
      </c>
      <c r="P27" s="301">
        <f t="shared" si="7"/>
        <v>1.41975183436959</v>
      </c>
      <c r="Q27" s="320">
        <f t="shared" si="8"/>
        <v>1.0000037471068</v>
      </c>
      <c r="R27" s="321">
        <f t="shared" si="9"/>
        <v>0.00273755186387018</v>
      </c>
      <c r="S27" s="298">
        <f t="shared" si="10"/>
        <v>1.00000000016654</v>
      </c>
      <c r="T27" s="301">
        <f t="shared" si="11"/>
        <v>1.82503913477657e-5</v>
      </c>
      <c r="U27" s="316">
        <f t="shared" si="27"/>
        <v>0.999599999313444</v>
      </c>
      <c r="V27" s="317">
        <f t="shared" si="28"/>
        <v>-4.56259759241139e-5</v>
      </c>
      <c r="W27" s="318">
        <f t="shared" si="12"/>
        <v>80.4097055143601</v>
      </c>
      <c r="X27" s="319">
        <f t="shared" si="13"/>
        <v>-81.3961838041182</v>
      </c>
      <c r="Y27" s="332">
        <f t="shared" si="14"/>
        <v>98.6038161958818</v>
      </c>
      <c r="AA27" s="22">
        <f t="shared" si="15"/>
        <v>1000000000</v>
      </c>
      <c r="AB27" s="22">
        <f t="shared" si="16"/>
        <v>13.18270864</v>
      </c>
      <c r="AD27" s="331">
        <f t="shared" si="17"/>
        <v>78.7575276601679</v>
      </c>
      <c r="AE27" s="332">
        <f t="shared" si="18"/>
        <v>-81.189983660508</v>
      </c>
      <c r="AG27" s="331">
        <f t="shared" si="19"/>
        <v>27.0470709238455</v>
      </c>
      <c r="AH27" s="332">
        <f t="shared" si="20"/>
        <v>-0.200971791890923</v>
      </c>
      <c r="AJ27" s="22">
        <f t="shared" si="21"/>
        <v>0</v>
      </c>
      <c r="AK27" s="22">
        <f t="shared" si="22"/>
        <v>0</v>
      </c>
      <c r="AM27" s="22" t="str">
        <f t="shared" si="29"/>
        <v>2.12421402689955E-09+0.0000651799690602479i</v>
      </c>
      <c r="AN27" s="22" t="str">
        <f t="shared" si="30"/>
        <v>0.0000651799691064i</v>
      </c>
      <c r="AO27" s="22" t="str">
        <f t="shared" si="31"/>
        <v>0.999999999291928-0.000032589982106803i</v>
      </c>
      <c r="AP27" s="22" t="str">
        <f t="shared" si="32"/>
        <v>0.166666666312631-0.000010863328176708i</v>
      </c>
      <c r="AQ27" s="22" t="str">
        <f t="shared" si="33"/>
        <v>0.833333333687369+0.000010863328176708i</v>
      </c>
      <c r="AR27" s="22" t="str">
        <f t="shared" si="34"/>
        <v>0.999599999405458-0.0000130307794012383i</v>
      </c>
    </row>
    <row r="28" spans="2:44">
      <c r="B28" s="235"/>
      <c r="D28" s="37"/>
      <c r="G28" s="257">
        <v>3.9811</v>
      </c>
      <c r="H28" s="256">
        <f t="shared" si="26"/>
        <v>0.0039811</v>
      </c>
      <c r="I28" s="298">
        <f t="shared" si="0"/>
        <v>1.00000754315253</v>
      </c>
      <c r="J28" s="299">
        <f t="shared" si="1"/>
        <v>0.0038840970927212</v>
      </c>
      <c r="K28" s="299">
        <f t="shared" si="2"/>
        <v>1.00000000000231</v>
      </c>
      <c r="L28" s="300">
        <f t="shared" si="3"/>
        <v>2.15120305381006e-6</v>
      </c>
      <c r="M28" s="299">
        <f t="shared" si="4"/>
        <v>1.0000000000996</v>
      </c>
      <c r="N28" s="300">
        <f t="shared" si="5"/>
        <v>-1.41137958745746e-5</v>
      </c>
      <c r="O28" s="298">
        <f t="shared" si="6"/>
        <v>7.27310328561906</v>
      </c>
      <c r="P28" s="301">
        <f t="shared" si="7"/>
        <v>1.432866507166</v>
      </c>
      <c r="Q28" s="320">
        <f t="shared" si="8"/>
        <v>1.0000045050273</v>
      </c>
      <c r="R28" s="321">
        <f t="shared" si="9"/>
        <v>0.00300166966467176</v>
      </c>
      <c r="S28" s="298">
        <f t="shared" si="10"/>
        <v>1.00000000020022</v>
      </c>
      <c r="T28" s="301">
        <f t="shared" si="11"/>
        <v>2.00111911955929e-5</v>
      </c>
      <c r="U28" s="316">
        <f t="shared" si="27"/>
        <v>0.999599999174578</v>
      </c>
      <c r="V28" s="317">
        <f t="shared" si="28"/>
        <v>-5.00279765232677e-5</v>
      </c>
      <c r="W28" s="318">
        <f t="shared" si="12"/>
        <v>79.6262605262369</v>
      </c>
      <c r="X28" s="319">
        <f t="shared" si="13"/>
        <v>-82.1524612822818</v>
      </c>
      <c r="Y28" s="332">
        <f t="shared" si="14"/>
        <v>97.8475387177182</v>
      </c>
      <c r="AA28" s="22">
        <f t="shared" si="15"/>
        <v>1000000000</v>
      </c>
      <c r="AB28" s="22">
        <f t="shared" si="16"/>
        <v>15.84915721</v>
      </c>
      <c r="AD28" s="331">
        <f t="shared" si="17"/>
        <v>77.9740936958501</v>
      </c>
      <c r="AE28" s="332">
        <f t="shared" si="18"/>
        <v>-81.9263671133983</v>
      </c>
      <c r="AG28" s="331">
        <f t="shared" si="19"/>
        <v>27.0470599024533</v>
      </c>
      <c r="AH28" s="332">
        <f t="shared" si="20"/>
        <v>-0.220361385052058</v>
      </c>
      <c r="AJ28" s="22">
        <f t="shared" si="21"/>
        <v>0</v>
      </c>
      <c r="AK28" s="22">
        <f t="shared" si="22"/>
        <v>0</v>
      </c>
      <c r="AM28" s="22" t="str">
        <f t="shared" si="29"/>
        <v>2.55387599956691E-09+0.0000714685399329594i</v>
      </c>
      <c r="AN28" s="22" t="str">
        <f t="shared" si="30"/>
        <v>0.0000714685399938i</v>
      </c>
      <c r="AO28" s="22" t="str">
        <f t="shared" si="31"/>
        <v>0.999999999148708-0.00003573426852974i</v>
      </c>
      <c r="AP28" s="22" t="str">
        <f t="shared" si="32"/>
        <v>0.166666666241021-0.0000119114233221599i</v>
      </c>
      <c r="AQ28" s="22" t="str">
        <f t="shared" si="33"/>
        <v>0.833333333758979+0.0000119114233221599i</v>
      </c>
      <c r="AR28" s="22" t="str">
        <f t="shared" si="34"/>
        <v>0.999599999285201-0.0000142879904858822i</v>
      </c>
    </row>
    <row r="29" spans="2:44">
      <c r="B29" s="235"/>
      <c r="D29" s="37"/>
      <c r="G29" s="257">
        <v>4.3652</v>
      </c>
      <c r="H29" s="256">
        <f t="shared" si="26"/>
        <v>0.0043652</v>
      </c>
      <c r="I29" s="298">
        <f t="shared" si="0"/>
        <v>1.00000906890136</v>
      </c>
      <c r="J29" s="299">
        <f t="shared" si="1"/>
        <v>0.00425883383571238</v>
      </c>
      <c r="K29" s="299">
        <f t="shared" si="2"/>
        <v>1.00000000000278</v>
      </c>
      <c r="L29" s="300">
        <f t="shared" si="3"/>
        <v>2.35875300054978e-6</v>
      </c>
      <c r="M29" s="299">
        <f t="shared" si="4"/>
        <v>1.00000000011975</v>
      </c>
      <c r="N29" s="300">
        <f t="shared" si="5"/>
        <v>-1.54755072092802e-5</v>
      </c>
      <c r="O29" s="298">
        <f t="shared" si="6"/>
        <v>7.9621267219585</v>
      </c>
      <c r="P29" s="301">
        <f t="shared" si="7"/>
        <v>1.44486918778794</v>
      </c>
      <c r="Q29" s="320">
        <f t="shared" si="8"/>
        <v>1.00000541625807</v>
      </c>
      <c r="R29" s="321">
        <f t="shared" si="9"/>
        <v>0.00329127137233926</v>
      </c>
      <c r="S29" s="298">
        <f t="shared" si="10"/>
        <v>1.00000000024072</v>
      </c>
      <c r="T29" s="301">
        <f t="shared" si="11"/>
        <v>2.19418883737267e-5</v>
      </c>
      <c r="U29" s="316">
        <f t="shared" si="27"/>
        <v>0.999599999007618</v>
      </c>
      <c r="V29" s="317">
        <f t="shared" si="28"/>
        <v>-5.48547159397614e-5</v>
      </c>
      <c r="W29" s="318">
        <f t="shared" si="12"/>
        <v>78.8400685808697</v>
      </c>
      <c r="X29" s="319">
        <f t="shared" si="13"/>
        <v>-82.8454954049407</v>
      </c>
      <c r="Y29" s="332">
        <f t="shared" si="14"/>
        <v>97.1545045950593</v>
      </c>
      <c r="AA29" s="22">
        <f t="shared" si="15"/>
        <v>1000000000</v>
      </c>
      <c r="AB29" s="22">
        <f t="shared" si="16"/>
        <v>19.05497104</v>
      </c>
      <c r="AD29" s="331">
        <f t="shared" si="17"/>
        <v>77.1879150041305</v>
      </c>
      <c r="AE29" s="332">
        <f t="shared" si="18"/>
        <v>-82.5975877218568</v>
      </c>
      <c r="AG29" s="331">
        <f t="shared" si="19"/>
        <v>27.0470466517072</v>
      </c>
      <c r="AH29" s="332">
        <f t="shared" si="20"/>
        <v>-0.241621795657258</v>
      </c>
      <c r="AJ29" s="22">
        <f t="shared" si="21"/>
        <v>0</v>
      </c>
      <c r="AK29" s="22">
        <f t="shared" si="22"/>
        <v>0</v>
      </c>
      <c r="AM29" s="22" t="str">
        <f t="shared" si="29"/>
        <v>3.07044900615949E-09+0.0000783638869813959i</v>
      </c>
      <c r="AN29" s="22" t="str">
        <f t="shared" si="30"/>
        <v>0.0000783638870616i</v>
      </c>
      <c r="AO29" s="22" t="str">
        <f t="shared" si="31"/>
        <v>0.999999998976517-0.0000391819385343389i</v>
      </c>
      <c r="AP29" s="22" t="str">
        <f t="shared" si="32"/>
        <v>0.166666666154925-0.0000130606478302327i</v>
      </c>
      <c r="AQ29" s="22" t="str">
        <f t="shared" si="33"/>
        <v>0.833333333845075+0.0000130606478302327i</v>
      </c>
      <c r="AR29" s="22" t="str">
        <f t="shared" si="34"/>
        <v>0.999599999140618-0.0000156665082622312i</v>
      </c>
    </row>
    <row r="30" spans="1:44">
      <c r="A30" s="22" t="s">
        <v>199</v>
      </c>
      <c r="B30" s="245">
        <v>1.21</v>
      </c>
      <c r="C30" s="22" t="s">
        <v>9</v>
      </c>
      <c r="D30" s="37"/>
      <c r="G30" s="257">
        <v>4.7863</v>
      </c>
      <c r="H30" s="256">
        <f t="shared" si="26"/>
        <v>0.0047863</v>
      </c>
      <c r="I30" s="298">
        <f t="shared" si="0"/>
        <v>1.00001090299516</v>
      </c>
      <c r="J30" s="299">
        <f t="shared" si="1"/>
        <v>0.00466966724637747</v>
      </c>
      <c r="K30" s="299">
        <f t="shared" si="2"/>
        <v>1.00000000000334</v>
      </c>
      <c r="L30" s="300">
        <f t="shared" si="3"/>
        <v>2.58629604291377e-6</v>
      </c>
      <c r="M30" s="299">
        <f t="shared" si="4"/>
        <v>1.00000000014396</v>
      </c>
      <c r="N30" s="300">
        <f t="shared" si="5"/>
        <v>-1.69683909453363e-5</v>
      </c>
      <c r="O30" s="298">
        <f t="shared" si="6"/>
        <v>8.71862279140888</v>
      </c>
      <c r="P30" s="301">
        <f t="shared" si="7"/>
        <v>1.45584633137827</v>
      </c>
      <c r="Q30" s="320">
        <f t="shared" si="8"/>
        <v>1.00000651164402</v>
      </c>
      <c r="R30" s="321">
        <f t="shared" si="9"/>
        <v>0.00360876951015526</v>
      </c>
      <c r="S30" s="298">
        <f t="shared" si="10"/>
        <v>1.00000000028941</v>
      </c>
      <c r="T30" s="301">
        <f t="shared" si="11"/>
        <v>2.40585678364702e-5</v>
      </c>
      <c r="U30" s="316">
        <f t="shared" si="27"/>
        <v>0.999599998806918</v>
      </c>
      <c r="V30" s="317">
        <f t="shared" si="28"/>
        <v>-6.01464167139294e-5</v>
      </c>
      <c r="W30" s="318">
        <f t="shared" si="12"/>
        <v>78.0516861008223</v>
      </c>
      <c r="X30" s="319">
        <f t="shared" si="13"/>
        <v>-83.480284089317</v>
      </c>
      <c r="Y30" s="332">
        <f t="shared" si="14"/>
        <v>96.519715910683</v>
      </c>
      <c r="AA30" s="22">
        <f t="shared" si="15"/>
        <v>1000000000</v>
      </c>
      <c r="AB30" s="22">
        <f t="shared" si="16"/>
        <v>22.90866769</v>
      </c>
      <c r="AD30" s="331">
        <f t="shared" si="17"/>
        <v>76.3995484561892</v>
      </c>
      <c r="AE30" s="332">
        <f t="shared" si="18"/>
        <v>-83.2084616948893</v>
      </c>
      <c r="AG30" s="331">
        <f t="shared" si="19"/>
        <v>27.0470307230892</v>
      </c>
      <c r="AH30" s="332">
        <f t="shared" si="20"/>
        <v>-0.264930122758555</v>
      </c>
      <c r="AJ30" s="22">
        <f t="shared" si="21"/>
        <v>0</v>
      </c>
      <c r="AK30" s="22">
        <f t="shared" si="22"/>
        <v>0</v>
      </c>
      <c r="AM30" s="22" t="str">
        <f t="shared" si="29"/>
        <v>3.69141994749356E-09+0.0000859234564696735i</v>
      </c>
      <c r="AN30" s="22" t="str">
        <f t="shared" si="30"/>
        <v>0.0000859234565754i</v>
      </c>
      <c r="AO30" s="22" t="str">
        <f t="shared" si="31"/>
        <v>0.999999998769527-0.000042961725407942i</v>
      </c>
      <c r="AP30" s="22" t="str">
        <f t="shared" si="32"/>
        <v>0.16666666605143-0.0000143205760782789i</v>
      </c>
      <c r="AQ30" s="22" t="str">
        <f t="shared" si="33"/>
        <v>0.83333333394857+0.0000143205760782789i</v>
      </c>
      <c r="AR30" s="22" t="str">
        <f t="shared" si="34"/>
        <v>0.999599998966816-0.00001717781738698i</v>
      </c>
    </row>
    <row r="31" spans="1:44">
      <c r="A31" s="22" t="s">
        <v>536</v>
      </c>
      <c r="B31" s="245">
        <v>12</v>
      </c>
      <c r="C31" s="22" t="s">
        <v>537</v>
      </c>
      <c r="D31" s="264">
        <f>B31*0.000001</f>
        <v>1.2e-5</v>
      </c>
      <c r="E31" s="22" t="s">
        <v>538</v>
      </c>
      <c r="G31" s="257">
        <v>5.2481</v>
      </c>
      <c r="H31" s="256">
        <f t="shared" si="26"/>
        <v>0.0052481</v>
      </c>
      <c r="I31" s="298">
        <f t="shared" si="0"/>
        <v>1.00001310840078</v>
      </c>
      <c r="J31" s="299">
        <f t="shared" si="1"/>
        <v>0.00512020655711419</v>
      </c>
      <c r="K31" s="299">
        <f t="shared" si="2"/>
        <v>1.00000000000402</v>
      </c>
      <c r="L31" s="300">
        <f t="shared" si="3"/>
        <v>2.83583149046438e-6</v>
      </c>
      <c r="M31" s="299">
        <f t="shared" si="4"/>
        <v>1.00000000017308</v>
      </c>
      <c r="N31" s="300">
        <f t="shared" si="5"/>
        <v>-1.8605564322857e-5</v>
      </c>
      <c r="O31" s="298">
        <f t="shared" si="6"/>
        <v>9.54924253111322</v>
      </c>
      <c r="P31" s="301">
        <f t="shared" si="7"/>
        <v>1.4658836281353</v>
      </c>
      <c r="Q31" s="320">
        <f t="shared" si="8"/>
        <v>1.00000782879166</v>
      </c>
      <c r="R31" s="321">
        <f t="shared" si="9"/>
        <v>0.00395695352064718</v>
      </c>
      <c r="S31" s="298">
        <f t="shared" si="10"/>
        <v>1.00000000034795</v>
      </c>
      <c r="T31" s="301">
        <f t="shared" si="11"/>
        <v>2.63798278122248e-5</v>
      </c>
      <c r="U31" s="316">
        <f t="shared" si="27"/>
        <v>0.999599998565586</v>
      </c>
      <c r="V31" s="317">
        <f t="shared" si="28"/>
        <v>-6.59495707154378e-5</v>
      </c>
      <c r="W31" s="318">
        <f t="shared" si="12"/>
        <v>77.2612576789705</v>
      </c>
      <c r="X31" s="319">
        <f t="shared" si="13"/>
        <v>-84.0617883590232</v>
      </c>
      <c r="Y31" s="332">
        <f t="shared" si="14"/>
        <v>95.9382116409768</v>
      </c>
      <c r="AA31" s="22">
        <f t="shared" si="15"/>
        <v>1000000000</v>
      </c>
      <c r="AB31" s="22">
        <f t="shared" si="16"/>
        <v>27.54255361</v>
      </c>
      <c r="AD31" s="331">
        <f t="shared" si="17"/>
        <v>75.6091391918553</v>
      </c>
      <c r="AE31" s="332">
        <f t="shared" si="18"/>
        <v>-83.7637399615268</v>
      </c>
      <c r="AG31" s="331">
        <f t="shared" si="19"/>
        <v>27.0470115697652</v>
      </c>
      <c r="AH31" s="332">
        <f t="shared" si="20"/>
        <v>-0.290491133362438</v>
      </c>
      <c r="AJ31" s="22">
        <f t="shared" si="21"/>
        <v>0</v>
      </c>
      <c r="AK31" s="22">
        <f t="shared" si="22"/>
        <v>0</v>
      </c>
      <c r="AM31" s="22" t="str">
        <f t="shared" si="29"/>
        <v>4.43810799222177E-09+0.0000942136706404232i</v>
      </c>
      <c r="AN31" s="22" t="str">
        <f t="shared" si="30"/>
        <v>0.0000942136707798i</v>
      </c>
      <c r="AO31" s="22" t="str">
        <f t="shared" si="31"/>
        <v>0.999999998520631-0.0000471068365714642i</v>
      </c>
      <c r="AP31" s="22" t="str">
        <f t="shared" si="32"/>
        <v>0.166666665926982-0.0000157022784400705i</v>
      </c>
      <c r="AQ31" s="22" t="str">
        <f t="shared" si="33"/>
        <v>0.833333334073018+0.0000157022784400705i</v>
      </c>
      <c r="AR31" s="22" t="str">
        <f t="shared" si="34"/>
        <v>0.999599998757827-0.0000188351969943089i</v>
      </c>
    </row>
    <row r="32" spans="1:44">
      <c r="A32" s="22" t="s">
        <v>539</v>
      </c>
      <c r="B32" s="245">
        <v>4800</v>
      </c>
      <c r="C32" s="260" t="s">
        <v>540</v>
      </c>
      <c r="D32" s="264">
        <f>B32*1000000</f>
        <v>4800000000</v>
      </c>
      <c r="E32" s="260" t="s">
        <v>68</v>
      </c>
      <c r="G32" s="257">
        <v>5.7544</v>
      </c>
      <c r="H32" s="256">
        <f t="shared" si="26"/>
        <v>0.0057544</v>
      </c>
      <c r="I32" s="298">
        <f t="shared" si="0"/>
        <v>1.00001575959406</v>
      </c>
      <c r="J32" s="299">
        <f t="shared" si="1"/>
        <v>0.00561415836909551</v>
      </c>
      <c r="K32" s="299">
        <f t="shared" si="2"/>
        <v>1.00000000000483</v>
      </c>
      <c r="L32" s="300">
        <f t="shared" si="3"/>
        <v>3.1094126881575e-6</v>
      </c>
      <c r="M32" s="299">
        <f t="shared" si="4"/>
        <v>1.00000000020809</v>
      </c>
      <c r="N32" s="300">
        <f t="shared" si="5"/>
        <v>-2.04004991019512e-5</v>
      </c>
      <c r="O32" s="298">
        <f t="shared" si="6"/>
        <v>10.4608239904014</v>
      </c>
      <c r="P32" s="301">
        <f t="shared" si="7"/>
        <v>1.47505536430123</v>
      </c>
      <c r="Q32" s="320">
        <f t="shared" si="8"/>
        <v>1.00000941218127</v>
      </c>
      <c r="R32" s="321">
        <f t="shared" si="9"/>
        <v>0.00433868815450067</v>
      </c>
      <c r="S32" s="298">
        <f t="shared" si="10"/>
        <v>1.00000000041832</v>
      </c>
      <c r="T32" s="301">
        <f t="shared" si="11"/>
        <v>2.89247691841894e-5</v>
      </c>
      <c r="U32" s="316">
        <f t="shared" si="27"/>
        <v>0.99959999827547</v>
      </c>
      <c r="V32" s="317">
        <f t="shared" si="28"/>
        <v>-7.2311924794366e-5</v>
      </c>
      <c r="W32" s="318">
        <f t="shared" si="12"/>
        <v>76.4693089770072</v>
      </c>
      <c r="X32" s="319">
        <f t="shared" si="13"/>
        <v>-84.5943172210182</v>
      </c>
      <c r="Y32" s="332">
        <f t="shared" si="14"/>
        <v>95.4056827789818</v>
      </c>
      <c r="AA32" s="22">
        <f t="shared" si="15"/>
        <v>1000000000</v>
      </c>
      <c r="AB32" s="22">
        <f t="shared" si="16"/>
        <v>33.11311936</v>
      </c>
      <c r="AD32" s="331">
        <f t="shared" si="17"/>
        <v>74.8172135197418</v>
      </c>
      <c r="AE32" s="332">
        <f t="shared" si="18"/>
        <v>-84.2675157662036</v>
      </c>
      <c r="AG32" s="331">
        <f t="shared" si="19"/>
        <v>27.0469885449573</v>
      </c>
      <c r="AH32" s="332">
        <f t="shared" si="20"/>
        <v>-0.318515118606701</v>
      </c>
      <c r="AJ32" s="22">
        <f t="shared" si="21"/>
        <v>0</v>
      </c>
      <c r="AK32" s="22">
        <f t="shared" si="22"/>
        <v>0</v>
      </c>
      <c r="AM32" s="22" t="str">
        <f t="shared" si="29"/>
        <v>5.33572896976864E-09+0.000103302746931468i</v>
      </c>
      <c r="AN32" s="22" t="str">
        <f t="shared" si="30"/>
        <v>0.0001033027471152i</v>
      </c>
      <c r="AO32" s="22" t="str">
        <f t="shared" si="31"/>
        <v>0.999999998221422-0.0000516513753871269i</v>
      </c>
      <c r="AP32" s="22" t="str">
        <f t="shared" si="32"/>
        <v>0.166666665777379-0.000017217124488578i</v>
      </c>
      <c r="AQ32" s="22" t="str">
        <f t="shared" si="33"/>
        <v>0.833333334222621+0.000017217124488578i</v>
      </c>
      <c r="AR32" s="22" t="str">
        <f t="shared" si="34"/>
        <v>0.999599998506594-0.0000206522851136455i</v>
      </c>
    </row>
    <row r="33" spans="2:44">
      <c r="B33" s="235"/>
      <c r="D33" s="37"/>
      <c r="G33" s="257">
        <v>6.3096</v>
      </c>
      <c r="H33" s="256">
        <f t="shared" si="26"/>
        <v>0.0063096</v>
      </c>
      <c r="I33" s="298">
        <f t="shared" si="0"/>
        <v>1.00001894732461</v>
      </c>
      <c r="J33" s="299">
        <f t="shared" si="1"/>
        <v>0.00615581439718556</v>
      </c>
      <c r="K33" s="299">
        <f t="shared" si="2"/>
        <v>1.00000000000581</v>
      </c>
      <c r="L33" s="300">
        <f t="shared" si="3"/>
        <v>3.40941719331047e-6</v>
      </c>
      <c r="M33" s="299">
        <f t="shared" si="4"/>
        <v>1.00000000025018</v>
      </c>
      <c r="N33" s="300">
        <f t="shared" si="5"/>
        <v>-2.23687941627379e-5</v>
      </c>
      <c r="O33" s="298">
        <f t="shared" si="6"/>
        <v>11.4612916023254</v>
      </c>
      <c r="P33" s="301">
        <f t="shared" si="7"/>
        <v>1.48343504438586</v>
      </c>
      <c r="Q33" s="320">
        <f t="shared" si="8"/>
        <v>1.00001131601281</v>
      </c>
      <c r="R33" s="321">
        <f t="shared" si="9"/>
        <v>0.00475729042723952</v>
      </c>
      <c r="S33" s="298">
        <f t="shared" si="10"/>
        <v>1.00000000050294</v>
      </c>
      <c r="T33" s="301">
        <f t="shared" si="11"/>
        <v>3.17155087644701e-5</v>
      </c>
      <c r="U33" s="316">
        <f t="shared" si="27"/>
        <v>0.999599997926641</v>
      </c>
      <c r="V33" s="317">
        <f t="shared" si="28"/>
        <v>-7.92887756368188e-5</v>
      </c>
      <c r="W33" s="318">
        <f t="shared" si="12"/>
        <v>75.6759444770411</v>
      </c>
      <c r="X33" s="319">
        <f t="shared" si="13"/>
        <v>-85.0821432126447</v>
      </c>
      <c r="Y33" s="332">
        <f t="shared" si="14"/>
        <v>94.9178567873553</v>
      </c>
      <c r="AA33" s="22">
        <f t="shared" si="15"/>
        <v>1000000000</v>
      </c>
      <c r="AB33" s="22">
        <f t="shared" si="16"/>
        <v>39.81105216</v>
      </c>
      <c r="AD33" s="331">
        <f t="shared" si="17"/>
        <v>74.023876710228</v>
      </c>
      <c r="AE33" s="332">
        <f t="shared" si="18"/>
        <v>-84.7238118233212</v>
      </c>
      <c r="AG33" s="331">
        <f t="shared" si="19"/>
        <v>27.0469608605673</v>
      </c>
      <c r="AH33" s="332">
        <f t="shared" si="20"/>
        <v>-0.349245564899469</v>
      </c>
      <c r="AJ33" s="22">
        <f t="shared" si="21"/>
        <v>0</v>
      </c>
      <c r="AK33" s="22">
        <f t="shared" si="22"/>
        <v>0</v>
      </c>
      <c r="AM33" s="22" t="str">
        <f t="shared" si="29"/>
        <v>6.41500996767519E-09+0.000113269673954591i</v>
      </c>
      <c r="AN33" s="22" t="str">
        <f t="shared" si="30"/>
        <v>0.0001132696741968i</v>
      </c>
      <c r="AO33" s="22" t="str">
        <f t="shared" si="31"/>
        <v>0.999999997861661-0.0000566348408182887i</v>
      </c>
      <c r="AP33" s="22" t="str">
        <f t="shared" si="32"/>
        <v>0.166666665597498-0.0000188782789924318i</v>
      </c>
      <c r="AQ33" s="22" t="str">
        <f t="shared" si="33"/>
        <v>0.833333334402502+0.0000188782789924318i</v>
      </c>
      <c r="AR33" s="22" t="str">
        <f t="shared" si="34"/>
        <v>0.999599998204515-0.0000226448731472736i</v>
      </c>
    </row>
    <row r="34" spans="1:44">
      <c r="A34" s="22" t="s">
        <v>541</v>
      </c>
      <c r="B34" s="258">
        <f>0.8/1.2</f>
        <v>0.666666666666667</v>
      </c>
      <c r="C34" s="260" t="s">
        <v>68</v>
      </c>
      <c r="D34" s="37" t="s">
        <v>542</v>
      </c>
      <c r="E34" s="260"/>
      <c r="G34" s="257">
        <v>6.9183</v>
      </c>
      <c r="H34" s="256">
        <f t="shared" si="26"/>
        <v>0.0069183</v>
      </c>
      <c r="I34" s="298">
        <f t="shared" si="0"/>
        <v>1.00002277939518</v>
      </c>
      <c r="J34" s="299">
        <f t="shared" si="1"/>
        <v>0.00674966114274922</v>
      </c>
      <c r="K34" s="299">
        <f t="shared" si="2"/>
        <v>1.00000000000699</v>
      </c>
      <c r="L34" s="300">
        <f t="shared" si="3"/>
        <v>3.73833063402772e-6</v>
      </c>
      <c r="M34" s="299">
        <f t="shared" si="4"/>
        <v>1.00000000030078</v>
      </c>
      <c r="N34" s="300">
        <f t="shared" si="5"/>
        <v>-2.4526757425328e-5</v>
      </c>
      <c r="O34" s="298">
        <f t="shared" si="6"/>
        <v>12.5589363208227</v>
      </c>
      <c r="P34" s="301">
        <f t="shared" si="7"/>
        <v>1.49108737059928</v>
      </c>
      <c r="Q34" s="320">
        <f t="shared" si="8"/>
        <v>1.00001360467148</v>
      </c>
      <c r="R34" s="321">
        <f t="shared" si="9"/>
        <v>0.00521622799329479</v>
      </c>
      <c r="S34" s="298">
        <f t="shared" si="10"/>
        <v>1.00000000060466</v>
      </c>
      <c r="T34" s="301">
        <f t="shared" si="11"/>
        <v>3.4775168674774e-5</v>
      </c>
      <c r="U34" s="316">
        <f t="shared" si="27"/>
        <v>0.999599997507303</v>
      </c>
      <c r="V34" s="317">
        <f t="shared" si="28"/>
        <v>-8.69379197029974e-5</v>
      </c>
      <c r="W34" s="318">
        <f t="shared" si="12"/>
        <v>74.8815451427485</v>
      </c>
      <c r="X34" s="319">
        <f t="shared" si="13"/>
        <v>-85.5290373013518</v>
      </c>
      <c r="Y34" s="332">
        <f t="shared" si="14"/>
        <v>94.4709626986482</v>
      </c>
      <c r="AA34" s="22">
        <f t="shared" si="15"/>
        <v>1000000000</v>
      </c>
      <c r="AB34" s="22">
        <f t="shared" si="16"/>
        <v>47.86287489</v>
      </c>
      <c r="AD34" s="331">
        <f t="shared" si="17"/>
        <v>73.229510663377</v>
      </c>
      <c r="AE34" s="332">
        <f t="shared" si="18"/>
        <v>-85.1361379392833</v>
      </c>
      <c r="AG34" s="331">
        <f t="shared" si="19"/>
        <v>27.0469275804132</v>
      </c>
      <c r="AH34" s="332">
        <f t="shared" si="20"/>
        <v>-0.382937010299777</v>
      </c>
      <c r="AJ34" s="22">
        <f t="shared" si="21"/>
        <v>0</v>
      </c>
      <c r="AK34" s="22">
        <f t="shared" si="22"/>
        <v>0</v>
      </c>
      <c r="AM34" s="22" t="str">
        <f t="shared" si="29"/>
        <v>7.71245101116591E-09+0.000124197030712112i</v>
      </c>
      <c r="AN34" s="22" t="str">
        <f t="shared" si="30"/>
        <v>0.0001241970310314i</v>
      </c>
      <c r="AO34" s="22" t="str">
        <f t="shared" si="31"/>
        <v>0.999999997429182-0.0000620985135241761i</v>
      </c>
      <c r="AP34" s="22" t="str">
        <f t="shared" si="32"/>
        <v>0.166666665381258-0.0000206995051186853i</v>
      </c>
      <c r="AQ34" s="22" t="str">
        <f t="shared" si="33"/>
        <v>0.833333334618742+0.0000206995051186853i</v>
      </c>
      <c r="AR34" s="22" t="str">
        <f t="shared" si="34"/>
        <v>0.999599997841377-0.0000248294702880473i</v>
      </c>
    </row>
    <row r="35" spans="2:44">
      <c r="B35" s="235"/>
      <c r="D35" s="37"/>
      <c r="G35" s="257">
        <v>7.5858</v>
      </c>
      <c r="H35" s="256">
        <f t="shared" si="26"/>
        <v>0.0075858</v>
      </c>
      <c r="I35" s="298">
        <f t="shared" si="0"/>
        <v>1.00002738704554</v>
      </c>
      <c r="J35" s="299">
        <f t="shared" si="1"/>
        <v>0.00740086758603762</v>
      </c>
      <c r="K35" s="299">
        <f t="shared" si="2"/>
        <v>1.0000000000084</v>
      </c>
      <c r="L35" s="300">
        <f t="shared" si="3"/>
        <v>4.09901688616868e-6</v>
      </c>
      <c r="M35" s="299">
        <f t="shared" si="4"/>
        <v>1.00000000036162</v>
      </c>
      <c r="N35" s="300">
        <f t="shared" si="5"/>
        <v>-2.68931784498369e-5</v>
      </c>
      <c r="O35" s="298">
        <f t="shared" si="6"/>
        <v>13.7633167941876</v>
      </c>
      <c r="P35" s="301">
        <f t="shared" si="7"/>
        <v>1.49807534323359</v>
      </c>
      <c r="Q35" s="320">
        <f t="shared" si="8"/>
        <v>1.00001635654064</v>
      </c>
      <c r="R35" s="321">
        <f t="shared" si="9"/>
        <v>0.00571949607843611</v>
      </c>
      <c r="S35" s="298">
        <f t="shared" si="10"/>
        <v>1.00000000072696</v>
      </c>
      <c r="T35" s="301">
        <f t="shared" si="11"/>
        <v>3.81303896205124e-5</v>
      </c>
      <c r="U35" s="316">
        <f t="shared" si="27"/>
        <v>0.999599997003095</v>
      </c>
      <c r="V35" s="317">
        <f t="shared" si="28"/>
        <v>-9.53259728599084e-5</v>
      </c>
      <c r="W35" s="318">
        <f t="shared" si="12"/>
        <v>74.0861240616673</v>
      </c>
      <c r="X35" s="319">
        <f t="shared" si="13"/>
        <v>-85.9386826448497</v>
      </c>
      <c r="Y35" s="332">
        <f t="shared" si="14"/>
        <v>94.0613173551503</v>
      </c>
      <c r="AA35" s="22">
        <f t="shared" si="15"/>
        <v>1000000000</v>
      </c>
      <c r="AB35" s="22">
        <f t="shared" si="16"/>
        <v>57.54436164</v>
      </c>
      <c r="AD35" s="331">
        <f t="shared" si="17"/>
        <v>72.4341296066749</v>
      </c>
      <c r="AE35" s="332">
        <f t="shared" si="18"/>
        <v>-85.5078763817641</v>
      </c>
      <c r="AG35" s="331">
        <f t="shared" si="19"/>
        <v>27.0468875647965</v>
      </c>
      <c r="AH35" s="332">
        <f t="shared" si="20"/>
        <v>-0.419882711227201</v>
      </c>
      <c r="AJ35" s="22">
        <f t="shared" si="21"/>
        <v>0</v>
      </c>
      <c r="AK35" s="22">
        <f t="shared" si="22"/>
        <v>0</v>
      </c>
      <c r="AM35" s="22" t="str">
        <f t="shared" si="29"/>
        <v>9.27249099724747E-09+0.000136179962575491i</v>
      </c>
      <c r="AN35" s="22" t="str">
        <f t="shared" si="30"/>
        <v>0.0001361799629964i</v>
      </c>
      <c r="AO35" s="22" t="str">
        <f t="shared" si="31"/>
        <v>0.999999996909171-0.0000680899802968267i</v>
      </c>
      <c r="AP35" s="22" t="str">
        <f t="shared" si="32"/>
        <v>0.166666665121252-0.0000226966604292485i</v>
      </c>
      <c r="AQ35" s="22" t="str">
        <f t="shared" si="33"/>
        <v>0.833333334878748+0.0000226966604292485i</v>
      </c>
      <c r="AR35" s="22" t="str">
        <f t="shared" si="34"/>
        <v>0.999599997404741-0.0000272250979969188i</v>
      </c>
    </row>
    <row r="36" spans="2:44">
      <c r="B36" s="235"/>
      <c r="D36" s="37"/>
      <c r="G36" s="257">
        <v>8.3176</v>
      </c>
      <c r="H36" s="256">
        <f t="shared" si="26"/>
        <v>0.0083176</v>
      </c>
      <c r="I36" s="298">
        <f t="shared" si="0"/>
        <v>1.00003292587056</v>
      </c>
      <c r="J36" s="299">
        <f t="shared" si="1"/>
        <v>0.00811479724420457</v>
      </c>
      <c r="K36" s="299">
        <f t="shared" si="2"/>
        <v>1.0000000000101</v>
      </c>
      <c r="L36" s="300">
        <f t="shared" si="3"/>
        <v>4.49444789637982e-6</v>
      </c>
      <c r="M36" s="299">
        <f t="shared" si="4"/>
        <v>1.00000000043476</v>
      </c>
      <c r="N36" s="300">
        <f t="shared" si="5"/>
        <v>-2.94875558363596e-5</v>
      </c>
      <c r="O36" s="298">
        <f t="shared" si="6"/>
        <v>15.0843577701285</v>
      </c>
      <c r="P36" s="301">
        <f t="shared" si="7"/>
        <v>1.50445383170567</v>
      </c>
      <c r="Q36" s="320">
        <f t="shared" si="8"/>
        <v>1.00001966455052</v>
      </c>
      <c r="R36" s="321">
        <f t="shared" si="9"/>
        <v>0.00627124043212463</v>
      </c>
      <c r="S36" s="298">
        <f t="shared" si="10"/>
        <v>1.00000000087399</v>
      </c>
      <c r="T36" s="301">
        <f t="shared" si="11"/>
        <v>4.18088176166637e-5</v>
      </c>
      <c r="U36" s="316">
        <f t="shared" si="27"/>
        <v>0.999599996396985</v>
      </c>
      <c r="V36" s="317">
        <f t="shared" si="28"/>
        <v>-0.000104522044203539</v>
      </c>
      <c r="W36" s="318">
        <f t="shared" si="12"/>
        <v>73.2900303168527</v>
      </c>
      <c r="X36" s="319">
        <f t="shared" si="13"/>
        <v>-86.3142992926699</v>
      </c>
      <c r="Y36" s="332">
        <f t="shared" si="14"/>
        <v>93.6857007073301</v>
      </c>
      <c r="AA36" s="22">
        <f t="shared" si="15"/>
        <v>1000000000</v>
      </c>
      <c r="AB36" s="22">
        <f t="shared" si="16"/>
        <v>69.18246976</v>
      </c>
      <c r="AD36" s="331">
        <f t="shared" si="17"/>
        <v>71.6380839746492</v>
      </c>
      <c r="AE36" s="332">
        <f t="shared" si="18"/>
        <v>-85.8419349868322</v>
      </c>
      <c r="AG36" s="331">
        <f t="shared" si="19"/>
        <v>27.0468394625411</v>
      </c>
      <c r="AH36" s="332">
        <f t="shared" si="20"/>
        <v>-0.460386961826315</v>
      </c>
      <c r="AJ36" s="22">
        <f t="shared" si="21"/>
        <v>0</v>
      </c>
      <c r="AK36" s="22">
        <f t="shared" si="22"/>
        <v>0</v>
      </c>
      <c r="AM36" s="22" t="str">
        <f t="shared" si="29"/>
        <v>1.11478140052412E-08+0.000149317205305947i</v>
      </c>
      <c r="AN36" s="22" t="str">
        <f t="shared" si="30"/>
        <v>0.0001493172058608i</v>
      </c>
      <c r="AO36" s="22" t="str">
        <f t="shared" si="31"/>
        <v>0.999999996284065-0.0000746586030790964i</v>
      </c>
      <c r="AP36" s="22" t="str">
        <f t="shared" si="32"/>
        <v>0.166666664808698-0.0000248862008843245i</v>
      </c>
      <c r="AQ36" s="22" t="str">
        <f t="shared" si="33"/>
        <v>0.833333335191302+0.0000248862008843245i</v>
      </c>
      <c r="AR36" s="22" t="str">
        <f t="shared" si="34"/>
        <v>0.999599996879861-0.0000298514955250311i</v>
      </c>
    </row>
    <row r="37" spans="1:44">
      <c r="A37" s="37" t="s">
        <v>543</v>
      </c>
      <c r="B37" s="245">
        <v>2</v>
      </c>
      <c r="C37" s="260" t="s">
        <v>540</v>
      </c>
      <c r="D37" s="37">
        <f>B37*1000000</f>
        <v>2000000</v>
      </c>
      <c r="E37" s="260" t="s">
        <v>68</v>
      </c>
      <c r="G37" s="257">
        <v>9.1201</v>
      </c>
      <c r="H37" s="256">
        <f t="shared" si="26"/>
        <v>0.0091201</v>
      </c>
      <c r="I37" s="298">
        <f t="shared" si="0"/>
        <v>1.00003958575743</v>
      </c>
      <c r="J37" s="299">
        <f t="shared" si="1"/>
        <v>0.00889769089249936</v>
      </c>
      <c r="K37" s="299">
        <f t="shared" si="2"/>
        <v>1.00000000001214</v>
      </c>
      <c r="L37" s="300">
        <f t="shared" si="3"/>
        <v>4.92808192984968e-6</v>
      </c>
      <c r="M37" s="299">
        <f t="shared" si="4"/>
        <v>1.0000000005227</v>
      </c>
      <c r="N37" s="300">
        <f t="shared" si="5"/>
        <v>-3.23325788649871e-5</v>
      </c>
      <c r="O37" s="298">
        <f t="shared" si="6"/>
        <v>16.5336132685601</v>
      </c>
      <c r="P37" s="301">
        <f t="shared" si="7"/>
        <v>1.51027654292184</v>
      </c>
      <c r="Q37" s="320">
        <f t="shared" si="8"/>
        <v>1.00002364211356</v>
      </c>
      <c r="R37" s="321">
        <f t="shared" si="9"/>
        <v>0.0068762850106883</v>
      </c>
      <c r="S37" s="298">
        <f t="shared" si="10"/>
        <v>1.00000000105077</v>
      </c>
      <c r="T37" s="301">
        <f t="shared" si="11"/>
        <v>4.58426225715106e-5</v>
      </c>
      <c r="U37" s="316">
        <f t="shared" si="27"/>
        <v>0.99959999566819</v>
      </c>
      <c r="V37" s="317">
        <f t="shared" si="28"/>
        <v>-0.000114606555894552</v>
      </c>
      <c r="W37" s="318">
        <f t="shared" si="12"/>
        <v>72.4931880015258</v>
      </c>
      <c r="X37" s="319">
        <f t="shared" si="13"/>
        <v>-86.6590531545296</v>
      </c>
      <c r="Y37" s="332">
        <f t="shared" si="14"/>
        <v>93.3409468454704</v>
      </c>
      <c r="AA37" s="22">
        <f t="shared" si="15"/>
        <v>1000000000</v>
      </c>
      <c r="AB37" s="22">
        <f t="shared" si="16"/>
        <v>83.17622401</v>
      </c>
      <c r="AD37" s="331">
        <f t="shared" si="17"/>
        <v>70.8412995098185</v>
      </c>
      <c r="AE37" s="332">
        <f t="shared" si="18"/>
        <v>-86.1411163844142</v>
      </c>
      <c r="AG37" s="331">
        <f t="shared" si="19"/>
        <v>27.0467816247103</v>
      </c>
      <c r="AH37" s="332">
        <f t="shared" si="20"/>
        <v>-0.504803826185801</v>
      </c>
      <c r="AJ37" s="22">
        <f t="shared" si="21"/>
        <v>0</v>
      </c>
      <c r="AK37" s="22">
        <f t="shared" si="22"/>
        <v>0</v>
      </c>
      <c r="AM37" s="22" t="str">
        <f t="shared" si="29"/>
        <v>1.34027170473061E-08+0.000163723651424353i</v>
      </c>
      <c r="AN37" s="22" t="str">
        <f t="shared" si="30"/>
        <v>0.0001637236521558i</v>
      </c>
      <c r="AO37" s="22" t="str">
        <f t="shared" si="31"/>
        <v>0.999999995532429-0.0000818618255262962i</v>
      </c>
      <c r="AP37" s="22" t="str">
        <f t="shared" si="32"/>
        <v>0.166666664432881-0.0000272872752373922i</v>
      </c>
      <c r="AQ37" s="22" t="str">
        <f t="shared" si="33"/>
        <v>0.833333335567119+0.0000272872752373922i</v>
      </c>
      <c r="AR37" s="22" t="str">
        <f t="shared" si="34"/>
        <v>0.999599996248741-0.0000327316321821842i</v>
      </c>
    </row>
    <row r="38" spans="1:44">
      <c r="A38" s="37" t="s">
        <v>544</v>
      </c>
      <c r="B38" s="245">
        <v>60</v>
      </c>
      <c r="C38" s="22" t="s">
        <v>64</v>
      </c>
      <c r="D38" s="37">
        <f>B38*0.000000000001</f>
        <v>6e-11</v>
      </c>
      <c r="E38" s="22" t="s">
        <v>369</v>
      </c>
      <c r="G38" s="257">
        <v>10</v>
      </c>
      <c r="H38" s="256">
        <f t="shared" si="26"/>
        <v>0.01</v>
      </c>
      <c r="I38" s="298">
        <f t="shared" si="0"/>
        <v>1.00004759244535</v>
      </c>
      <c r="J38" s="299">
        <f t="shared" si="1"/>
        <v>0.00975608096415765</v>
      </c>
      <c r="K38" s="299">
        <f t="shared" si="2"/>
        <v>1.0000000000146</v>
      </c>
      <c r="L38" s="300">
        <f t="shared" si="3"/>
        <v>5.40353935794741e-6</v>
      </c>
      <c r="M38" s="299">
        <f t="shared" si="4"/>
        <v>1.00000000062842</v>
      </c>
      <c r="N38" s="300">
        <f t="shared" si="5"/>
        <v>-3.54520003757725e-5</v>
      </c>
      <c r="O38" s="298">
        <f t="shared" si="6"/>
        <v>18.1231836670396</v>
      </c>
      <c r="P38" s="301">
        <f t="shared" si="7"/>
        <v>1.51559034593068</v>
      </c>
      <c r="Q38" s="320">
        <f t="shared" si="8"/>
        <v>1.00002842405665</v>
      </c>
      <c r="R38" s="321">
        <f t="shared" si="9"/>
        <v>0.00753967948795079</v>
      </c>
      <c r="S38" s="298">
        <f t="shared" si="10"/>
        <v>1.00000000126331</v>
      </c>
      <c r="T38" s="301">
        <f t="shared" si="11"/>
        <v>5.02654823576661e-5</v>
      </c>
      <c r="U38" s="316">
        <f t="shared" si="27"/>
        <v>0.999599994792008</v>
      </c>
      <c r="V38" s="317">
        <f t="shared" si="28"/>
        <v>-0.000125663706898584</v>
      </c>
      <c r="W38" s="318">
        <f t="shared" si="12"/>
        <v>71.6958256496152</v>
      </c>
      <c r="X38" s="319">
        <f t="shared" si="13"/>
        <v>-86.9757224923126</v>
      </c>
      <c r="Y38" s="332">
        <f t="shared" si="14"/>
        <v>93.0242775076874</v>
      </c>
      <c r="AA38" s="22">
        <f t="shared" si="15"/>
        <v>1000000000</v>
      </c>
      <c r="AB38" s="22">
        <f t="shared" si="16"/>
        <v>100</v>
      </c>
      <c r="AD38" s="331">
        <f t="shared" si="17"/>
        <v>70.0440067067581</v>
      </c>
      <c r="AE38" s="332">
        <f t="shared" si="18"/>
        <v>-86.4078185777893</v>
      </c>
      <c r="AG38" s="331">
        <f t="shared" si="19"/>
        <v>27.0467120910871</v>
      </c>
      <c r="AH38" s="332">
        <f t="shared" si="20"/>
        <v>-0.553503914420554</v>
      </c>
      <c r="AJ38" s="22">
        <f t="shared" si="21"/>
        <v>0</v>
      </c>
      <c r="AK38" s="22">
        <f t="shared" si="22"/>
        <v>0</v>
      </c>
      <c r="AM38" s="22" t="str">
        <f t="shared" si="29"/>
        <v>1.61136399778883E-08+0.000179519579035762i</v>
      </c>
      <c r="AN38" s="22" t="str">
        <f t="shared" si="30"/>
        <v>0.00017951958i</v>
      </c>
      <c r="AO38" s="22" t="str">
        <f t="shared" si="31"/>
        <v>0.999999994628787-0.0000897597909815091i</v>
      </c>
      <c r="AP38" s="22" t="str">
        <f t="shared" si="32"/>
        <v>0.16666666398106-0.0000299199298392937i</v>
      </c>
      <c r="AQ38" s="22" t="str">
        <f t="shared" si="33"/>
        <v>0.83333333601894+0.0000299199298392937i</v>
      </c>
      <c r="AR38" s="22" t="str">
        <f t="shared" si="34"/>
        <v>0.999599995489986-0.0000358895539632401i</v>
      </c>
    </row>
    <row r="39" spans="1:44">
      <c r="A39" s="37" t="s">
        <v>545</v>
      </c>
      <c r="B39" s="245">
        <v>0.4</v>
      </c>
      <c r="C39" s="22" t="s">
        <v>64</v>
      </c>
      <c r="D39" s="37">
        <f>B39*0.000000000001</f>
        <v>4e-13</v>
      </c>
      <c r="E39" s="22" t="s">
        <v>369</v>
      </c>
      <c r="G39" s="257">
        <v>10.965</v>
      </c>
      <c r="H39" s="256">
        <f t="shared" si="26"/>
        <v>0.010965</v>
      </c>
      <c r="I39" s="298">
        <f t="shared" si="0"/>
        <v>1.00005722070459</v>
      </c>
      <c r="J39" s="299">
        <f t="shared" si="1"/>
        <v>0.010697474114248</v>
      </c>
      <c r="K39" s="299">
        <f t="shared" si="2"/>
        <v>1.00000000001755</v>
      </c>
      <c r="L39" s="300">
        <f t="shared" si="3"/>
        <v>5.92498090597767e-6</v>
      </c>
      <c r="M39" s="299">
        <f t="shared" si="4"/>
        <v>1.00000000075556</v>
      </c>
      <c r="N39" s="300">
        <f t="shared" si="5"/>
        <v>-3.88731184087397e-5</v>
      </c>
      <c r="O39" s="298">
        <f t="shared" si="6"/>
        <v>19.8669798722229</v>
      </c>
      <c r="P39" s="301">
        <f t="shared" si="7"/>
        <v>1.52044027099005</v>
      </c>
      <c r="Q39" s="320">
        <f t="shared" si="8"/>
        <v>1.00003417449324</v>
      </c>
      <c r="R39" s="321">
        <f t="shared" si="9"/>
        <v>0.00826722686576211</v>
      </c>
      <c r="S39" s="298">
        <f t="shared" si="10"/>
        <v>1.00000000151889</v>
      </c>
      <c r="T39" s="301">
        <f t="shared" si="11"/>
        <v>5.51161013957897e-5</v>
      </c>
      <c r="U39" s="316">
        <f t="shared" si="27"/>
        <v>0.999599993738367</v>
      </c>
      <c r="V39" s="317">
        <f t="shared" si="28"/>
        <v>-0.000137790251036026</v>
      </c>
      <c r="W39" s="318">
        <f t="shared" si="12"/>
        <v>70.8978447596071</v>
      </c>
      <c r="X39" s="319">
        <f t="shared" si="13"/>
        <v>-87.266994048743</v>
      </c>
      <c r="Y39" s="332">
        <f t="shared" si="14"/>
        <v>92.733005951257</v>
      </c>
      <c r="AA39" s="22">
        <f t="shared" si="15"/>
        <v>1000000000</v>
      </c>
      <c r="AB39" s="22">
        <f t="shared" si="16"/>
        <v>120.231225</v>
      </c>
      <c r="AD39" s="331">
        <f t="shared" si="17"/>
        <v>69.2461094503902</v>
      </c>
      <c r="AE39" s="332">
        <f t="shared" si="18"/>
        <v>-86.6442913407705</v>
      </c>
      <c r="AG39" s="331">
        <f t="shared" si="19"/>
        <v>27.0466284757578</v>
      </c>
      <c r="AH39" s="332">
        <f t="shared" si="20"/>
        <v>-0.606913108269671</v>
      </c>
      <c r="AJ39" s="22">
        <f t="shared" si="21"/>
        <v>0</v>
      </c>
      <c r="AK39" s="22">
        <f t="shared" si="22"/>
        <v>0</v>
      </c>
      <c r="AM39" s="22" t="str">
        <f t="shared" si="29"/>
        <v>1.93736260367672E-08+0.000196843218198811i</v>
      </c>
      <c r="AN39" s="22" t="str">
        <f t="shared" si="30"/>
        <v>0.00019684321947i</v>
      </c>
      <c r="AO39" s="22" t="str">
        <f t="shared" si="31"/>
        <v>0.999999993542125-0.0000984216072513478i</v>
      </c>
      <c r="AP39" s="22" t="str">
        <f t="shared" si="32"/>
        <v>0.166666663437729-0.0000328072030331352i</v>
      </c>
      <c r="AQ39" s="22" t="str">
        <f t="shared" si="33"/>
        <v>0.833333336562271+0.0000328072030331352i</v>
      </c>
      <c r="AR39" s="22" t="str">
        <f t="shared" si="34"/>
        <v>0.999599994577555-0.0000393528958163504i</v>
      </c>
    </row>
    <row r="40" spans="2:44">
      <c r="B40" s="235"/>
      <c r="D40" s="37"/>
      <c r="G40" s="257">
        <v>12.023</v>
      </c>
      <c r="H40" s="256">
        <f t="shared" si="26"/>
        <v>0.012023</v>
      </c>
      <c r="I40" s="298">
        <f t="shared" si="0"/>
        <v>1.00006879535405</v>
      </c>
      <c r="J40" s="299">
        <f t="shared" si="1"/>
        <v>0.0117295703484375</v>
      </c>
      <c r="K40" s="299">
        <f t="shared" si="2"/>
        <v>1.0000000000211</v>
      </c>
      <c r="L40" s="300">
        <f t="shared" si="3"/>
        <v>6.496675370032e-6</v>
      </c>
      <c r="M40" s="299">
        <f t="shared" si="4"/>
        <v>1.0000000009084</v>
      </c>
      <c r="N40" s="300">
        <f t="shared" si="5"/>
        <v>-4.26239400438354e-5</v>
      </c>
      <c r="O40" s="298">
        <f t="shared" si="6"/>
        <v>21.7792779310857</v>
      </c>
      <c r="P40" s="301">
        <f t="shared" si="7"/>
        <v>1.52486497385512</v>
      </c>
      <c r="Q40" s="320">
        <f t="shared" si="8"/>
        <v>1.00004108743258</v>
      </c>
      <c r="R40" s="321">
        <f t="shared" si="9"/>
        <v>0.00906488012200083</v>
      </c>
      <c r="S40" s="298">
        <f t="shared" si="10"/>
        <v>1.00000000182615</v>
      </c>
      <c r="T40" s="301">
        <f t="shared" si="11"/>
        <v>6.04341894159456e-5</v>
      </c>
      <c r="U40" s="316">
        <f t="shared" si="27"/>
        <v>0.999599992471715</v>
      </c>
      <c r="V40" s="317">
        <f t="shared" si="28"/>
        <v>-0.000151085474341871</v>
      </c>
      <c r="W40" s="318">
        <f t="shared" si="12"/>
        <v>70.0995717542625</v>
      </c>
      <c r="X40" s="319">
        <f t="shared" si="13"/>
        <v>-87.5351920567416</v>
      </c>
      <c r="Y40" s="332">
        <f t="shared" si="14"/>
        <v>92.4648079432584</v>
      </c>
      <c r="AA40" s="22">
        <f t="shared" si="15"/>
        <v>1000000000</v>
      </c>
      <c r="AB40" s="22">
        <f t="shared" si="16"/>
        <v>144.552529</v>
      </c>
      <c r="AD40" s="331">
        <f t="shared" si="17"/>
        <v>68.4479369844873</v>
      </c>
      <c r="AE40" s="332">
        <f t="shared" si="18"/>
        <v>-86.8524106796775</v>
      </c>
      <c r="AG40" s="331">
        <f t="shared" si="19"/>
        <v>27.046527958329</v>
      </c>
      <c r="AH40" s="332">
        <f t="shared" si="20"/>
        <v>-0.665468256993311</v>
      </c>
      <c r="AJ40" s="22">
        <f t="shared" si="21"/>
        <v>0</v>
      </c>
      <c r="AK40" s="22">
        <f t="shared" si="22"/>
        <v>0</v>
      </c>
      <c r="AM40" s="22" t="str">
        <f t="shared" si="29"/>
        <v>2.32926740117989E-08+0.000215836389358198i</v>
      </c>
      <c r="AN40" s="22" t="str">
        <f t="shared" si="30"/>
        <v>0.000215836391034i</v>
      </c>
      <c r="AO40" s="22" t="str">
        <f t="shared" si="31"/>
        <v>0.999999992235776-0.000107918196279189i</v>
      </c>
      <c r="AP40" s="22" t="str">
        <f t="shared" si="32"/>
        <v>0.166666662784554-0.0000359727315596997i</v>
      </c>
      <c r="AQ40" s="22" t="str">
        <f t="shared" si="33"/>
        <v>0.833333337215446+0.0000359727315596997i</v>
      </c>
      <c r="AR40" s="22" t="str">
        <f t="shared" si="34"/>
        <v>0.99959999348066-0.000043150010478053i</v>
      </c>
    </row>
    <row r="41" spans="7:44">
      <c r="G41" s="257">
        <v>13.183</v>
      </c>
      <c r="H41" s="256">
        <f t="shared" si="26"/>
        <v>0.013183</v>
      </c>
      <c r="I41" s="298">
        <f t="shared" si="0"/>
        <v>1.00008271016716</v>
      </c>
      <c r="J41" s="299">
        <f t="shared" si="1"/>
        <v>0.012861140443275</v>
      </c>
      <c r="K41" s="299">
        <f t="shared" si="2"/>
        <v>1.00000000002537</v>
      </c>
      <c r="L41" s="300">
        <f t="shared" si="3"/>
        <v>7.12348593553091e-6</v>
      </c>
      <c r="M41" s="299">
        <f t="shared" si="4"/>
        <v>1.00000000109214</v>
      </c>
      <c r="N41" s="300">
        <f t="shared" si="5"/>
        <v>-4.67363720809324e-5</v>
      </c>
      <c r="O41" s="298">
        <f t="shared" si="6"/>
        <v>23.8763451812695</v>
      </c>
      <c r="P41" s="301">
        <f t="shared" si="7"/>
        <v>1.52890161551798</v>
      </c>
      <c r="Q41" s="320">
        <f t="shared" si="8"/>
        <v>1.00004939807325</v>
      </c>
      <c r="R41" s="321">
        <f t="shared" si="9"/>
        <v>0.00993942049224593</v>
      </c>
      <c r="S41" s="298">
        <f t="shared" si="10"/>
        <v>1.00000000219552</v>
      </c>
      <c r="T41" s="301">
        <f t="shared" si="11"/>
        <v>6.62649853509291e-5</v>
      </c>
      <c r="U41" s="316">
        <f t="shared" si="27"/>
        <v>0.999599990948952</v>
      </c>
      <c r="V41" s="317">
        <f t="shared" si="28"/>
        <v>-0.000165662461182992</v>
      </c>
      <c r="W41" s="318">
        <f t="shared" si="12"/>
        <v>69.3010356322585</v>
      </c>
      <c r="X41" s="319">
        <f t="shared" si="13"/>
        <v>-87.782570297363</v>
      </c>
      <c r="Y41" s="332">
        <f t="shared" si="14"/>
        <v>92.217429702637</v>
      </c>
      <c r="AA41" s="22">
        <f t="shared" si="15"/>
        <v>1000000000</v>
      </c>
      <c r="AB41" s="22">
        <f t="shared" si="16"/>
        <v>173.791489</v>
      </c>
      <c r="AD41" s="331">
        <f t="shared" si="17"/>
        <v>67.6495217274581</v>
      </c>
      <c r="AE41" s="332">
        <f t="shared" si="18"/>
        <v>-87.0339198183427</v>
      </c>
      <c r="AG41" s="331">
        <f t="shared" si="19"/>
        <v>27.0464071198179</v>
      </c>
      <c r="AH41" s="332">
        <f t="shared" si="20"/>
        <v>-0.729666959299365</v>
      </c>
      <c r="AJ41" s="22">
        <f t="shared" si="21"/>
        <v>0</v>
      </c>
      <c r="AK41" s="22">
        <f t="shared" si="22"/>
        <v>0</v>
      </c>
      <c r="AM41" s="22" t="str">
        <f t="shared" si="29"/>
        <v>2.80041340117165E-08+0.000236660660104841i</v>
      </c>
      <c r="AN41" s="22" t="str">
        <f t="shared" si="30"/>
        <v>0.000236660662314i</v>
      </c>
      <c r="AO41" s="22" t="str">
        <f t="shared" si="31"/>
        <v>0.999999990665288-0.000118330328910179i</v>
      </c>
      <c r="AP41" s="22" t="str">
        <f t="shared" si="32"/>
        <v>0.166666661999311-0.0000394434433508068i</v>
      </c>
      <c r="AQ41" s="22" t="str">
        <f t="shared" si="33"/>
        <v>0.833333338000689+0.0000394434433508068i</v>
      </c>
      <c r="AR41" s="22" t="str">
        <f t="shared" si="34"/>
        <v>0.999599992161979-0.0000473131985321765i</v>
      </c>
    </row>
    <row r="42" spans="7:44">
      <c r="G42" s="257">
        <v>14.454</v>
      </c>
      <c r="H42" s="256">
        <f t="shared" si="26"/>
        <v>0.014454</v>
      </c>
      <c r="I42" s="298">
        <f t="shared" si="0"/>
        <v>1.00009942666339</v>
      </c>
      <c r="J42" s="299">
        <f t="shared" si="1"/>
        <v>0.0141009521688882</v>
      </c>
      <c r="K42" s="299">
        <f t="shared" si="2"/>
        <v>1.0000000000305</v>
      </c>
      <c r="L42" s="300">
        <f t="shared" si="3"/>
        <v>7.81027578789439e-6</v>
      </c>
      <c r="M42" s="299">
        <f t="shared" si="4"/>
        <v>1.00000000131289</v>
      </c>
      <c r="N42" s="300">
        <f t="shared" si="5"/>
        <v>-5.12423213197591e-5</v>
      </c>
      <c r="O42" s="298">
        <f t="shared" si="6"/>
        <v>26.1744517466207</v>
      </c>
      <c r="P42" s="301">
        <f t="shared" si="7"/>
        <v>1.53258183266081</v>
      </c>
      <c r="Q42" s="320">
        <f t="shared" si="8"/>
        <v>1.00005938208447</v>
      </c>
      <c r="R42" s="321">
        <f t="shared" si="9"/>
        <v>0.0108976278240939</v>
      </c>
      <c r="S42" s="298">
        <f t="shared" si="10"/>
        <v>1.00000000263928</v>
      </c>
      <c r="T42" s="301">
        <f t="shared" si="11"/>
        <v>7.26537281331242e-5</v>
      </c>
      <c r="U42" s="316">
        <f t="shared" si="27"/>
        <v>0.999599989119558</v>
      </c>
      <c r="V42" s="317">
        <f t="shared" si="28"/>
        <v>-0.000181634317750418</v>
      </c>
      <c r="W42" s="318">
        <f t="shared" si="12"/>
        <v>68.5027822497255</v>
      </c>
      <c r="X42" s="319">
        <f t="shared" si="13"/>
        <v>-88.0110659405393</v>
      </c>
      <c r="Y42" s="332">
        <f t="shared" si="14"/>
        <v>91.9889340594607</v>
      </c>
      <c r="AA42" s="22">
        <f t="shared" si="15"/>
        <v>1000000000</v>
      </c>
      <c r="AB42" s="22">
        <f t="shared" si="16"/>
        <v>208.918116</v>
      </c>
      <c r="AD42" s="331">
        <f t="shared" si="17"/>
        <v>66.8514135432791</v>
      </c>
      <c r="AE42" s="332">
        <f t="shared" si="18"/>
        <v>-87.1902455404817</v>
      </c>
      <c r="AG42" s="331">
        <f t="shared" si="19"/>
        <v>27.0462619532564</v>
      </c>
      <c r="AH42" s="332">
        <f t="shared" si="20"/>
        <v>-0.800006640390038</v>
      </c>
      <c r="AJ42" s="22">
        <f t="shared" si="21"/>
        <v>0</v>
      </c>
      <c r="AK42" s="22">
        <f t="shared" si="22"/>
        <v>0</v>
      </c>
      <c r="AM42" s="22" t="str">
        <f t="shared" si="29"/>
        <v>3.36643120046887E-08+0.000259477598020288i</v>
      </c>
      <c r="AN42" s="22" t="str">
        <f t="shared" si="30"/>
        <v>0.000259477600932i</v>
      </c>
      <c r="AO42" s="22" t="str">
        <f t="shared" si="31"/>
        <v>0.999999988778561-0.000129738797814425i</v>
      </c>
      <c r="AP42" s="22" t="str">
        <f t="shared" si="32"/>
        <v>0.166666661055948-0.0000432462663367147i</v>
      </c>
      <c r="AQ42" s="22" t="str">
        <f t="shared" si="33"/>
        <v>0.833333338944052+0.0000432462663367147i</v>
      </c>
      <c r="AR42" s="22" t="str">
        <f t="shared" si="34"/>
        <v>0.999599990577763-0.0000518747605579785i</v>
      </c>
    </row>
    <row r="43" spans="7:44">
      <c r="G43" s="257">
        <v>15.849</v>
      </c>
      <c r="H43" s="256">
        <f t="shared" si="26"/>
        <v>0.015849</v>
      </c>
      <c r="I43" s="298">
        <f t="shared" si="0"/>
        <v>1.00011954354414</v>
      </c>
      <c r="J43" s="299">
        <f t="shared" si="1"/>
        <v>0.015461671091606</v>
      </c>
      <c r="K43" s="299">
        <f t="shared" si="2"/>
        <v>1.00000000003667</v>
      </c>
      <c r="L43" s="300">
        <f t="shared" si="3"/>
        <v>8.56406952828483e-6</v>
      </c>
      <c r="M43" s="299">
        <f t="shared" si="4"/>
        <v>1.00000000157854</v>
      </c>
      <c r="N43" s="300">
        <f t="shared" si="5"/>
        <v>-5.61878753599717e-5</v>
      </c>
      <c r="O43" s="298">
        <f t="shared" si="6"/>
        <v>28.6971033538586</v>
      </c>
      <c r="P43" s="301">
        <f t="shared" si="7"/>
        <v>1.53594254797684</v>
      </c>
      <c r="Q43" s="320">
        <f t="shared" si="8"/>
        <v>1.00007139708152</v>
      </c>
      <c r="R43" s="321">
        <f t="shared" si="9"/>
        <v>0.0119492956964916</v>
      </c>
      <c r="S43" s="298">
        <f t="shared" si="10"/>
        <v>1.00000000317332</v>
      </c>
      <c r="T43" s="301">
        <f t="shared" si="11"/>
        <v>7.96657628872235e-5</v>
      </c>
      <c r="U43" s="316">
        <f t="shared" si="27"/>
        <v>0.999599986918001</v>
      </c>
      <c r="V43" s="317">
        <f t="shared" si="28"/>
        <v>-0.000199164407742265</v>
      </c>
      <c r="W43" s="318">
        <f t="shared" si="12"/>
        <v>67.7035025045619</v>
      </c>
      <c r="X43" s="319">
        <f t="shared" si="13"/>
        <v>-88.2229743957145</v>
      </c>
      <c r="Y43" s="332">
        <f t="shared" si="14"/>
        <v>91.7770256042855</v>
      </c>
      <c r="AA43" s="22">
        <f t="shared" si="15"/>
        <v>1000000000</v>
      </c>
      <c r="AB43" s="22">
        <f t="shared" si="16"/>
        <v>251.190801</v>
      </c>
      <c r="AD43" s="331">
        <f t="shared" si="17"/>
        <v>66.0523085287621</v>
      </c>
      <c r="AE43" s="332">
        <f t="shared" si="18"/>
        <v>-87.3229459738463</v>
      </c>
      <c r="AG43" s="331">
        <f t="shared" si="19"/>
        <v>27.04608726087</v>
      </c>
      <c r="AH43" s="332">
        <f t="shared" si="20"/>
        <v>-0.877205861856462</v>
      </c>
      <c r="AJ43" s="22">
        <f t="shared" si="21"/>
        <v>0</v>
      </c>
      <c r="AK43" s="22">
        <f t="shared" si="22"/>
        <v>0</v>
      </c>
      <c r="AM43" s="22" t="str">
        <f t="shared" si="29"/>
        <v>4.0475981011312E-08+0.00028452057850325i</v>
      </c>
      <c r="AN43" s="22" t="str">
        <f t="shared" si="30"/>
        <v>0.000284520582342i</v>
      </c>
      <c r="AO43" s="22" t="str">
        <f t="shared" si="31"/>
        <v>0.999999986508006-0.000142260291603997i</v>
      </c>
      <c r="AP43" s="22" t="str">
        <f t="shared" si="32"/>
        <v>0.16666665992067-0.0000474200964172083i</v>
      </c>
      <c r="AQ43" s="22" t="str">
        <f t="shared" si="33"/>
        <v>0.83333334007933+0.0000474200964172083i</v>
      </c>
      <c r="AR43" s="22" t="str">
        <f t="shared" si="34"/>
        <v>0.999599988671259-0.000056881352949252i</v>
      </c>
    </row>
    <row r="44" spans="7:44">
      <c r="G44" s="257">
        <v>17.378</v>
      </c>
      <c r="H44" s="256">
        <f t="shared" si="26"/>
        <v>0.017378</v>
      </c>
      <c r="I44" s="298">
        <f t="shared" si="0"/>
        <v>1.00014371984258</v>
      </c>
      <c r="J44" s="299">
        <f t="shared" si="1"/>
        <v>0.016953031107073</v>
      </c>
      <c r="K44" s="299">
        <f t="shared" si="2"/>
        <v>1.00000000004409</v>
      </c>
      <c r="L44" s="300">
        <f t="shared" si="3"/>
        <v>9.3902706960564e-6</v>
      </c>
      <c r="M44" s="299">
        <f t="shared" si="4"/>
        <v>1.0000000018978</v>
      </c>
      <c r="N44" s="300">
        <f t="shared" si="5"/>
        <v>-6.1608486200881e-5</v>
      </c>
      <c r="O44" s="298">
        <f t="shared" si="6"/>
        <v>31.4623839224124</v>
      </c>
      <c r="P44" s="301">
        <f t="shared" si="7"/>
        <v>1.53900698593128</v>
      </c>
      <c r="Q44" s="320">
        <f t="shared" si="8"/>
        <v>1.00008583673287</v>
      </c>
      <c r="R44" s="321">
        <f t="shared" si="9"/>
        <v>0.0131019535467619</v>
      </c>
      <c r="S44" s="298">
        <f t="shared" si="10"/>
        <v>1.00000000381513</v>
      </c>
      <c r="T44" s="301">
        <f t="shared" si="11"/>
        <v>8.73513550925489e-5</v>
      </c>
      <c r="U44" s="316">
        <f t="shared" si="27"/>
        <v>0.999599984272129</v>
      </c>
      <c r="V44" s="317">
        <f t="shared" si="28"/>
        <v>-0.000218378385279384</v>
      </c>
      <c r="W44" s="318">
        <f t="shared" si="12"/>
        <v>66.9043466369504</v>
      </c>
      <c r="X44" s="319">
        <f t="shared" si="13"/>
        <v>-88.4197644339868</v>
      </c>
      <c r="Y44" s="332">
        <f t="shared" si="14"/>
        <v>91.5802355660132</v>
      </c>
      <c r="AA44" s="22">
        <f t="shared" si="15"/>
        <v>1000000000</v>
      </c>
      <c r="AB44" s="22">
        <f t="shared" si="16"/>
        <v>301.994884</v>
      </c>
      <c r="AD44" s="331">
        <f t="shared" si="17"/>
        <v>65.2533626463262</v>
      </c>
      <c r="AE44" s="332">
        <f t="shared" si="18"/>
        <v>-87.4329232572942</v>
      </c>
      <c r="AG44" s="331">
        <f t="shared" si="19"/>
        <v>27.0458773216765</v>
      </c>
      <c r="AH44" s="332">
        <f t="shared" si="20"/>
        <v>-0.961816857037057</v>
      </c>
      <c r="AJ44" s="22">
        <f t="shared" si="21"/>
        <v>0</v>
      </c>
      <c r="AK44" s="22">
        <f t="shared" si="22"/>
        <v>0</v>
      </c>
      <c r="AM44" s="22" t="str">
        <f t="shared" si="29"/>
        <v>4.86623670248321E-08+0.000311969121063615i</v>
      </c>
      <c r="AN44" s="22" t="str">
        <f t="shared" si="30"/>
        <v>0.000311969126124i</v>
      </c>
      <c r="AO44" s="22" t="str">
        <f t="shared" si="31"/>
        <v>0.999999983779212-0.000155984560489777i</v>
      </c>
      <c r="AP44" s="22" t="str">
        <f t="shared" si="32"/>
        <v>0.166666658556272-0.0000519948535106025i</v>
      </c>
      <c r="AQ44" s="22" t="str">
        <f t="shared" si="33"/>
        <v>0.833333341443728+0.0000519948535106025i</v>
      </c>
      <c r="AR44" s="22" t="str">
        <f t="shared" si="34"/>
        <v>0.999599986379987-0.0000623688652262299i</v>
      </c>
    </row>
    <row r="45" spans="7:44">
      <c r="G45" s="257">
        <v>19.055</v>
      </c>
      <c r="H45" s="256">
        <f t="shared" si="26"/>
        <v>0.019055</v>
      </c>
      <c r="I45" s="298">
        <f t="shared" si="0"/>
        <v>1.0001727940327</v>
      </c>
      <c r="J45" s="299">
        <f t="shared" si="1"/>
        <v>0.0185886607846004</v>
      </c>
      <c r="K45" s="299">
        <f t="shared" si="2"/>
        <v>1.00000000005301</v>
      </c>
      <c r="L45" s="300">
        <f t="shared" si="3"/>
        <v>1.02964442463051e-5</v>
      </c>
      <c r="M45" s="299">
        <f t="shared" si="4"/>
        <v>1.00000000228176</v>
      </c>
      <c r="N45" s="300">
        <f t="shared" si="5"/>
        <v>-6.7553786641575e-5</v>
      </c>
      <c r="O45" s="298">
        <f t="shared" si="6"/>
        <v>34.4956132598888</v>
      </c>
      <c r="P45" s="301">
        <f t="shared" si="7"/>
        <v>1.54180307169084</v>
      </c>
      <c r="Q45" s="320">
        <f t="shared" si="8"/>
        <v>1.00010320190855</v>
      </c>
      <c r="R45" s="321">
        <f t="shared" si="9"/>
        <v>0.0143661431014555</v>
      </c>
      <c r="S45" s="298">
        <f t="shared" si="10"/>
        <v>1.00000000458699</v>
      </c>
      <c r="T45" s="301">
        <f t="shared" si="11"/>
        <v>9.57808764203028e-5</v>
      </c>
      <c r="U45" s="316">
        <f t="shared" si="27"/>
        <v>0.999599981090142</v>
      </c>
      <c r="V45" s="317">
        <f t="shared" si="28"/>
        <v>-0.000239452190510001</v>
      </c>
      <c r="W45" s="318">
        <f t="shared" si="12"/>
        <v>66.1048000499137</v>
      </c>
      <c r="X45" s="319">
        <f t="shared" si="13"/>
        <v>-88.6032294355527</v>
      </c>
      <c r="Y45" s="332">
        <f t="shared" si="14"/>
        <v>91.3967705644473</v>
      </c>
      <c r="AA45" s="22">
        <f t="shared" si="15"/>
        <v>1000000000</v>
      </c>
      <c r="AB45" s="22">
        <f t="shared" si="16"/>
        <v>363.093025</v>
      </c>
      <c r="AD45" s="331">
        <f t="shared" si="17"/>
        <v>64.454068578774</v>
      </c>
      <c r="AE45" s="332">
        <f t="shared" si="18"/>
        <v>-87.5211774205818</v>
      </c>
      <c r="AG45" s="331">
        <f t="shared" si="19"/>
        <v>27.0456248574908</v>
      </c>
      <c r="AH45" s="332">
        <f t="shared" si="20"/>
        <v>-1.05461281511701</v>
      </c>
      <c r="AJ45" s="22">
        <f t="shared" si="21"/>
        <v>0</v>
      </c>
      <c r="AK45" s="22">
        <f t="shared" ref="AK45:AK76" si="35">IF(AJ45&gt;0,Y43,0)</f>
        <v>0</v>
      </c>
      <c r="AM45" s="22" t="str">
        <f t="shared" si="29"/>
        <v>5.85075019543524E-08+0.000342074553018691i</v>
      </c>
      <c r="AN45" s="22" t="str">
        <f t="shared" si="30"/>
        <v>0.00034207455969i</v>
      </c>
      <c r="AO45" s="22" t="str">
        <f t="shared" si="31"/>
        <v>0.9999999804975-0.000171037279145733i</v>
      </c>
      <c r="AP45" s="22" t="str">
        <f t="shared" si="32"/>
        <v>0.166666656915416-0.0000570124255031152i</v>
      </c>
      <c r="AQ45" s="22" t="str">
        <f t="shared" si="33"/>
        <v>0.833333343084584+0.0000570124255031152i</v>
      </c>
      <c r="AR45" s="22" t="str">
        <f t="shared" si="34"/>
        <v>0.999599983624452-0.0000683875427189283i</v>
      </c>
    </row>
    <row r="46" spans="7:44">
      <c r="G46" s="257">
        <v>20.893</v>
      </c>
      <c r="H46" s="256">
        <f t="shared" si="26"/>
        <v>0.020893</v>
      </c>
      <c r="I46" s="298">
        <f t="shared" si="0"/>
        <v>1.00020773269556</v>
      </c>
      <c r="J46" s="299">
        <f t="shared" si="1"/>
        <v>0.0203812041452107</v>
      </c>
      <c r="K46" s="299">
        <f t="shared" si="2"/>
        <v>1.00000000006373</v>
      </c>
      <c r="L46" s="300">
        <f t="shared" si="3"/>
        <v>1.12896147801898e-5</v>
      </c>
      <c r="M46" s="299">
        <f t="shared" si="4"/>
        <v>1.00000000274317</v>
      </c>
      <c r="N46" s="300">
        <f t="shared" si="5"/>
        <v>-7.40698642806752e-5</v>
      </c>
      <c r="O46" s="298">
        <f t="shared" si="6"/>
        <v>37.8203047793626</v>
      </c>
      <c r="P46" s="301">
        <f t="shared" si="7"/>
        <v>1.54435242154265</v>
      </c>
      <c r="Q46" s="320">
        <f t="shared" si="8"/>
        <v>1.00012407003366</v>
      </c>
      <c r="R46" s="321">
        <f t="shared" si="9"/>
        <v>0.0157516479904715</v>
      </c>
      <c r="S46" s="298">
        <f t="shared" si="10"/>
        <v>1.00000000551457</v>
      </c>
      <c r="T46" s="301">
        <f t="shared" si="11"/>
        <v>0.000105019671992228</v>
      </c>
      <c r="U46" s="316">
        <f t="shared" si="27"/>
        <v>0.999599977266204</v>
      </c>
      <c r="V46" s="317">
        <f t="shared" si="28"/>
        <v>-0.000262549179027568</v>
      </c>
      <c r="W46" s="318">
        <f t="shared" si="12"/>
        <v>65.3054547519872</v>
      </c>
      <c r="X46" s="319">
        <f t="shared" si="13"/>
        <v>-88.7747871525049</v>
      </c>
      <c r="Y46" s="332">
        <f t="shared" si="14"/>
        <v>91.2252128474951</v>
      </c>
      <c r="AA46" s="22">
        <f t="shared" si="15"/>
        <v>1000000000</v>
      </c>
      <c r="AB46" s="22">
        <f t="shared" si="16"/>
        <v>436.517449</v>
      </c>
      <c r="AD46" s="331">
        <f t="shared" si="17"/>
        <v>63.6550267256151</v>
      </c>
      <c r="AE46" s="332">
        <f t="shared" si="18"/>
        <v>-87.5883901690283</v>
      </c>
      <c r="AG46" s="331">
        <f t="shared" si="19"/>
        <v>27.0453214791784</v>
      </c>
      <c r="AH46" s="332">
        <f t="shared" si="20"/>
        <v>-1.15631106369664</v>
      </c>
      <c r="AJ46" s="22">
        <f t="shared" si="21"/>
        <v>0</v>
      </c>
      <c r="AK46" s="22">
        <f t="shared" si="35"/>
        <v>0</v>
      </c>
      <c r="AM46" s="22" t="str">
        <f t="shared" si="29"/>
        <v>7.0338848967566E-08+0.000375070249699997i</v>
      </c>
      <c r="AN46" s="22" t="str">
        <f t="shared" si="30"/>
        <v>0.000375070258494i</v>
      </c>
      <c r="AO46" s="22" t="str">
        <f t="shared" si="31"/>
        <v>0.999999976553718-0.000187535128085052i</v>
      </c>
      <c r="AP46" s="22" t="str">
        <f t="shared" si="32"/>
        <v>0.166666654943525-0.0000625117082833328i</v>
      </c>
      <c r="AQ46" s="22" t="str">
        <f t="shared" si="33"/>
        <v>0.833333345056475+0.0000625117082833328i</v>
      </c>
      <c r="AR46" s="22" t="str">
        <f t="shared" si="34"/>
        <v>0.999599980313001-0.0000749840417883635i</v>
      </c>
    </row>
    <row r="47" spans="7:44">
      <c r="G47" s="257">
        <v>22.909</v>
      </c>
      <c r="H47" s="256">
        <f t="shared" si="26"/>
        <v>0.022909</v>
      </c>
      <c r="I47" s="298">
        <f t="shared" si="0"/>
        <v>1.00024975051331</v>
      </c>
      <c r="J47" s="299">
        <f t="shared" si="1"/>
        <v>0.0223471942291151</v>
      </c>
      <c r="K47" s="299">
        <f t="shared" si="2"/>
        <v>1.00000000007662</v>
      </c>
      <c r="L47" s="300">
        <f t="shared" si="3"/>
        <v>1.23789683146099e-5</v>
      </c>
      <c r="M47" s="299">
        <f t="shared" si="4"/>
        <v>1.0000000032981</v>
      </c>
      <c r="N47" s="300">
        <f t="shared" si="5"/>
        <v>-8.12169875163083e-5</v>
      </c>
      <c r="O47" s="298">
        <f t="shared" si="6"/>
        <v>41.4672091804835</v>
      </c>
      <c r="P47" s="301">
        <f t="shared" si="7"/>
        <v>1.5466785486545</v>
      </c>
      <c r="Q47" s="320">
        <f t="shared" si="8"/>
        <v>1.00014916677717</v>
      </c>
      <c r="R47" s="321">
        <f t="shared" si="9"/>
        <v>0.0172712615207838</v>
      </c>
      <c r="S47" s="298">
        <f t="shared" si="10"/>
        <v>1.00000000663013</v>
      </c>
      <c r="T47" s="301">
        <f t="shared" si="11"/>
        <v>0.000115153193121173</v>
      </c>
      <c r="U47" s="316">
        <f t="shared" si="27"/>
        <v>0.999599972667295</v>
      </c>
      <c r="V47" s="317">
        <f t="shared" si="28"/>
        <v>-0.000287882980646854</v>
      </c>
      <c r="W47" s="318">
        <f t="shared" si="12"/>
        <v>64.5057121225052</v>
      </c>
      <c r="X47" s="319">
        <f t="shared" si="13"/>
        <v>-88.9360191239447</v>
      </c>
      <c r="Y47" s="332">
        <f t="shared" si="14"/>
        <v>91.0639808760553</v>
      </c>
      <c r="AA47" s="22">
        <f t="shared" si="15"/>
        <v>1000000000</v>
      </c>
      <c r="AB47" s="22">
        <f t="shared" si="16"/>
        <v>524.822281</v>
      </c>
      <c r="AD47" s="331">
        <f t="shared" si="17"/>
        <v>62.8556490098276</v>
      </c>
      <c r="AE47" s="332">
        <f t="shared" si="18"/>
        <v>-87.635180601416</v>
      </c>
      <c r="AG47" s="331">
        <f t="shared" si="19"/>
        <v>27.0449566454071</v>
      </c>
      <c r="AH47" s="332">
        <f t="shared" si="20"/>
        <v>-1.26784956292172</v>
      </c>
      <c r="AJ47" s="22">
        <f t="shared" si="21"/>
        <v>0</v>
      </c>
      <c r="AK47" s="22">
        <f t="shared" si="35"/>
        <v>0</v>
      </c>
      <c r="AM47" s="22" t="str">
        <f t="shared" si="29"/>
        <v>8.45679709593483E-08+0.000411261394228819i</v>
      </c>
      <c r="AN47" s="22" t="str">
        <f t="shared" si="30"/>
        <v>0.000411261405822i</v>
      </c>
      <c r="AO47" s="22" t="str">
        <f t="shared" si="31"/>
        <v>0.999999971810676-0.000205630700479467i</v>
      </c>
      <c r="AP47" s="22" t="str">
        <f t="shared" si="32"/>
        <v>0.166666652572005-0.0000685435657048032i</v>
      </c>
      <c r="AQ47" s="22" t="str">
        <f t="shared" si="33"/>
        <v>0.833333347427995+0.0000685435657048032i</v>
      </c>
      <c r="AR47" s="22" t="str">
        <f t="shared" si="34"/>
        <v>0.999599976330441-0.0000822193745967252i</v>
      </c>
    </row>
    <row r="48" spans="7:44">
      <c r="G48" s="257">
        <v>25.119</v>
      </c>
      <c r="H48" s="256">
        <f t="shared" si="26"/>
        <v>0.025119</v>
      </c>
      <c r="I48" s="298">
        <f t="shared" si="0"/>
        <v>1.00030025334325</v>
      </c>
      <c r="J48" s="299">
        <f t="shared" si="1"/>
        <v>0.0245021727920001</v>
      </c>
      <c r="K48" s="299">
        <f t="shared" si="2"/>
        <v>1.00000000009212</v>
      </c>
      <c r="L48" s="300">
        <f t="shared" si="3"/>
        <v>1.35731505125267e-5</v>
      </c>
      <c r="M48" s="299">
        <f t="shared" si="4"/>
        <v>1.00000000396512</v>
      </c>
      <c r="N48" s="300">
        <f t="shared" si="5"/>
        <v>-8.90518795458101e-5</v>
      </c>
      <c r="O48" s="298">
        <f t="shared" si="6"/>
        <v>45.4652702222002</v>
      </c>
      <c r="P48" s="301">
        <f t="shared" si="7"/>
        <v>1.54879974256072</v>
      </c>
      <c r="Q48" s="320">
        <f t="shared" si="8"/>
        <v>1.00017933207941</v>
      </c>
      <c r="R48" s="321">
        <f t="shared" si="9"/>
        <v>0.0189370157900028</v>
      </c>
      <c r="S48" s="298">
        <f t="shared" si="10"/>
        <v>1.00000000797103</v>
      </c>
      <c r="T48" s="301">
        <f t="shared" si="11"/>
        <v>0.000126261864569602</v>
      </c>
      <c r="U48" s="316">
        <f t="shared" si="27"/>
        <v>0.999599967139433</v>
      </c>
      <c r="V48" s="317">
        <f t="shared" si="28"/>
        <v>-0.000315654657068896</v>
      </c>
      <c r="W48" s="318">
        <f t="shared" si="12"/>
        <v>63.7060361143078</v>
      </c>
      <c r="X48" s="319">
        <f t="shared" si="13"/>
        <v>-89.0881932342215</v>
      </c>
      <c r="Y48" s="332">
        <f t="shared" si="14"/>
        <v>90.9118067657785</v>
      </c>
      <c r="AA48" s="22">
        <f t="shared" si="15"/>
        <v>1000000000</v>
      </c>
      <c r="AB48" s="22">
        <f t="shared" si="16"/>
        <v>630.964161</v>
      </c>
      <c r="AD48" s="331">
        <f t="shared" si="17"/>
        <v>62.0564115851432</v>
      </c>
      <c r="AE48" s="332">
        <f t="shared" si="18"/>
        <v>-87.6619118504598</v>
      </c>
      <c r="AG48" s="331">
        <f t="shared" si="19"/>
        <v>27.0445181579614</v>
      </c>
      <c r="AH48" s="332">
        <f t="shared" si="20"/>
        <v>-1.39011002445324</v>
      </c>
      <c r="AJ48" s="22">
        <f t="shared" si="21"/>
        <v>0</v>
      </c>
      <c r="AK48" s="22">
        <f t="shared" si="35"/>
        <v>0</v>
      </c>
      <c r="AM48" s="22" t="str">
        <f t="shared" si="29"/>
        <v>1.01671290053673E-07+0.000450935217719611i</v>
      </c>
      <c r="AN48" s="22" t="str">
        <f t="shared" si="30"/>
        <v>0.000450935233002i</v>
      </c>
      <c r="AO48" s="22" t="str">
        <f t="shared" si="31"/>
        <v>0.99999996610957-0.000225467611782781i</v>
      </c>
      <c r="AP48" s="22" t="str">
        <f t="shared" si="32"/>
        <v>0.166666649721452-0.0000751558696199352i</v>
      </c>
      <c r="AQ48" s="22" t="str">
        <f t="shared" si="33"/>
        <v>0.833333350278548+0.0000751558696199352i</v>
      </c>
      <c r="AR48" s="22" t="str">
        <f t="shared" si="34"/>
        <v>0.999599971543428-0.0000901509643269376i</v>
      </c>
    </row>
    <row r="49" spans="7:44">
      <c r="G49" s="257">
        <v>27.542</v>
      </c>
      <c r="H49" s="256">
        <f t="shared" si="26"/>
        <v>0.027542</v>
      </c>
      <c r="I49" s="298">
        <f t="shared" si="0"/>
        <v>1.00036096153721</v>
      </c>
      <c r="J49" s="299">
        <f t="shared" si="1"/>
        <v>0.0268645860919909</v>
      </c>
      <c r="K49" s="299">
        <f t="shared" si="2"/>
        <v>1.00000000011074</v>
      </c>
      <c r="L49" s="300">
        <f t="shared" si="3"/>
        <v>1.48824280987048e-5</v>
      </c>
      <c r="M49" s="299">
        <f t="shared" si="4"/>
        <v>1.00000000476697</v>
      </c>
      <c r="N49" s="300">
        <f t="shared" si="5"/>
        <v>-9.76418991655554e-5</v>
      </c>
      <c r="O49" s="298">
        <f t="shared" si="6"/>
        <v>49.8488603143024</v>
      </c>
      <c r="P49" s="301">
        <f t="shared" si="7"/>
        <v>1.55073434187921</v>
      </c>
      <c r="Q49" s="320">
        <f t="shared" si="8"/>
        <v>1.00021559384946</v>
      </c>
      <c r="R49" s="321">
        <f t="shared" si="9"/>
        <v>0.0207631944873372</v>
      </c>
      <c r="S49" s="298">
        <f t="shared" si="10"/>
        <v>1.00000000958298</v>
      </c>
      <c r="T49" s="301">
        <f t="shared" si="11"/>
        <v>0.000138441190741627</v>
      </c>
      <c r="U49" s="316">
        <f t="shared" si="27"/>
        <v>0.999599960494159</v>
      </c>
      <c r="V49" s="317">
        <f t="shared" si="28"/>
        <v>-0.000346102972711915</v>
      </c>
      <c r="W49" s="318">
        <f t="shared" si="12"/>
        <v>62.9063146846633</v>
      </c>
      <c r="X49" s="319">
        <f t="shared" si="13"/>
        <v>-89.2326211297028</v>
      </c>
      <c r="Y49" s="332">
        <f t="shared" si="14"/>
        <v>90.7673788702972</v>
      </c>
      <c r="AA49" s="22">
        <f t="shared" si="15"/>
        <v>1000000000</v>
      </c>
      <c r="AB49" s="22">
        <f t="shared" si="16"/>
        <v>758.561764</v>
      </c>
      <c r="AD49" s="331">
        <f t="shared" si="17"/>
        <v>61.2572173365151</v>
      </c>
      <c r="AE49" s="332">
        <f t="shared" si="18"/>
        <v>-87.6688217184587</v>
      </c>
      <c r="AG49" s="331">
        <f t="shared" si="19"/>
        <v>27.0439910924313</v>
      </c>
      <c r="AH49" s="332">
        <f t="shared" si="20"/>
        <v>-1.52413893197205</v>
      </c>
      <c r="AJ49" s="22">
        <f t="shared" si="21"/>
        <v>0</v>
      </c>
      <c r="AK49" s="22">
        <f t="shared" si="35"/>
        <v>0</v>
      </c>
      <c r="AM49" s="22" t="str">
        <f t="shared" si="29"/>
        <v>1.22231908039616E-07+0.000494432807090844i</v>
      </c>
      <c r="AN49" s="22" t="str">
        <f t="shared" si="30"/>
        <v>0.000494432827236i</v>
      </c>
      <c r="AO49" s="22" t="str">
        <f t="shared" si="31"/>
        <v>0.99999995925603-0.000247216408997198i</v>
      </c>
      <c r="AP49" s="22" t="str">
        <f t="shared" si="32"/>
        <v>0.166666646294682-0.000082405467848474i</v>
      </c>
      <c r="AQ49" s="22" t="str">
        <f t="shared" si="33"/>
        <v>0.833333353705318+0.000082405467848474i</v>
      </c>
      <c r="AR49" s="22" t="str">
        <f t="shared" si="34"/>
        <v>0.999599965788758-0.0000988470009941179i</v>
      </c>
    </row>
    <row r="50" spans="7:44">
      <c r="G50" s="257">
        <v>30.2</v>
      </c>
      <c r="H50" s="256">
        <f t="shared" si="26"/>
        <v>0.0302</v>
      </c>
      <c r="I50" s="298">
        <f t="shared" si="0"/>
        <v>1.000433978299</v>
      </c>
      <c r="J50" s="299">
        <f t="shared" si="1"/>
        <v>0.0294557773437914</v>
      </c>
      <c r="K50" s="299">
        <f t="shared" si="2"/>
        <v>1.00000000013315</v>
      </c>
      <c r="L50" s="300">
        <f t="shared" si="3"/>
        <v>1.63186888597114e-5</v>
      </c>
      <c r="M50" s="299">
        <f t="shared" si="4"/>
        <v>1.00000000573146</v>
      </c>
      <c r="N50" s="300">
        <f t="shared" si="5"/>
        <v>-0.000107065040770595</v>
      </c>
      <c r="O50" s="298">
        <f t="shared" si="6"/>
        <v>54.6577810592898</v>
      </c>
      <c r="P50" s="301">
        <f t="shared" si="7"/>
        <v>1.55249964922159</v>
      </c>
      <c r="Q50" s="320">
        <f t="shared" si="8"/>
        <v>1.00025920885593</v>
      </c>
      <c r="R50" s="321">
        <f t="shared" si="9"/>
        <v>0.022766329405053</v>
      </c>
      <c r="S50" s="298">
        <f t="shared" si="10"/>
        <v>1.00000001152189</v>
      </c>
      <c r="T50" s="301">
        <f t="shared" si="11"/>
        <v>0.000151801755681972</v>
      </c>
      <c r="U50" s="316">
        <f t="shared" si="27"/>
        <v>0.999599952501026</v>
      </c>
      <c r="V50" s="317">
        <f t="shared" si="28"/>
        <v>-0.000379504383497617</v>
      </c>
      <c r="W50" s="318">
        <f t="shared" si="12"/>
        <v>62.1061241264413</v>
      </c>
      <c r="X50" s="319">
        <f t="shared" si="13"/>
        <v>-89.3705958145959</v>
      </c>
      <c r="Y50" s="332">
        <f t="shared" si="14"/>
        <v>90.6294041854041</v>
      </c>
      <c r="AA50" s="22">
        <f t="shared" si="15"/>
        <v>1000000000</v>
      </c>
      <c r="AB50" s="22">
        <f t="shared" si="16"/>
        <v>912.04</v>
      </c>
      <c r="AD50" s="331">
        <f t="shared" si="17"/>
        <v>60.4576608027298</v>
      </c>
      <c r="AE50" s="332">
        <f t="shared" si="18"/>
        <v>-87.6559607061085</v>
      </c>
      <c r="AG50" s="331">
        <f t="shared" si="19"/>
        <v>27.0433572069052</v>
      </c>
      <c r="AH50" s="332">
        <f t="shared" si="20"/>
        <v>-1.67114710947546</v>
      </c>
      <c r="AJ50" s="22">
        <f t="shared" si="21"/>
        <v>0</v>
      </c>
      <c r="AK50" s="22">
        <f t="shared" si="35"/>
        <v>0</v>
      </c>
      <c r="AM50" s="22" t="str">
        <f t="shared" si="29"/>
        <v>1.46962837010989E-07+0.000542149105041408i</v>
      </c>
      <c r="AN50" s="22" t="str">
        <f t="shared" si="30"/>
        <v>0.0005421491316i</v>
      </c>
      <c r="AO50" s="22" t="str">
        <f t="shared" si="31"/>
        <v>0.999999951012387-0.000271074559461655i</v>
      </c>
      <c r="AP50" s="22" t="str">
        <f t="shared" si="32"/>
        <v>0.166666642172861-0.000090358184173568i</v>
      </c>
      <c r="AQ50" s="22" t="str">
        <f t="shared" si="33"/>
        <v>0.833333357827139+0.000090358184173568i</v>
      </c>
      <c r="AR50" s="22" t="str">
        <f t="shared" si="34"/>
        <v>0.999599958866869-0.000108386441434065i</v>
      </c>
    </row>
    <row r="51" spans="7:44">
      <c r="G51" s="257">
        <v>33.113</v>
      </c>
      <c r="H51" s="256">
        <f t="shared" si="26"/>
        <v>0.033113</v>
      </c>
      <c r="I51" s="298">
        <f t="shared" si="0"/>
        <v>1.00052171357671</v>
      </c>
      <c r="J51" s="299">
        <f t="shared" si="1"/>
        <v>0.0322951035534225</v>
      </c>
      <c r="K51" s="299">
        <f t="shared" si="2"/>
        <v>1.00000000016008</v>
      </c>
      <c r="L51" s="300">
        <f t="shared" si="3"/>
        <v>1.78927398742359e-5</v>
      </c>
      <c r="M51" s="299">
        <f t="shared" si="4"/>
        <v>1.00000000689047</v>
      </c>
      <c r="N51" s="300">
        <f t="shared" si="5"/>
        <v>-0.000117392208354219</v>
      </c>
      <c r="O51" s="298">
        <f t="shared" si="6"/>
        <v>59.9282169696105</v>
      </c>
      <c r="P51" s="301">
        <f t="shared" si="7"/>
        <v>1.55410892203539</v>
      </c>
      <c r="Q51" s="320">
        <f t="shared" si="8"/>
        <v>1.00031161734915</v>
      </c>
      <c r="R51" s="321">
        <f t="shared" si="9"/>
        <v>0.0249614282251231</v>
      </c>
      <c r="S51" s="298">
        <f t="shared" si="10"/>
        <v>1.00000001385182</v>
      </c>
      <c r="T51" s="301">
        <f t="shared" si="11"/>
        <v>0.000166444090334085</v>
      </c>
      <c r="U51" s="316">
        <f t="shared" si="27"/>
        <v>0.999599942895885</v>
      </c>
      <c r="V51" s="317">
        <f t="shared" si="28"/>
        <v>-0.000416110217837517</v>
      </c>
      <c r="W51" s="318">
        <f t="shared" si="12"/>
        <v>61.3062302274928</v>
      </c>
      <c r="X51" s="319">
        <f t="shared" si="13"/>
        <v>-89.5031496859599</v>
      </c>
      <c r="Y51" s="332">
        <f t="shared" si="14"/>
        <v>90.4968503140401</v>
      </c>
      <c r="AA51" s="22">
        <f t="shared" si="15"/>
        <v>1000000000</v>
      </c>
      <c r="AB51" s="22">
        <f t="shared" si="16"/>
        <v>1096.470769</v>
      </c>
      <c r="AD51" s="331">
        <f t="shared" si="17"/>
        <v>59.6585286719101</v>
      </c>
      <c r="AE51" s="332">
        <f t="shared" si="18"/>
        <v>-87.6232342923606</v>
      </c>
      <c r="AG51" s="331">
        <f t="shared" si="19"/>
        <v>27.0425956057015</v>
      </c>
      <c r="AH51" s="332">
        <f t="shared" si="20"/>
        <v>-1.83223267495603</v>
      </c>
      <c r="AJ51" s="22">
        <f t="shared" si="21"/>
        <v>0</v>
      </c>
      <c r="AK51" s="22">
        <f t="shared" si="35"/>
        <v>0</v>
      </c>
      <c r="AM51" s="22" t="str">
        <f t="shared" si="29"/>
        <v>1.76681344998819E-07+0.000594443150244992i</v>
      </c>
      <c r="AN51" s="22" t="str">
        <f t="shared" si="30"/>
        <v>0.000594443185254i</v>
      </c>
      <c r="AO51" s="22" t="str">
        <f t="shared" si="31"/>
        <v>0.999999941106217-0.000297221583797491i</v>
      </c>
      <c r="AP51" s="22" t="str">
        <f t="shared" si="32"/>
        <v>0.166666637219776-0.0000990738583741653i</v>
      </c>
      <c r="AQ51" s="22" t="str">
        <f t="shared" si="33"/>
        <v>0.833333362780224+0.0000990738583741653i</v>
      </c>
      <c r="AR51" s="22" t="str">
        <f t="shared" si="34"/>
        <v>0.999599950549016-0.000118841064518419i</v>
      </c>
    </row>
    <row r="52" spans="7:44">
      <c r="G52" s="257">
        <v>36.308</v>
      </c>
      <c r="H52" s="256">
        <f t="shared" si="26"/>
        <v>0.036308</v>
      </c>
      <c r="I52" s="298">
        <f t="shared" si="0"/>
        <v>1.00062721557048</v>
      </c>
      <c r="J52" s="299">
        <f t="shared" si="1"/>
        <v>0.0354086970399575</v>
      </c>
      <c r="K52" s="299">
        <f t="shared" si="2"/>
        <v>1.00000000019246</v>
      </c>
      <c r="L52" s="300">
        <f t="shared" si="3"/>
        <v>1.96191706985092e-5</v>
      </c>
      <c r="M52" s="299">
        <f t="shared" si="4"/>
        <v>1.00000000828431</v>
      </c>
      <c r="N52" s="300">
        <f t="shared" si="5"/>
        <v>-0.000128719122307382</v>
      </c>
      <c r="O52" s="298">
        <f t="shared" si="6"/>
        <v>65.7090186054433</v>
      </c>
      <c r="P52" s="301">
        <f t="shared" si="7"/>
        <v>1.55557712817851</v>
      </c>
      <c r="Q52" s="320">
        <f t="shared" si="8"/>
        <v>1.00037464120446</v>
      </c>
      <c r="R52" s="321">
        <f t="shared" si="9"/>
        <v>0.0273687514686843</v>
      </c>
      <c r="S52" s="298">
        <f t="shared" si="10"/>
        <v>1.00000001665384</v>
      </c>
      <c r="T52" s="301">
        <f t="shared" si="11"/>
        <v>0.000182503911471659</v>
      </c>
      <c r="U52" s="316">
        <f t="shared" si="27"/>
        <v>0.999599931344554</v>
      </c>
      <c r="V52" s="317">
        <f t="shared" si="28"/>
        <v>-0.000456259768086648</v>
      </c>
      <c r="W52" s="318">
        <f t="shared" si="12"/>
        <v>60.5059890046032</v>
      </c>
      <c r="X52" s="319">
        <f t="shared" si="13"/>
        <v>-89.6315086325947</v>
      </c>
      <c r="Y52" s="332">
        <f t="shared" si="14"/>
        <v>90.3684913674053</v>
      </c>
      <c r="AA52" s="22">
        <f t="shared" si="15"/>
        <v>1000000000</v>
      </c>
      <c r="AB52" s="22">
        <f t="shared" si="16"/>
        <v>1318.270864</v>
      </c>
      <c r="AD52" s="331">
        <f t="shared" si="17"/>
        <v>58.8592033895567</v>
      </c>
      <c r="AE52" s="332">
        <f t="shared" si="18"/>
        <v>-87.5703470059471</v>
      </c>
      <c r="AG52" s="331">
        <f t="shared" si="19"/>
        <v>27.0416798659128</v>
      </c>
      <c r="AH52" s="332">
        <f t="shared" si="20"/>
        <v>-2.0088781084417</v>
      </c>
      <c r="AJ52" s="22">
        <f t="shared" si="21"/>
        <v>0</v>
      </c>
      <c r="AK52" s="22">
        <f t="shared" si="35"/>
        <v>0</v>
      </c>
      <c r="AM52" s="22" t="str">
        <f t="shared" si="29"/>
        <v>2.12421411016628E-07+0.000651799644911929i</v>
      </c>
      <c r="AN52" s="22" t="str">
        <f t="shared" si="30"/>
        <v>0.000651799691064i</v>
      </c>
      <c r="AO52" s="22" t="str">
        <f t="shared" si="31"/>
        <v>0.999999929192862-0.000325899833842926i</v>
      </c>
      <c r="AP52" s="22" t="str">
        <f t="shared" si="32"/>
        <v>0.166666631263098-0.000108633274151988i</v>
      </c>
      <c r="AQ52" s="22" t="str">
        <f t="shared" si="33"/>
        <v>0.833333368736902+0.000108633274151988i</v>
      </c>
      <c r="AR52" s="22" t="str">
        <f t="shared" si="34"/>
        <v>0.999599940545802-0.000130307771724315i</v>
      </c>
    </row>
    <row r="53" spans="7:44">
      <c r="G53" s="257">
        <v>39.811</v>
      </c>
      <c r="H53" s="256">
        <f t="shared" si="26"/>
        <v>0.039811</v>
      </c>
      <c r="I53" s="298">
        <f t="shared" si="0"/>
        <v>1.00075403381431</v>
      </c>
      <c r="J53" s="299">
        <f t="shared" si="1"/>
        <v>0.0388216515143185</v>
      </c>
      <c r="K53" s="299">
        <f t="shared" si="2"/>
        <v>1.00000000023138</v>
      </c>
      <c r="L53" s="300">
        <f t="shared" si="3"/>
        <v>2.15120305348154e-5</v>
      </c>
      <c r="M53" s="299">
        <f t="shared" si="4"/>
        <v>1.00000000995996</v>
      </c>
      <c r="N53" s="300">
        <f t="shared" si="5"/>
        <v>-0.000141137957817965</v>
      </c>
      <c r="O53" s="298">
        <f t="shared" si="6"/>
        <v>72.047228540231</v>
      </c>
      <c r="P53" s="301">
        <f t="shared" si="7"/>
        <v>1.55691609668591</v>
      </c>
      <c r="Q53" s="320">
        <f t="shared" si="8"/>
        <v>1.0004504023137</v>
      </c>
      <c r="R53" s="321">
        <f t="shared" si="9"/>
        <v>0.0300077765513011</v>
      </c>
      <c r="S53" s="298">
        <f t="shared" si="10"/>
        <v>1.00000002002239</v>
      </c>
      <c r="T53" s="301">
        <f t="shared" si="11"/>
        <v>0.000200111909311494</v>
      </c>
      <c r="U53" s="316">
        <f t="shared" si="27"/>
        <v>0.999599917457713</v>
      </c>
      <c r="V53" s="317">
        <f t="shared" si="28"/>
        <v>-0.000500279760052711</v>
      </c>
      <c r="W53" s="318">
        <f t="shared" si="12"/>
        <v>59.7056999117889</v>
      </c>
      <c r="X53" s="319">
        <f t="shared" si="13"/>
        <v>-89.7567028825979</v>
      </c>
      <c r="Y53" s="332">
        <f t="shared" si="14"/>
        <v>90.2432971174021</v>
      </c>
      <c r="AA53" s="22">
        <f t="shared" si="15"/>
        <v>1000000000</v>
      </c>
      <c r="AB53" s="22">
        <f t="shared" si="16"/>
        <v>1584.915721</v>
      </c>
      <c r="AD53" s="331">
        <f t="shared" si="17"/>
        <v>58.0600151715708</v>
      </c>
      <c r="AE53" s="332">
        <f t="shared" si="18"/>
        <v>-87.4968681149371</v>
      </c>
      <c r="AG53" s="331">
        <f t="shared" si="19"/>
        <v>27.04057923242</v>
      </c>
      <c r="AH53" s="332">
        <f t="shared" si="20"/>
        <v>-2.20250692994167</v>
      </c>
      <c r="AJ53" s="22">
        <f t="shared" si="21"/>
        <v>0</v>
      </c>
      <c r="AK53" s="22">
        <f t="shared" si="35"/>
        <v>0</v>
      </c>
      <c r="AM53" s="22" t="str">
        <f t="shared" si="29"/>
        <v>2.55387599956691E-07+0.000714685339097403i</v>
      </c>
      <c r="AN53" s="22" t="str">
        <f t="shared" si="30"/>
        <v>0.000714685399938i</v>
      </c>
      <c r="AO53" s="22" t="str">
        <f t="shared" si="31"/>
        <v>0.999999914870799-0.0003573426852974i</v>
      </c>
      <c r="AP53" s="22" t="str">
        <f t="shared" si="32"/>
        <v>0.166666624102067-0.000119114223182901i</v>
      </c>
      <c r="AQ53" s="22" t="str">
        <f t="shared" si="33"/>
        <v>0.833333375897933+0.000119114223182901i</v>
      </c>
      <c r="AR53" s="22" t="str">
        <f t="shared" si="34"/>
        <v>0.999599928520085-0.000142879875477274i</v>
      </c>
    </row>
    <row r="54" spans="7:44">
      <c r="G54" s="257">
        <v>43.652</v>
      </c>
      <c r="H54" s="256">
        <f t="shared" si="26"/>
        <v>0.043652</v>
      </c>
      <c r="I54" s="298">
        <f t="shared" si="0"/>
        <v>1.00090648339188</v>
      </c>
      <c r="J54" s="299">
        <f t="shared" si="1"/>
        <v>0.0425628749271906</v>
      </c>
      <c r="K54" s="299">
        <f t="shared" si="2"/>
        <v>1.00000000027819</v>
      </c>
      <c r="L54" s="300">
        <f t="shared" si="3"/>
        <v>2.35875300011671e-5</v>
      </c>
      <c r="M54" s="299">
        <f t="shared" si="4"/>
        <v>1.00000001197457</v>
      </c>
      <c r="N54" s="300">
        <f t="shared" si="5"/>
        <v>-0.00015475507086974</v>
      </c>
      <c r="O54" s="298">
        <f t="shared" si="6"/>
        <v>78.9971277557137</v>
      </c>
      <c r="P54" s="301">
        <f t="shared" si="7"/>
        <v>1.55813730060748</v>
      </c>
      <c r="Q54" s="320">
        <f t="shared" si="8"/>
        <v>1.00054148067309</v>
      </c>
      <c r="R54" s="321">
        <f t="shared" si="9"/>
        <v>0.0329009559589672</v>
      </c>
      <c r="S54" s="298">
        <f t="shared" si="10"/>
        <v>1.00000002407232</v>
      </c>
      <c r="T54" s="301">
        <f t="shared" si="11"/>
        <v>0.000219418880251199</v>
      </c>
      <c r="U54" s="316">
        <f t="shared" si="27"/>
        <v>0.999599900761861</v>
      </c>
      <c r="V54" s="317">
        <f t="shared" si="28"/>
        <v>-0.000548547182462536</v>
      </c>
      <c r="W54" s="318">
        <f t="shared" si="12"/>
        <v>58.9052869565273</v>
      </c>
      <c r="X54" s="319">
        <f t="shared" si="13"/>
        <v>-89.8797950689983</v>
      </c>
      <c r="Y54" s="332">
        <f t="shared" si="14"/>
        <v>90.1202049310017</v>
      </c>
      <c r="AA54" s="22">
        <f t="shared" si="15"/>
        <v>1000000000</v>
      </c>
      <c r="AB54" s="22">
        <f t="shared" si="16"/>
        <v>1905.497104</v>
      </c>
      <c r="AD54" s="331">
        <f t="shared" si="17"/>
        <v>57.2609254052057</v>
      </c>
      <c r="AE54" s="332">
        <f t="shared" si="18"/>
        <v>-87.4021771839764</v>
      </c>
      <c r="AG54" s="331">
        <f t="shared" si="19"/>
        <v>27.0392563336763</v>
      </c>
      <c r="AH54" s="332">
        <f t="shared" si="20"/>
        <v>-2.41475900811246</v>
      </c>
      <c r="AJ54" s="22">
        <f t="shared" si="21"/>
        <v>0</v>
      </c>
      <c r="AK54" s="22">
        <f t="shared" si="35"/>
        <v>0</v>
      </c>
      <c r="AM54" s="22" t="str">
        <f t="shared" si="29"/>
        <v>3.07044924041655E-07+0.000783638790411886i</v>
      </c>
      <c r="AN54" s="22" t="str">
        <f t="shared" si="30"/>
        <v>0.000783638870616i</v>
      </c>
      <c r="AO54" s="22" t="str">
        <f t="shared" si="31"/>
        <v>0.99999989765169-0.000391819415236886i</v>
      </c>
      <c r="AP54" s="22" t="str">
        <f t="shared" si="32"/>
        <v>0.166666615492513-0.000130606465068648i</v>
      </c>
      <c r="AQ54" s="22" t="str">
        <f t="shared" si="33"/>
        <v>0.833333384507487+0.000130606465068648i</v>
      </c>
      <c r="AR54" s="22" t="str">
        <f t="shared" si="34"/>
        <v>0.999599914061823-0.000156665043889606i</v>
      </c>
    </row>
    <row r="55" spans="7:44">
      <c r="G55" s="257">
        <v>47.863</v>
      </c>
      <c r="H55" s="256">
        <f t="shared" si="26"/>
        <v>0.047863</v>
      </c>
      <c r="I55" s="298">
        <f t="shared" si="0"/>
        <v>1.00108971172372</v>
      </c>
      <c r="J55" s="299">
        <f t="shared" si="1"/>
        <v>0.0466631135551131</v>
      </c>
      <c r="K55" s="299">
        <f t="shared" si="2"/>
        <v>1.00000000033445</v>
      </c>
      <c r="L55" s="300">
        <f t="shared" si="3"/>
        <v>2.58629604234289e-5</v>
      </c>
      <c r="M55" s="299">
        <f t="shared" si="4"/>
        <v>1.00000001439631</v>
      </c>
      <c r="N55" s="300">
        <f t="shared" si="5"/>
        <v>-0.0001696839078411</v>
      </c>
      <c r="O55" s="298">
        <f t="shared" si="6"/>
        <v>86.6166169847763</v>
      </c>
      <c r="P55" s="301">
        <f t="shared" si="7"/>
        <v>1.55925094149651</v>
      </c>
      <c r="Q55" s="320">
        <f t="shared" si="8"/>
        <v>1.00065095465141</v>
      </c>
      <c r="R55" s="321">
        <f t="shared" si="9"/>
        <v>0.0360721978578517</v>
      </c>
      <c r="S55" s="298">
        <f t="shared" si="10"/>
        <v>1.00000002894073</v>
      </c>
      <c r="T55" s="301">
        <f t="shared" si="11"/>
        <v>0.000240585673769303</v>
      </c>
      <c r="U55" s="316">
        <f t="shared" si="27"/>
        <v>0.999599880691841</v>
      </c>
      <c r="V55" s="317">
        <f t="shared" si="28"/>
        <v>-0.000601464160721957</v>
      </c>
      <c r="W55" s="318">
        <f t="shared" si="12"/>
        <v>58.1048488354257</v>
      </c>
      <c r="X55" s="319">
        <f t="shared" si="13"/>
        <v>-90.0017992579727</v>
      </c>
      <c r="Y55" s="332">
        <f t="shared" si="14"/>
        <v>89.9982007420273</v>
      </c>
      <c r="AA55" s="22">
        <f t="shared" si="15"/>
        <v>1000000000</v>
      </c>
      <c r="AB55" s="22">
        <f t="shared" si="16"/>
        <v>2290.866769</v>
      </c>
      <c r="AD55" s="331">
        <f t="shared" si="17"/>
        <v>56.4620773511601</v>
      </c>
      <c r="AE55" s="332">
        <f t="shared" si="18"/>
        <v>-87.2854980979905</v>
      </c>
      <c r="AG55" s="331">
        <f t="shared" si="19"/>
        <v>27.0376666154119</v>
      </c>
      <c r="AH55" s="332">
        <f t="shared" si="20"/>
        <v>-2.64737844402761</v>
      </c>
      <c r="AJ55" s="22">
        <f t="shared" si="21"/>
        <v>0</v>
      </c>
      <c r="AK55" s="22">
        <f t="shared" si="35"/>
        <v>0</v>
      </c>
      <c r="AM55" s="22" t="str">
        <f t="shared" si="29"/>
        <v>3.69141996969802E-07+0.000859234460027476i</v>
      </c>
      <c r="AN55" s="22" t="str">
        <f t="shared" si="30"/>
        <v>0.000859234565754i</v>
      </c>
      <c r="AO55" s="22" t="str">
        <f t="shared" si="31"/>
        <v>0.999999876952664-0.000429617256663634i</v>
      </c>
      <c r="AP55" s="22" t="str">
        <f t="shared" si="32"/>
        <v>0.166666605143-0.000143205743337913i</v>
      </c>
      <c r="AQ55" s="22" t="str">
        <f t="shared" si="33"/>
        <v>0.833333394857+0.000143205743337913i</v>
      </c>
      <c r="AR55" s="22" t="str">
        <f t="shared" si="34"/>
        <v>0.999599896681602-0.000171778122811644i</v>
      </c>
    </row>
    <row r="56" spans="7:44">
      <c r="G56" s="257">
        <v>52.481</v>
      </c>
      <c r="H56" s="256">
        <f t="shared" si="26"/>
        <v>0.052481</v>
      </c>
      <c r="I56" s="298">
        <f t="shared" si="0"/>
        <v>1.00130999063218</v>
      </c>
      <c r="J56" s="299">
        <f t="shared" si="1"/>
        <v>0.0511578374461589</v>
      </c>
      <c r="K56" s="299">
        <f t="shared" si="2"/>
        <v>1.0000000004021</v>
      </c>
      <c r="L56" s="300">
        <f t="shared" si="3"/>
        <v>2.83583148971179e-5</v>
      </c>
      <c r="M56" s="299">
        <f t="shared" si="4"/>
        <v>1.00000001730835</v>
      </c>
      <c r="N56" s="300">
        <f t="shared" si="5"/>
        <v>-0.000186055641103161</v>
      </c>
      <c r="O56" s="298">
        <f t="shared" si="6"/>
        <v>94.972644965812</v>
      </c>
      <c r="P56" s="301">
        <f t="shared" si="7"/>
        <v>1.56026678453415</v>
      </c>
      <c r="Q56" s="320">
        <f t="shared" si="8"/>
        <v>1.00078257601758</v>
      </c>
      <c r="R56" s="321">
        <f t="shared" si="9"/>
        <v>0.0395491088093896</v>
      </c>
      <c r="S56" s="298">
        <f t="shared" si="10"/>
        <v>1.00000003479477</v>
      </c>
      <c r="T56" s="301">
        <f t="shared" si="11"/>
        <v>0.000263798272064241</v>
      </c>
      <c r="U56" s="316">
        <f t="shared" si="27"/>
        <v>0.999599856558607</v>
      </c>
      <c r="V56" s="317">
        <f t="shared" si="28"/>
        <v>-0.000659495648387137</v>
      </c>
      <c r="W56" s="318">
        <f t="shared" si="12"/>
        <v>57.304133688487</v>
      </c>
      <c r="X56" s="319">
        <f t="shared" si="13"/>
        <v>-90.1237691637596</v>
      </c>
      <c r="Y56" s="332">
        <f t="shared" si="14"/>
        <v>89.8762308362404</v>
      </c>
      <c r="AA56" s="22">
        <f t="shared" si="15"/>
        <v>1000000000</v>
      </c>
      <c r="AB56" s="22">
        <f t="shared" si="16"/>
        <v>2754.255361</v>
      </c>
      <c r="AD56" s="331">
        <f t="shared" si="17"/>
        <v>55.6632734133929</v>
      </c>
      <c r="AE56" s="332">
        <f t="shared" si="18"/>
        <v>-87.1458192771836</v>
      </c>
      <c r="AG56" s="331">
        <f t="shared" si="19"/>
        <v>27.0357558256454</v>
      </c>
      <c r="AH56" s="332">
        <f t="shared" si="20"/>
        <v>-2.90237725196995</v>
      </c>
      <c r="AJ56" s="22">
        <f t="shared" si="21"/>
        <v>0</v>
      </c>
      <c r="AK56" s="22">
        <f t="shared" si="35"/>
        <v>0</v>
      </c>
      <c r="AM56" s="22" t="str">
        <f t="shared" si="29"/>
        <v>4.43810755035301E-07+0.000942136568421195i</v>
      </c>
      <c r="AN56" s="22" t="str">
        <f t="shared" si="30"/>
        <v>0.000942136707798i</v>
      </c>
      <c r="AO56" s="22" t="str">
        <f t="shared" si="31"/>
        <v>0.999999852063078-0.000471068318813937i</v>
      </c>
      <c r="AP56" s="22" t="str">
        <f t="shared" si="32"/>
        <v>0.166666592698207-0.000157022761403532i</v>
      </c>
      <c r="AQ56" s="22" t="str">
        <f t="shared" si="33"/>
        <v>0.833333407301793+0.000157022761403532i</v>
      </c>
      <c r="AR56" s="22" t="str">
        <f t="shared" si="34"/>
        <v>0.999599875782721-0.000188351902634316i</v>
      </c>
    </row>
    <row r="57" spans="7:44">
      <c r="G57" s="257">
        <v>57.544</v>
      </c>
      <c r="H57" s="256">
        <f t="shared" si="26"/>
        <v>0.057544</v>
      </c>
      <c r="I57" s="298">
        <f t="shared" si="0"/>
        <v>1.00157473193436</v>
      </c>
      <c r="J57" s="299">
        <f t="shared" si="1"/>
        <v>0.0560832991817236</v>
      </c>
      <c r="K57" s="299">
        <f t="shared" si="2"/>
        <v>1.00000000048342</v>
      </c>
      <c r="L57" s="300">
        <f t="shared" si="3"/>
        <v>3.10941268716541e-5</v>
      </c>
      <c r="M57" s="299">
        <f t="shared" si="4"/>
        <v>1.00000002080902</v>
      </c>
      <c r="N57" s="300">
        <f t="shared" si="5"/>
        <v>-0.000204004988217717</v>
      </c>
      <c r="O57" s="298">
        <f t="shared" si="6"/>
        <v>104.133970709926</v>
      </c>
      <c r="P57" s="301">
        <f t="shared" si="7"/>
        <v>1.56119316498836</v>
      </c>
      <c r="Q57" s="320">
        <f t="shared" si="8"/>
        <v>1.0009407800234</v>
      </c>
      <c r="R57" s="321">
        <f t="shared" si="9"/>
        <v>0.0433599598512213</v>
      </c>
      <c r="S57" s="298">
        <f t="shared" si="10"/>
        <v>1.00000004183211</v>
      </c>
      <c r="T57" s="301">
        <f t="shared" si="11"/>
        <v>0.000289247683855999</v>
      </c>
      <c r="U57" s="316">
        <f t="shared" si="27"/>
        <v>0.999599827547158</v>
      </c>
      <c r="V57" s="317">
        <f t="shared" si="28"/>
        <v>-0.000723119168461929</v>
      </c>
      <c r="W57" s="318">
        <f t="shared" si="12"/>
        <v>56.5033322535892</v>
      </c>
      <c r="X57" s="319">
        <f t="shared" si="13"/>
        <v>-90.2466845171205</v>
      </c>
      <c r="Y57" s="332">
        <f t="shared" si="14"/>
        <v>89.7533154828795</v>
      </c>
      <c r="AA57" s="22">
        <f t="shared" si="15"/>
        <v>1000000000</v>
      </c>
      <c r="AB57" s="22">
        <f t="shared" si="16"/>
        <v>3311.311936</v>
      </c>
      <c r="AD57" s="331">
        <f t="shared" si="17"/>
        <v>54.8647684012676</v>
      </c>
      <c r="AE57" s="332">
        <f t="shared" si="18"/>
        <v>-86.9820094300827</v>
      </c>
      <c r="AG57" s="331">
        <f t="shared" si="19"/>
        <v>27.0334599070551</v>
      </c>
      <c r="AH57" s="332">
        <f t="shared" si="20"/>
        <v>-3.18181173406724</v>
      </c>
      <c r="AJ57" s="22">
        <f t="shared" si="21"/>
        <v>0</v>
      </c>
      <c r="AK57" s="22">
        <f t="shared" si="35"/>
        <v>0</v>
      </c>
      <c r="AM57" s="22" t="str">
        <f t="shared" si="29"/>
        <v>5.33572831029616E-07+0.0010330272874202i</v>
      </c>
      <c r="AN57" s="22" t="str">
        <f t="shared" si="30"/>
        <v>0.001033027471152i</v>
      </c>
      <c r="AO57" s="22" t="str">
        <f t="shared" si="31"/>
        <v>0.999999822142387-0.000516513690032456i</v>
      </c>
      <c r="AP57" s="22" t="str">
        <f t="shared" si="32"/>
        <v>0.166666577737862-0.000172171214570033i</v>
      </c>
      <c r="AQ57" s="22" t="str">
        <f t="shared" si="33"/>
        <v>0.833333422262138+0.000172171214570033i</v>
      </c>
      <c r="AR57" s="22" t="str">
        <f t="shared" si="34"/>
        <v>0.999599850659406-0.000206522762407477i</v>
      </c>
    </row>
    <row r="58" spans="7:44">
      <c r="G58" s="257">
        <v>63.096</v>
      </c>
      <c r="H58" s="256">
        <f t="shared" si="26"/>
        <v>0.063096</v>
      </c>
      <c r="I58" s="298">
        <f t="shared" si="0"/>
        <v>1.00189295876452</v>
      </c>
      <c r="J58" s="299">
        <f t="shared" si="1"/>
        <v>0.0614813386754858</v>
      </c>
      <c r="K58" s="299">
        <f t="shared" si="2"/>
        <v>1.00000000058121</v>
      </c>
      <c r="L58" s="300">
        <f t="shared" si="3"/>
        <v>3.40941719200263e-5</v>
      </c>
      <c r="M58" s="299">
        <f t="shared" si="4"/>
        <v>1.00000002501815</v>
      </c>
      <c r="N58" s="300">
        <f t="shared" si="5"/>
        <v>-0.000223687937933849</v>
      </c>
      <c r="O58" s="298">
        <f t="shared" si="6"/>
        <v>114.180210716891</v>
      </c>
      <c r="P58" s="301">
        <f t="shared" si="7"/>
        <v>1.56203812974681</v>
      </c>
      <c r="Q58" s="320">
        <f t="shared" si="8"/>
        <v>1.00113096813951</v>
      </c>
      <c r="R58" s="321">
        <f t="shared" si="9"/>
        <v>0.0475374223059976</v>
      </c>
      <c r="S58" s="298">
        <f t="shared" si="10"/>
        <v>1.00000005029367</v>
      </c>
      <c r="T58" s="301">
        <f t="shared" si="11"/>
        <v>0.000317155077117111</v>
      </c>
      <c r="U58" s="316">
        <f t="shared" si="27"/>
        <v>0.99959979266439</v>
      </c>
      <c r="V58" s="317">
        <f t="shared" si="28"/>
        <v>-0.000792887637926677</v>
      </c>
      <c r="W58" s="318">
        <f t="shared" si="12"/>
        <v>55.7022546298718</v>
      </c>
      <c r="X58" s="319">
        <f t="shared" si="13"/>
        <v>-90.3715836193862</v>
      </c>
      <c r="Y58" s="332">
        <f t="shared" si="14"/>
        <v>89.6284163806138</v>
      </c>
      <c r="AA58" s="22">
        <f t="shared" si="15"/>
        <v>1000000000</v>
      </c>
      <c r="AB58" s="22">
        <f t="shared" si="16"/>
        <v>3981.105216</v>
      </c>
      <c r="AD58" s="331">
        <f t="shared" si="17"/>
        <v>54.0664503422021</v>
      </c>
      <c r="AE58" s="332">
        <f t="shared" si="18"/>
        <v>-86.7926703524811</v>
      </c>
      <c r="AG58" s="331">
        <f t="shared" si="19"/>
        <v>27.0307009486215</v>
      </c>
      <c r="AH58" s="332">
        <f t="shared" si="20"/>
        <v>-3.48805503623875</v>
      </c>
      <c r="AJ58" s="22">
        <f t="shared" si="21"/>
        <v>0</v>
      </c>
      <c r="AK58" s="22">
        <f t="shared" si="35"/>
        <v>0</v>
      </c>
      <c r="AM58" s="22" t="str">
        <f t="shared" si="29"/>
        <v>6.41500885967261E-07+0.00113269649975934i</v>
      </c>
      <c r="AN58" s="22" t="str">
        <f t="shared" si="30"/>
        <v>0.001132696741968i</v>
      </c>
      <c r="AO58" s="22" t="str">
        <f t="shared" si="31"/>
        <v>0.999999786166366-0.000566348310363008i</v>
      </c>
      <c r="AP58" s="22" t="str">
        <f t="shared" si="32"/>
        <v>0.166666559749852-0.00018878274995989i</v>
      </c>
      <c r="AQ58" s="22" t="str">
        <f t="shared" si="33"/>
        <v>0.833333440250148+0.00018878274995989i</v>
      </c>
      <c r="AR58" s="22" t="str">
        <f t="shared" si="34"/>
        <v>0.999599820451655-0.000226448614503733i</v>
      </c>
    </row>
    <row r="59" spans="7:44">
      <c r="G59" s="257">
        <v>69.183</v>
      </c>
      <c r="H59" s="256">
        <f t="shared" si="26"/>
        <v>0.069183</v>
      </c>
      <c r="I59" s="298">
        <f t="shared" si="0"/>
        <v>1.00227537679326</v>
      </c>
      <c r="J59" s="299">
        <f t="shared" si="1"/>
        <v>0.0673954108859934</v>
      </c>
      <c r="K59" s="299">
        <f t="shared" si="2"/>
        <v>1.00000000069876</v>
      </c>
      <c r="L59" s="300">
        <f t="shared" si="3"/>
        <v>3.73833063230369e-5</v>
      </c>
      <c r="M59" s="299">
        <f t="shared" si="4"/>
        <v>1.00000003007809</v>
      </c>
      <c r="N59" s="300">
        <f t="shared" si="5"/>
        <v>-0.000245267569384341</v>
      </c>
      <c r="O59" s="298">
        <f t="shared" si="6"/>
        <v>125.194601125799</v>
      </c>
      <c r="P59" s="301">
        <f t="shared" si="7"/>
        <v>1.56280867696939</v>
      </c>
      <c r="Q59" s="320">
        <f t="shared" si="8"/>
        <v>1.00135955221089</v>
      </c>
      <c r="R59" s="321">
        <f t="shared" si="9"/>
        <v>0.0521155193252792</v>
      </c>
      <c r="S59" s="298">
        <f t="shared" si="10"/>
        <v>1.00000006046562</v>
      </c>
      <c r="T59" s="301">
        <f t="shared" si="11"/>
        <v>0.000347751672869907</v>
      </c>
      <c r="U59" s="316">
        <f t="shared" si="27"/>
        <v>0.999599750730583</v>
      </c>
      <c r="V59" s="317">
        <f t="shared" si="28"/>
        <v>-0.000869379110131926</v>
      </c>
      <c r="W59" s="318">
        <f t="shared" si="12"/>
        <v>54.9010272629682</v>
      </c>
      <c r="X59" s="319">
        <f t="shared" si="13"/>
        <v>-90.4994621259093</v>
      </c>
      <c r="Y59" s="332">
        <f t="shared" si="14"/>
        <v>89.5005378740907</v>
      </c>
      <c r="AA59" s="22">
        <f t="shared" si="15"/>
        <v>1000000000</v>
      </c>
      <c r="AB59" s="22">
        <f t="shared" si="16"/>
        <v>4786.287489</v>
      </c>
      <c r="AD59" s="331">
        <f t="shared" si="17"/>
        <v>53.268538027081</v>
      </c>
      <c r="AE59" s="332">
        <f t="shared" si="18"/>
        <v>-86.5762668744007</v>
      </c>
      <c r="AG59" s="331">
        <f t="shared" si="19"/>
        <v>27.0273866255957</v>
      </c>
      <c r="AH59" s="332">
        <f t="shared" si="20"/>
        <v>-3.82357174377974</v>
      </c>
      <c r="AJ59" s="22">
        <f t="shared" si="21"/>
        <v>0</v>
      </c>
      <c r="AK59" s="22">
        <f t="shared" si="35"/>
        <v>0</v>
      </c>
      <c r="AM59" s="22" t="str">
        <f t="shared" si="29"/>
        <v>7.71245026953693E-07+0.00124196999102618i</v>
      </c>
      <c r="AN59" s="22" t="str">
        <f t="shared" si="30"/>
        <v>0.001241970310314i</v>
      </c>
      <c r="AO59" s="22" t="str">
        <f t="shared" si="31"/>
        <v>0.999999742918315-0.000620985075527855i</v>
      </c>
      <c r="AP59" s="22" t="str">
        <f t="shared" si="32"/>
        <v>0.166666538125829-0.000206994998504363i</v>
      </c>
      <c r="AQ59" s="22" t="str">
        <f t="shared" si="33"/>
        <v>0.833333461874171+0.000206994998504363i</v>
      </c>
      <c r="AR59" s="22" t="str">
        <f t="shared" si="34"/>
        <v>0.999599784137852-0.000248294548687904i</v>
      </c>
    </row>
    <row r="60" spans="7:44">
      <c r="G60" s="257">
        <v>75.858</v>
      </c>
      <c r="H60" s="256">
        <f t="shared" si="26"/>
        <v>0.075858</v>
      </c>
      <c r="I60" s="298">
        <f t="shared" si="0"/>
        <v>1.00273500193874</v>
      </c>
      <c r="J60" s="299">
        <f t="shared" si="1"/>
        <v>0.0738753399011322</v>
      </c>
      <c r="K60" s="299">
        <f t="shared" si="2"/>
        <v>1.0000000008401</v>
      </c>
      <c r="L60" s="300">
        <f t="shared" si="3"/>
        <v>4.09901688389592e-5</v>
      </c>
      <c r="M60" s="299">
        <f t="shared" si="4"/>
        <v>1.00000003616215</v>
      </c>
      <c r="N60" s="300">
        <f t="shared" si="5"/>
        <v>-0.000268931778079769</v>
      </c>
      <c r="O60" s="298">
        <f t="shared" si="6"/>
        <v>137.273045124368</v>
      </c>
      <c r="P60" s="301">
        <f t="shared" si="7"/>
        <v>1.56351151101839</v>
      </c>
      <c r="Q60" s="320">
        <f t="shared" si="8"/>
        <v>1.00163433192036</v>
      </c>
      <c r="R60" s="321">
        <f t="shared" si="9"/>
        <v>0.0571333379535473</v>
      </c>
      <c r="S60" s="298">
        <f t="shared" si="10"/>
        <v>1.00000007269633</v>
      </c>
      <c r="T60" s="301">
        <f t="shared" si="11"/>
        <v>0.000381303877910326</v>
      </c>
      <c r="U60" s="316">
        <f t="shared" si="27"/>
        <v>0.999599700309504</v>
      </c>
      <c r="V60" s="317">
        <f t="shared" si="28"/>
        <v>-0.000953259599741568</v>
      </c>
      <c r="W60" s="318">
        <f t="shared" si="12"/>
        <v>54.099434296357</v>
      </c>
      <c r="X60" s="319">
        <f t="shared" si="13"/>
        <v>-90.6313819041804</v>
      </c>
      <c r="Y60" s="332">
        <f t="shared" si="14"/>
        <v>89.3686180958196</v>
      </c>
      <c r="AA60" s="22">
        <f t="shared" si="15"/>
        <v>1000000000</v>
      </c>
      <c r="AB60" s="22">
        <f t="shared" si="16"/>
        <v>5754.436164</v>
      </c>
      <c r="AD60" s="331">
        <f t="shared" si="17"/>
        <v>52.4709277215244</v>
      </c>
      <c r="AE60" s="332">
        <f t="shared" si="18"/>
        <v>-86.3309588688065</v>
      </c>
      <c r="AG60" s="331">
        <f t="shared" si="19"/>
        <v>27.0234048407957</v>
      </c>
      <c r="AH60" s="332">
        <f t="shared" si="20"/>
        <v>-4.19118753155781</v>
      </c>
      <c r="AJ60" s="22">
        <f t="shared" si="21"/>
        <v>0</v>
      </c>
      <c r="AK60" s="22">
        <f t="shared" si="35"/>
        <v>0</v>
      </c>
      <c r="AM60" s="22" t="str">
        <f t="shared" si="29"/>
        <v>0.0000009272489730483+0.00136179920905487i</v>
      </c>
      <c r="AN60" s="22" t="str">
        <f t="shared" si="30"/>
        <v>0.001361799629964i</v>
      </c>
      <c r="AO60" s="22" t="str">
        <f t="shared" si="31"/>
        <v>0.999999690916989-0.000680899709946912i</v>
      </c>
      <c r="AP60" s="22" t="str">
        <f t="shared" si="32"/>
        <v>0.166666512125171-0.000226966534842478i</v>
      </c>
      <c r="AQ60" s="22" t="str">
        <f t="shared" si="33"/>
        <v>0.833333487874829+0.000226966534842478i</v>
      </c>
      <c r="AR60" s="22" t="str">
        <f t="shared" si="34"/>
        <v>0.999599740474255-0.000272250776701008i</v>
      </c>
    </row>
    <row r="61" spans="7:44">
      <c r="G61" s="257">
        <v>83.176</v>
      </c>
      <c r="H61" s="256">
        <f t="shared" si="26"/>
        <v>0.083176</v>
      </c>
      <c r="I61" s="298">
        <f t="shared" si="0"/>
        <v>1.00328723829378</v>
      </c>
      <c r="J61" s="299">
        <f t="shared" si="1"/>
        <v>0.0809723228670028</v>
      </c>
      <c r="K61" s="299">
        <f t="shared" si="2"/>
        <v>1.00000000101</v>
      </c>
      <c r="L61" s="300">
        <f t="shared" si="3"/>
        <v>4.49444789338381e-5</v>
      </c>
      <c r="M61" s="299">
        <f t="shared" si="4"/>
        <v>1.0000000434758</v>
      </c>
      <c r="N61" s="300">
        <f t="shared" si="5"/>
        <v>-0.00029487554990243</v>
      </c>
      <c r="O61" s="298">
        <f t="shared" si="6"/>
        <v>150.515065470947</v>
      </c>
      <c r="P61" s="301">
        <f t="shared" si="7"/>
        <v>1.56415242471231</v>
      </c>
      <c r="Q61" s="320">
        <f t="shared" si="8"/>
        <v>1.00196454466873</v>
      </c>
      <c r="R61" s="321">
        <f t="shared" si="9"/>
        <v>0.0626312039598647</v>
      </c>
      <c r="S61" s="298">
        <f t="shared" si="10"/>
        <v>1.00000008739886</v>
      </c>
      <c r="T61" s="301">
        <f t="shared" si="11"/>
        <v>0.000418088152049955</v>
      </c>
      <c r="U61" s="316">
        <f t="shared" si="27"/>
        <v>0.999599639698375</v>
      </c>
      <c r="V61" s="317">
        <f t="shared" si="28"/>
        <v>-0.00104522025449052</v>
      </c>
      <c r="W61" s="318">
        <f t="shared" si="12"/>
        <v>53.2976204001622</v>
      </c>
      <c r="X61" s="319">
        <f t="shared" si="13"/>
        <v>-90.7683626511707</v>
      </c>
      <c r="Y61" s="332">
        <f t="shared" si="14"/>
        <v>89.2316373488293</v>
      </c>
      <c r="AA61" s="22">
        <f t="shared" si="15"/>
        <v>1000000000</v>
      </c>
      <c r="AB61" s="22">
        <f t="shared" si="16"/>
        <v>6918.246976</v>
      </c>
      <c r="AD61" s="331">
        <f t="shared" si="17"/>
        <v>51.673896551184</v>
      </c>
      <c r="AE61" s="332">
        <f t="shared" si="18"/>
        <v>-86.0547835833549</v>
      </c>
      <c r="AG61" s="331">
        <f t="shared" si="19"/>
        <v>27.0186231682861</v>
      </c>
      <c r="AH61" s="332">
        <f t="shared" si="20"/>
        <v>-4.59380564919088</v>
      </c>
      <c r="AJ61" s="22">
        <f t="shared" si="21"/>
        <v>0</v>
      </c>
      <c r="AK61" s="22">
        <f t="shared" si="35"/>
        <v>0</v>
      </c>
      <c r="AM61" s="22" t="str">
        <f t="shared" si="29"/>
        <v>1.11478119102504E-06+0.00149317150375458i</v>
      </c>
      <c r="AN61" s="22" t="str">
        <f t="shared" si="30"/>
        <v>0.001493172058608i</v>
      </c>
      <c r="AO61" s="22" t="str">
        <f t="shared" si="31"/>
        <v>0.99999962840624-0.000746585890486249i</v>
      </c>
      <c r="AP61" s="22" t="str">
        <f t="shared" si="32"/>
        <v>0.166666480869801-0.00024886191729243i</v>
      </c>
      <c r="AQ61" s="22" t="str">
        <f t="shared" si="33"/>
        <v>0.833333519130199+0.00024886191729243i</v>
      </c>
      <c r="AR61" s="22" t="str">
        <f t="shared" si="34"/>
        <v>0.999599687986288-0.000298514687296907i</v>
      </c>
    </row>
    <row r="62" spans="7:44">
      <c r="G62" s="257">
        <v>91.201</v>
      </c>
      <c r="H62" s="256">
        <f t="shared" si="26"/>
        <v>0.091201</v>
      </c>
      <c r="I62" s="298">
        <f t="shared" si="0"/>
        <v>1.0039508494883</v>
      </c>
      <c r="J62" s="299">
        <f t="shared" si="1"/>
        <v>0.0887455409084365</v>
      </c>
      <c r="K62" s="299">
        <f t="shared" si="2"/>
        <v>1.0000000012143</v>
      </c>
      <c r="L62" s="300">
        <f t="shared" si="3"/>
        <v>4.92808192590013e-5</v>
      </c>
      <c r="M62" s="299">
        <f t="shared" si="4"/>
        <v>1.00000005226978</v>
      </c>
      <c r="N62" s="300">
        <f t="shared" si="5"/>
        <v>-0.000323325777495761</v>
      </c>
      <c r="O62" s="298">
        <f t="shared" si="6"/>
        <v>165.036471034226</v>
      </c>
      <c r="P62" s="301">
        <f t="shared" si="7"/>
        <v>1.56473702297585</v>
      </c>
      <c r="Q62" s="320">
        <f t="shared" si="8"/>
        <v>1.00236145107748</v>
      </c>
      <c r="R62" s="321">
        <f t="shared" si="9"/>
        <v>0.0686558574323961</v>
      </c>
      <c r="S62" s="298">
        <f t="shared" si="10"/>
        <v>1.0000001050773</v>
      </c>
      <c r="T62" s="301">
        <f t="shared" si="11"/>
        <v>0.000458426193922783</v>
      </c>
      <c r="U62" s="316">
        <f t="shared" si="27"/>
        <v>0.999599566819087</v>
      </c>
      <c r="V62" s="317">
        <f t="shared" si="28"/>
        <v>-0.00114606531907375</v>
      </c>
      <c r="W62" s="318">
        <f t="shared" si="12"/>
        <v>52.4953173328655</v>
      </c>
      <c r="X62" s="319">
        <f t="shared" si="13"/>
        <v>-90.9115138546566</v>
      </c>
      <c r="Y62" s="332">
        <f t="shared" si="14"/>
        <v>89.0884861453434</v>
      </c>
      <c r="AA62" s="22">
        <f t="shared" si="15"/>
        <v>1000000000</v>
      </c>
      <c r="AB62" s="22">
        <f t="shared" si="16"/>
        <v>8317.622401</v>
      </c>
      <c r="AD62" s="331">
        <f t="shared" si="17"/>
        <v>50.8773373076711</v>
      </c>
      <c r="AE62" s="332">
        <f t="shared" si="18"/>
        <v>-85.7454025787613</v>
      </c>
      <c r="AG62" s="331">
        <f t="shared" si="19"/>
        <v>27.0128806110524</v>
      </c>
      <c r="AH62" s="332">
        <f t="shared" si="20"/>
        <v>-5.03478186408665</v>
      </c>
      <c r="AJ62" s="22">
        <f t="shared" si="21"/>
        <v>0</v>
      </c>
      <c r="AK62" s="22">
        <f t="shared" si="35"/>
        <v>0</v>
      </c>
      <c r="AM62" s="22" t="str">
        <f t="shared" si="29"/>
        <v>0.0000013402714139632+0.00163723579011083i</v>
      </c>
      <c r="AN62" s="22" t="str">
        <f t="shared" si="30"/>
        <v>0.001637236521558i</v>
      </c>
      <c r="AO62" s="22" t="str">
        <f t="shared" si="31"/>
        <v>0.999999553242821-0.000818618077666502i</v>
      </c>
      <c r="AP62" s="22" t="str">
        <f t="shared" si="32"/>
        <v>0.166666443288098-0.000272872631685138i</v>
      </c>
      <c r="AQ62" s="22" t="str">
        <f t="shared" si="33"/>
        <v>0.833333556711902+0.000272872631685138i</v>
      </c>
      <c r="AR62" s="22" t="str">
        <f t="shared" si="34"/>
        <v>0.999599624874356-0.000327315968586684i</v>
      </c>
    </row>
    <row r="63" spans="7:44">
      <c r="G63" s="257">
        <v>100</v>
      </c>
      <c r="H63" s="256">
        <f t="shared" si="26"/>
        <v>0.1</v>
      </c>
      <c r="I63" s="298">
        <f t="shared" si="0"/>
        <v>1.00474808562818</v>
      </c>
      <c r="J63" s="299">
        <f t="shared" si="1"/>
        <v>0.097256100095809</v>
      </c>
      <c r="K63" s="299">
        <f t="shared" si="2"/>
        <v>1.00000000145991</v>
      </c>
      <c r="L63" s="300">
        <f t="shared" si="3"/>
        <v>5.40353935274087e-5</v>
      </c>
      <c r="M63" s="299">
        <f t="shared" si="4"/>
        <v>1.00000006284221</v>
      </c>
      <c r="N63" s="300">
        <f t="shared" si="5"/>
        <v>-0.000354519989053703</v>
      </c>
      <c r="O63" s="298">
        <f t="shared" si="6"/>
        <v>180.958499725559</v>
      </c>
      <c r="P63" s="301">
        <f t="shared" si="7"/>
        <v>1.56527016974082</v>
      </c>
      <c r="Q63" s="320">
        <f t="shared" si="8"/>
        <v>1.00283841775335</v>
      </c>
      <c r="R63" s="321">
        <f t="shared" si="9"/>
        <v>0.0752558320512641</v>
      </c>
      <c r="S63" s="298">
        <f t="shared" si="10"/>
        <v>1.00000012633093</v>
      </c>
      <c r="T63" s="301">
        <f t="shared" si="11"/>
        <v>0.000502654781666104</v>
      </c>
      <c r="U63" s="316">
        <f t="shared" si="27"/>
        <v>0.999599479201105</v>
      </c>
      <c r="V63" s="317">
        <f t="shared" si="28"/>
        <v>-0.00125663673580367</v>
      </c>
      <c r="W63" s="318">
        <f t="shared" si="12"/>
        <v>51.6925727320915</v>
      </c>
      <c r="X63" s="319">
        <f t="shared" si="13"/>
        <v>-91.0619136130539</v>
      </c>
      <c r="Y63" s="332">
        <f t="shared" si="14"/>
        <v>88.9380863869461</v>
      </c>
      <c r="AA63" s="22">
        <f t="shared" si="15"/>
        <v>1000000000</v>
      </c>
      <c r="AB63" s="22">
        <f t="shared" si="16"/>
        <v>10000</v>
      </c>
      <c r="AD63" s="331">
        <f t="shared" si="17"/>
        <v>50.0814880914192</v>
      </c>
      <c r="AE63" s="332">
        <f t="shared" si="18"/>
        <v>-85.4003330587178</v>
      </c>
      <c r="AG63" s="331">
        <f t="shared" si="19"/>
        <v>27.0059867492202</v>
      </c>
      <c r="AH63" s="332">
        <f t="shared" si="20"/>
        <v>-5.5175805914862</v>
      </c>
      <c r="AJ63" s="22">
        <f t="shared" si="21"/>
        <v>0</v>
      </c>
      <c r="AK63" s="22">
        <f t="shared" si="35"/>
        <v>0</v>
      </c>
      <c r="AM63" s="22" t="str">
        <f t="shared" si="29"/>
        <v>1.61136354703828E-06+0.00179519483576221i</v>
      </c>
      <c r="AN63" s="22" t="str">
        <f t="shared" si="30"/>
        <v>0.0017951958i</v>
      </c>
      <c r="AO63" s="22" t="str">
        <f t="shared" si="31"/>
        <v>0.999999462878762-0.000897597658727967i</v>
      </c>
      <c r="AP63" s="22" t="str">
        <f t="shared" si="32"/>
        <v>0.166666398106076-0.000299199139293702i</v>
      </c>
      <c r="AQ63" s="22" t="str">
        <f t="shared" si="33"/>
        <v>0.833333601893924+0.000299199139293702i</v>
      </c>
      <c r="AR63" s="22" t="str">
        <f t="shared" si="34"/>
        <v>0.999599548999029-0.000358895073976571i</v>
      </c>
    </row>
    <row r="64" spans="7:44">
      <c r="G64" s="257">
        <v>109.65</v>
      </c>
      <c r="H64" s="256">
        <f t="shared" si="26"/>
        <v>0.10965</v>
      </c>
      <c r="I64" s="298">
        <f t="shared" si="0"/>
        <v>1.00570595520672</v>
      </c>
      <c r="J64" s="299">
        <f t="shared" si="1"/>
        <v>0.106573496290574</v>
      </c>
      <c r="K64" s="299">
        <f t="shared" si="2"/>
        <v>1.00000000175527</v>
      </c>
      <c r="L64" s="300">
        <f t="shared" si="3"/>
        <v>5.9249808991137e-5</v>
      </c>
      <c r="M64" s="299">
        <f t="shared" si="4"/>
        <v>1.00000007555596</v>
      </c>
      <c r="N64" s="300">
        <f t="shared" si="5"/>
        <v>-0.000388731164702565</v>
      </c>
      <c r="O64" s="298">
        <f t="shared" si="6"/>
        <v>198.420485142868</v>
      </c>
      <c r="P64" s="301">
        <f t="shared" si="7"/>
        <v>1.56575650324746</v>
      </c>
      <c r="Q64" s="320">
        <f t="shared" si="8"/>
        <v>1.00341168791192</v>
      </c>
      <c r="R64" s="321">
        <f t="shared" si="9"/>
        <v>0.0824865611887691</v>
      </c>
      <c r="S64" s="298">
        <f t="shared" si="10"/>
        <v>1.00000015188922</v>
      </c>
      <c r="T64" s="301">
        <f t="shared" si="11"/>
        <v>0.000551160958705728</v>
      </c>
      <c r="U64" s="316">
        <f t="shared" si="27"/>
        <v>0.999599373837198</v>
      </c>
      <c r="V64" s="317">
        <f t="shared" si="28"/>
        <v>-0.00137790210918271</v>
      </c>
      <c r="W64" s="318">
        <f t="shared" si="12"/>
        <v>50.8891084656102</v>
      </c>
      <c r="X64" s="319">
        <f t="shared" si="13"/>
        <v>-91.2207242715301</v>
      </c>
      <c r="Y64" s="332">
        <f t="shared" si="14"/>
        <v>88.7792757284699</v>
      </c>
      <c r="AA64" s="22">
        <f t="shared" si="15"/>
        <v>1000000000</v>
      </c>
      <c r="AB64" s="22">
        <f t="shared" si="16"/>
        <v>12023.1225</v>
      </c>
      <c r="AD64" s="331">
        <f t="shared" si="17"/>
        <v>49.2863013151493</v>
      </c>
      <c r="AE64" s="332">
        <f t="shared" si="18"/>
        <v>-85.0166868524893</v>
      </c>
      <c r="AG64" s="331">
        <f t="shared" si="19"/>
        <v>26.9977110901009</v>
      </c>
      <c r="AH64" s="332">
        <f t="shared" si="20"/>
        <v>-6.04614146798392</v>
      </c>
      <c r="AJ64" s="22">
        <f t="shared" si="21"/>
        <v>0</v>
      </c>
      <c r="AK64" s="22">
        <f t="shared" si="35"/>
        <v>0</v>
      </c>
      <c r="AM64" s="22" t="str">
        <f t="shared" si="29"/>
        <v>1.93736202702688E-06+0.00196843092351124i</v>
      </c>
      <c r="AN64" s="22" t="str">
        <f t="shared" si="30"/>
        <v>0.0019684321947i</v>
      </c>
      <c r="AO64" s="22" t="str">
        <f t="shared" si="31"/>
        <v>0.999999354212574-0.000984215779564683i</v>
      </c>
      <c r="AP64" s="22" t="str">
        <f t="shared" si="32"/>
        <v>0.166666343772995-0.000328071820585207i</v>
      </c>
      <c r="AQ64" s="22" t="str">
        <f t="shared" si="33"/>
        <v>0.833333656227005+0.000328071820585207i</v>
      </c>
      <c r="AR64" s="22" t="str">
        <f t="shared" si="34"/>
        <v>0.999599457756121-0.000393528344273069i</v>
      </c>
    </row>
    <row r="65" spans="7:44">
      <c r="G65" s="257">
        <v>120.23</v>
      </c>
      <c r="H65" s="256">
        <f t="shared" si="26"/>
        <v>0.12023</v>
      </c>
      <c r="I65" s="298">
        <f t="shared" si="0"/>
        <v>1.00685626784054</v>
      </c>
      <c r="J65" s="299">
        <f t="shared" si="1"/>
        <v>0.116767478345774</v>
      </c>
      <c r="K65" s="299">
        <f t="shared" si="2"/>
        <v>1.00000000211034</v>
      </c>
      <c r="L65" s="300">
        <f t="shared" si="3"/>
        <v>6.49667536098327e-5</v>
      </c>
      <c r="M65" s="299">
        <f t="shared" si="4"/>
        <v>1.00000009084001</v>
      </c>
      <c r="N65" s="300">
        <f t="shared" si="5"/>
        <v>-0.000426239374883425</v>
      </c>
      <c r="O65" s="298">
        <f t="shared" si="6"/>
        <v>217.56538033416</v>
      </c>
      <c r="P65" s="301">
        <f t="shared" si="7"/>
        <v>1.5661999911117</v>
      </c>
      <c r="Q65" s="320">
        <f t="shared" si="8"/>
        <v>1.00410042094072</v>
      </c>
      <c r="R65" s="321">
        <f t="shared" si="9"/>
        <v>0.0904041877572737</v>
      </c>
      <c r="S65" s="298">
        <f t="shared" si="10"/>
        <v>1.00000018261455</v>
      </c>
      <c r="T65" s="301">
        <f t="shared" si="11"/>
        <v>0.000604341821320795</v>
      </c>
      <c r="U65" s="316">
        <f t="shared" si="27"/>
        <v>0.99959924717227</v>
      </c>
      <c r="V65" s="317">
        <f t="shared" si="28"/>
        <v>-0.00151085417395879</v>
      </c>
      <c r="W65" s="318">
        <f t="shared" si="12"/>
        <v>50.0850723218126</v>
      </c>
      <c r="X65" s="319">
        <f t="shared" si="13"/>
        <v>-91.3890459531778</v>
      </c>
      <c r="Y65" s="332">
        <f t="shared" si="14"/>
        <v>88.6109540468222</v>
      </c>
      <c r="AA65" s="22">
        <f t="shared" si="15"/>
        <v>1000000000</v>
      </c>
      <c r="AB65" s="22">
        <f t="shared" si="16"/>
        <v>14455.2529</v>
      </c>
      <c r="AD65" s="331">
        <f t="shared" si="17"/>
        <v>48.4921952598918</v>
      </c>
      <c r="AE65" s="332">
        <f t="shared" si="18"/>
        <v>-84.591497287732</v>
      </c>
      <c r="AG65" s="331">
        <f t="shared" si="19"/>
        <v>26.987783202838</v>
      </c>
      <c r="AH65" s="332">
        <f t="shared" si="20"/>
        <v>-6.62441752999263</v>
      </c>
      <c r="AJ65" s="22">
        <f t="shared" si="21"/>
        <v>0</v>
      </c>
      <c r="AK65" s="22">
        <f t="shared" si="35"/>
        <v>0</v>
      </c>
      <c r="AM65" s="22" t="str">
        <f t="shared" si="29"/>
        <v>2.32926648002785E-06+0.00215836223453817i</v>
      </c>
      <c r="AN65" s="22" t="str">
        <f t="shared" si="30"/>
        <v>0.00215836391034i</v>
      </c>
      <c r="AO65" s="22" t="str">
        <f t="shared" si="31"/>
        <v>0.999999223577719-0.00107918153600934i</v>
      </c>
      <c r="AP65" s="22" t="str">
        <f t="shared" si="32"/>
        <v>0.166666278455587-0.000359727039089695i</v>
      </c>
      <c r="AQ65" s="22" t="str">
        <f t="shared" si="33"/>
        <v>0.833333721544413+0.000359727039089695i</v>
      </c>
      <c r="AR65" s="22" t="str">
        <f t="shared" si="34"/>
        <v>0.999599348066993-0.000431499295491986i</v>
      </c>
    </row>
    <row r="66" spans="7:44">
      <c r="G66" s="257">
        <v>131.83</v>
      </c>
      <c r="H66" s="256">
        <f t="shared" si="26"/>
        <v>0.13183</v>
      </c>
      <c r="I66" s="298">
        <f t="shared" si="0"/>
        <v>1.00823743112862</v>
      </c>
      <c r="J66" s="299">
        <f t="shared" si="1"/>
        <v>0.127916220371422</v>
      </c>
      <c r="K66" s="299">
        <f t="shared" si="2"/>
        <v>1.0000000025372</v>
      </c>
      <c r="L66" s="300">
        <f t="shared" si="3"/>
        <v>7.12348592360225e-5</v>
      </c>
      <c r="M66" s="299">
        <f t="shared" si="4"/>
        <v>1.00000010921442</v>
      </c>
      <c r="N66" s="300">
        <f t="shared" si="5"/>
        <v>-0.000467363687121041</v>
      </c>
      <c r="O66" s="298">
        <f t="shared" si="6"/>
        <v>238.556043565266</v>
      </c>
      <c r="P66" s="301">
        <f t="shared" si="7"/>
        <v>1.56660442742513</v>
      </c>
      <c r="Q66" s="320">
        <f t="shared" si="8"/>
        <v>1.00492778778723</v>
      </c>
      <c r="R66" s="321">
        <f t="shared" si="9"/>
        <v>0.0990720607064158</v>
      </c>
      <c r="S66" s="298">
        <f t="shared" si="10"/>
        <v>1.00000021955239</v>
      </c>
      <c r="T66" s="301">
        <f t="shared" si="11"/>
        <v>0.000662649757488309</v>
      </c>
      <c r="U66" s="316">
        <f t="shared" si="27"/>
        <v>0.999599094896334</v>
      </c>
      <c r="V66" s="317">
        <f t="shared" si="28"/>
        <v>-0.00165662389377771</v>
      </c>
      <c r="W66" s="318">
        <f t="shared" si="12"/>
        <v>49.2803055257786</v>
      </c>
      <c r="X66" s="319">
        <f t="shared" si="13"/>
        <v>-91.5680516767416</v>
      </c>
      <c r="Y66" s="332">
        <f t="shared" si="14"/>
        <v>88.4319483232584</v>
      </c>
      <c r="AA66" s="22">
        <f t="shared" si="15"/>
        <v>1000000000</v>
      </c>
      <c r="AB66" s="22">
        <f t="shared" si="16"/>
        <v>17379.1489</v>
      </c>
      <c r="AD66" s="331">
        <f t="shared" si="17"/>
        <v>47.6993363988656</v>
      </c>
      <c r="AE66" s="332">
        <f t="shared" si="18"/>
        <v>-84.1213780423493</v>
      </c>
      <c r="AG66" s="331">
        <f t="shared" si="19"/>
        <v>26.9758779141948</v>
      </c>
      <c r="AH66" s="332">
        <f t="shared" si="20"/>
        <v>-7.25683851946727</v>
      </c>
      <c r="AJ66" s="22">
        <f t="shared" si="21"/>
        <v>0</v>
      </c>
      <c r="AK66" s="22">
        <f t="shared" si="35"/>
        <v>0</v>
      </c>
      <c r="AM66" s="22" t="str">
        <f t="shared" si="29"/>
        <v>0.0000028004121469527+0.00236660441398161i</v>
      </c>
      <c r="AN66" s="22" t="str">
        <f t="shared" si="30"/>
        <v>0.00236660662314i</v>
      </c>
      <c r="AO66" s="22" t="str">
        <f t="shared" si="31"/>
        <v>0.99999906652911-0.00118330275913668i</v>
      </c>
      <c r="AP66" s="22" t="str">
        <f t="shared" si="32"/>
        <v>0.166666199931309-0.000394434068996935i</v>
      </c>
      <c r="AQ66" s="22" t="str">
        <f t="shared" si="33"/>
        <v>0.833333800068691+0.000394434068996935i</v>
      </c>
      <c r="AR66" s="22" t="str">
        <f t="shared" si="34"/>
        <v>0.999599216199299-0.00047313091846165i</v>
      </c>
    </row>
    <row r="67" spans="7:44">
      <c r="G67" s="257">
        <v>144.54</v>
      </c>
      <c r="H67" s="256">
        <f t="shared" si="26"/>
        <v>0.14454</v>
      </c>
      <c r="I67" s="298">
        <f t="shared" si="0"/>
        <v>1.00989421289733</v>
      </c>
      <c r="J67" s="299">
        <f t="shared" si="1"/>
        <v>0.140095083829194</v>
      </c>
      <c r="K67" s="299">
        <f t="shared" si="2"/>
        <v>1.00000000305002</v>
      </c>
      <c r="L67" s="300">
        <f t="shared" si="3"/>
        <v>7.8102757721722e-5</v>
      </c>
      <c r="M67" s="299">
        <f t="shared" si="4"/>
        <v>1.00000013128877</v>
      </c>
      <c r="N67" s="300">
        <f t="shared" si="5"/>
        <v>-0.000512423168795823</v>
      </c>
      <c r="O67" s="298">
        <f t="shared" si="6"/>
        <v>261.555333387828</v>
      </c>
      <c r="P67" s="301">
        <f t="shared" si="7"/>
        <v>1.56697303470862</v>
      </c>
      <c r="Q67" s="320">
        <f t="shared" si="8"/>
        <v>1.00592085648822</v>
      </c>
      <c r="R67" s="321">
        <f t="shared" si="9"/>
        <v>0.108552195264497</v>
      </c>
      <c r="S67" s="298">
        <f t="shared" si="10"/>
        <v>1.00000026392818</v>
      </c>
      <c r="T67" s="301">
        <f t="shared" si="11"/>
        <v>0.00072653715477385</v>
      </c>
      <c r="U67" s="316">
        <f t="shared" si="27"/>
        <v>0.999598911957629</v>
      </c>
      <c r="V67" s="317">
        <f t="shared" si="28"/>
        <v>-0.00181634222802611</v>
      </c>
      <c r="W67" s="318">
        <f t="shared" si="12"/>
        <v>48.4751584256141</v>
      </c>
      <c r="X67" s="319">
        <f t="shared" si="13"/>
        <v>-91.7587969758251</v>
      </c>
      <c r="Y67" s="332">
        <f t="shared" si="14"/>
        <v>88.2412030241749</v>
      </c>
      <c r="AA67" s="22">
        <f t="shared" si="15"/>
        <v>1000000000</v>
      </c>
      <c r="AB67" s="22">
        <f t="shared" si="16"/>
        <v>20891.8116</v>
      </c>
      <c r="AD67" s="331">
        <f t="shared" si="17"/>
        <v>46.9084520282299</v>
      </c>
      <c r="AE67" s="332">
        <f t="shared" si="18"/>
        <v>-83.6029864622333</v>
      </c>
      <c r="AG67" s="331">
        <f t="shared" si="19"/>
        <v>26.9616183639117</v>
      </c>
      <c r="AH67" s="332">
        <f t="shared" si="20"/>
        <v>-7.94767302571947</v>
      </c>
      <c r="AJ67" s="22">
        <f t="shared" si="21"/>
        <v>0</v>
      </c>
      <c r="AK67" s="22">
        <f t="shared" si="35"/>
        <v>0</v>
      </c>
      <c r="AM67" s="22" t="str">
        <f t="shared" si="29"/>
        <v>3.36642938003617E-06+0.00259477309760928i</v>
      </c>
      <c r="AN67" s="22" t="str">
        <f t="shared" si="30"/>
        <v>0.00259477600932i</v>
      </c>
      <c r="AO67" s="22" t="str">
        <f t="shared" si="31"/>
        <v>0.99999887785662-0.0012973872765682i</v>
      </c>
      <c r="AP67" s="22" t="str">
        <f t="shared" si="32"/>
        <v>0.166666105595103-0.00043246218293488i</v>
      </c>
      <c r="AQ67" s="22" t="str">
        <f t="shared" si="33"/>
        <v>0.833333894404897+0.00043246218293488i</v>
      </c>
      <c r="AR67" s="22" t="str">
        <f t="shared" si="34"/>
        <v>0.999599057778336-0.000518746199439272i</v>
      </c>
    </row>
    <row r="68" spans="7:44">
      <c r="G68" s="257">
        <v>158.49</v>
      </c>
      <c r="H68" s="256">
        <f t="shared" si="26"/>
        <v>0.15849</v>
      </c>
      <c r="I68" s="298">
        <f t="shared" si="0"/>
        <v>1.01188444888433</v>
      </c>
      <c r="J68" s="299">
        <f t="shared" si="1"/>
        <v>0.153414016325977</v>
      </c>
      <c r="K68" s="299">
        <f t="shared" si="2"/>
        <v>1.00000000366716</v>
      </c>
      <c r="L68" s="300">
        <f t="shared" si="3"/>
        <v>8.56406950755696e-5</v>
      </c>
      <c r="M68" s="299">
        <f t="shared" si="4"/>
        <v>1.00000015785385</v>
      </c>
      <c r="N68" s="300">
        <f t="shared" si="5"/>
        <v>-0.000561878695061204</v>
      </c>
      <c r="O68" s="298">
        <f t="shared" si="6"/>
        <v>286.798490390386</v>
      </c>
      <c r="P68" s="301">
        <f t="shared" si="7"/>
        <v>1.56730955102802</v>
      </c>
      <c r="Q68" s="320">
        <f t="shared" si="8"/>
        <v>1.00711465387876</v>
      </c>
      <c r="R68" s="321">
        <f t="shared" si="9"/>
        <v>0.118934658360625</v>
      </c>
      <c r="S68" s="298">
        <f t="shared" si="10"/>
        <v>1.00000031733164</v>
      </c>
      <c r="T68" s="301">
        <f t="shared" si="11"/>
        <v>0.000796657462021189</v>
      </c>
      <c r="U68" s="316">
        <f t="shared" si="27"/>
        <v>0.999598691802538</v>
      </c>
      <c r="V68" s="317">
        <f t="shared" si="28"/>
        <v>-0.0019916427864665</v>
      </c>
      <c r="W68" s="318">
        <f t="shared" si="12"/>
        <v>47.6680919553521</v>
      </c>
      <c r="X68" s="319">
        <f t="shared" si="13"/>
        <v>-91.9627885249643</v>
      </c>
      <c r="Y68" s="332">
        <f t="shared" si="14"/>
        <v>88.0372114750357</v>
      </c>
      <c r="AA68" s="22">
        <f t="shared" si="15"/>
        <v>1000000000</v>
      </c>
      <c r="AB68" s="22">
        <f t="shared" si="16"/>
        <v>25119.0801</v>
      </c>
      <c r="AD68" s="331">
        <f t="shared" si="17"/>
        <v>46.1184879947642</v>
      </c>
      <c r="AE68" s="332">
        <f t="shared" si="18"/>
        <v>-83.0314137077239</v>
      </c>
      <c r="AG68" s="331">
        <f t="shared" si="19"/>
        <v>26.944519753136</v>
      </c>
      <c r="AH68" s="332">
        <f t="shared" si="20"/>
        <v>-8.70314936505511</v>
      </c>
      <c r="AJ68" s="22">
        <f t="shared" si="21"/>
        <v>0</v>
      </c>
      <c r="AK68" s="22">
        <f t="shared" si="35"/>
        <v>0</v>
      </c>
      <c r="AM68" s="22" t="str">
        <f t="shared" si="29"/>
        <v>4.04759535799215E-06+0.00284520198467167i</v>
      </c>
      <c r="AN68" s="22" t="str">
        <f t="shared" si="30"/>
        <v>0.00284520582342i</v>
      </c>
      <c r="AO68" s="22" t="str">
        <f t="shared" si="31"/>
        <v>0.999998650801183-0.00142260195191322i</v>
      </c>
      <c r="AP68" s="22" t="str">
        <f t="shared" si="32"/>
        <v>0.16666599206744-0.000474200330778612i</v>
      </c>
      <c r="AQ68" s="22" t="str">
        <f t="shared" si="33"/>
        <v>0.83333400793256+0.000474200330778612i</v>
      </c>
      <c r="AR68" s="22" t="str">
        <f t="shared" si="34"/>
        <v>0.999598867128831-0.000568811675662201i</v>
      </c>
    </row>
    <row r="69" spans="7:44">
      <c r="G69" s="257">
        <v>173.78</v>
      </c>
      <c r="H69" s="256">
        <f t="shared" si="26"/>
        <v>0.17378</v>
      </c>
      <c r="I69" s="298">
        <f t="shared" si="0"/>
        <v>1.01427118368533</v>
      </c>
      <c r="J69" s="299">
        <f t="shared" si="1"/>
        <v>0.167949414892438</v>
      </c>
      <c r="K69" s="299">
        <f t="shared" si="2"/>
        <v>1.00000000440886</v>
      </c>
      <c r="L69" s="300">
        <f t="shared" si="3"/>
        <v>9.39027066873214e-5</v>
      </c>
      <c r="M69" s="299">
        <f t="shared" si="4"/>
        <v>1.00000018978026</v>
      </c>
      <c r="N69" s="300">
        <f t="shared" si="5"/>
        <v>-0.000616084784841127</v>
      </c>
      <c r="O69" s="298">
        <f t="shared" si="6"/>
        <v>314.46646913165</v>
      </c>
      <c r="P69" s="301">
        <f t="shared" si="7"/>
        <v>1.56761633215777</v>
      </c>
      <c r="Q69" s="320">
        <f t="shared" si="8"/>
        <v>1.00854751170655</v>
      </c>
      <c r="R69" s="321">
        <f t="shared" si="9"/>
        <v>0.130284835689425</v>
      </c>
      <c r="S69" s="298">
        <f t="shared" si="10"/>
        <v>1.00000038151289</v>
      </c>
      <c r="T69" s="301">
        <f t="shared" si="11"/>
        <v>0.000873513330976139</v>
      </c>
      <c r="U69" s="316">
        <f t="shared" si="27"/>
        <v>0.999598427216323</v>
      </c>
      <c r="V69" s="317">
        <f t="shared" si="28"/>
        <v>-0.00218378218258191</v>
      </c>
      <c r="W69" s="318">
        <f t="shared" si="12"/>
        <v>46.8600253475384</v>
      </c>
      <c r="X69" s="319">
        <f t="shared" si="13"/>
        <v>-92.1809102180861</v>
      </c>
      <c r="Y69" s="332">
        <f t="shared" si="14"/>
        <v>87.8190897819139</v>
      </c>
      <c r="AA69" s="22">
        <f t="shared" si="15"/>
        <v>1000000000</v>
      </c>
      <c r="AB69" s="22">
        <f t="shared" si="16"/>
        <v>30199.4884</v>
      </c>
      <c r="AD69" s="331">
        <f t="shared" si="17"/>
        <v>45.3308867115549</v>
      </c>
      <c r="AE69" s="332">
        <f t="shared" si="18"/>
        <v>-82.4030772302312</v>
      </c>
      <c r="AG69" s="331">
        <f t="shared" si="19"/>
        <v>26.9240590267108</v>
      </c>
      <c r="AH69" s="332">
        <f t="shared" si="20"/>
        <v>-9.52758998269294</v>
      </c>
      <c r="AJ69" s="22">
        <f t="shared" si="21"/>
        <v>0</v>
      </c>
      <c r="AK69" s="22">
        <f t="shared" si="35"/>
        <v>0</v>
      </c>
      <c r="AM69" s="22" t="str">
        <f t="shared" si="29"/>
        <v>0.0000048662328360205+0.00311968620085701i</v>
      </c>
      <c r="AN69" s="22" t="str">
        <f t="shared" si="30"/>
        <v>0.00311969126124i</v>
      </c>
      <c r="AO69" s="22" t="str">
        <f t="shared" si="31"/>
        <v>0.999998377921863-0.00155984436552426i</v>
      </c>
      <c r="AP69" s="22" t="str">
        <f t="shared" si="32"/>
        <v>0.166665855627861-0.000519947700142835i</v>
      </c>
      <c r="AQ69" s="22" t="str">
        <f t="shared" si="33"/>
        <v>0.833334144372139+0.000519947700142835i</v>
      </c>
      <c r="AR69" s="22" t="str">
        <f t="shared" si="34"/>
        <v>0.999598638003006-0.000623686208474226i</v>
      </c>
    </row>
    <row r="70" spans="7:44">
      <c r="G70" s="257">
        <v>190.55</v>
      </c>
      <c r="H70" s="256">
        <f t="shared" si="26"/>
        <v>0.19055</v>
      </c>
      <c r="I70" s="298">
        <f t="shared" si="0"/>
        <v>1.01713410734126</v>
      </c>
      <c r="J70" s="299">
        <f t="shared" si="1"/>
        <v>0.183809595939138</v>
      </c>
      <c r="K70" s="299">
        <f t="shared" si="2"/>
        <v>1.00000000530084</v>
      </c>
      <c r="L70" s="300">
        <f t="shared" si="3"/>
        <v>0.000102964442102825</v>
      </c>
      <c r="M70" s="299">
        <f t="shared" si="4"/>
        <v>1.00000022817568</v>
      </c>
      <c r="N70" s="300">
        <f t="shared" si="5"/>
        <v>-0.000675537764682501</v>
      </c>
      <c r="O70" s="298">
        <f t="shared" si="6"/>
        <v>344.812606233563</v>
      </c>
      <c r="P70" s="301">
        <f t="shared" si="7"/>
        <v>1.56789619674247</v>
      </c>
      <c r="Q70" s="320">
        <f t="shared" si="8"/>
        <v>1.01026800739897</v>
      </c>
      <c r="R70" s="321">
        <f t="shared" si="9"/>
        <v>0.142694852267031</v>
      </c>
      <c r="S70" s="298">
        <f t="shared" si="10"/>
        <v>1.00000045869871</v>
      </c>
      <c r="T70" s="301">
        <f t="shared" si="11"/>
        <v>0.000957808474234996</v>
      </c>
      <c r="U70" s="316">
        <f t="shared" si="27"/>
        <v>0.999598109019206</v>
      </c>
      <c r="V70" s="317">
        <f t="shared" si="28"/>
        <v>-0.00239451967622702</v>
      </c>
      <c r="W70" s="318">
        <f t="shared" si="12"/>
        <v>46.0501685851493</v>
      </c>
      <c r="X70" s="319">
        <f t="shared" si="13"/>
        <v>-92.4144164711397</v>
      </c>
      <c r="Y70" s="332">
        <f t="shared" si="14"/>
        <v>87.5855835288603</v>
      </c>
      <c r="AA70" s="22">
        <f t="shared" si="15"/>
        <v>1000000000</v>
      </c>
      <c r="AB70" s="22">
        <f t="shared" si="16"/>
        <v>36309.3025</v>
      </c>
      <c r="AD70" s="331">
        <f t="shared" si="17"/>
        <v>44.5455149864349</v>
      </c>
      <c r="AE70" s="332">
        <f t="shared" si="18"/>
        <v>-81.7129004713393</v>
      </c>
      <c r="AG70" s="331">
        <f t="shared" si="19"/>
        <v>26.8995795193134</v>
      </c>
      <c r="AH70" s="332">
        <f t="shared" si="20"/>
        <v>-10.4271242566691</v>
      </c>
      <c r="AJ70" s="22">
        <f t="shared" si="21"/>
        <v>0</v>
      </c>
      <c r="AK70" s="22">
        <f t="shared" si="35"/>
        <v>0</v>
      </c>
      <c r="AM70" s="22" t="str">
        <f t="shared" si="29"/>
        <v>5.85074451397993E-06+0.00342073892559455i</v>
      </c>
      <c r="AN70" s="22" t="str">
        <f t="shared" si="30"/>
        <v>0.0034207455969i</v>
      </c>
      <c r="AO70" s="22" t="str">
        <f t="shared" si="31"/>
        <v>0.999998049751067-0.00171037113057518i</v>
      </c>
      <c r="AP70" s="22" t="str">
        <f t="shared" si="32"/>
        <v>0.166665691542581-0.000570123154265758i</v>
      </c>
      <c r="AQ70" s="22" t="str">
        <f t="shared" si="33"/>
        <v>0.833334308457419+0.000570123154265758i</v>
      </c>
      <c r="AR70" s="22" t="str">
        <f t="shared" si="34"/>
        <v>0.999598362451418-0.000683872205447316i</v>
      </c>
    </row>
    <row r="71" spans="7:44">
      <c r="G71" s="257">
        <v>208.93</v>
      </c>
      <c r="H71" s="256">
        <f t="shared" si="26"/>
        <v>0.20893</v>
      </c>
      <c r="I71" s="298">
        <f t="shared" si="0"/>
        <v>1.02056398839021</v>
      </c>
      <c r="J71" s="299">
        <f t="shared" si="1"/>
        <v>0.201085382411773</v>
      </c>
      <c r="K71" s="299">
        <f t="shared" si="2"/>
        <v>1.00000000637277</v>
      </c>
      <c r="L71" s="300">
        <f t="shared" si="3"/>
        <v>0.000112896147327053</v>
      </c>
      <c r="M71" s="299">
        <f t="shared" si="4"/>
        <v>1.0000002743172</v>
      </c>
      <c r="N71" s="300">
        <f t="shared" si="5"/>
        <v>-0.000740698508703767</v>
      </c>
      <c r="O71" s="298">
        <f t="shared" si="6"/>
        <v>378.072143063183</v>
      </c>
      <c r="P71" s="301">
        <f t="shared" si="7"/>
        <v>1.56815132587549</v>
      </c>
      <c r="Q71" s="320">
        <f t="shared" si="8"/>
        <v>1.01233173716401</v>
      </c>
      <c r="R71" s="321">
        <f t="shared" si="9"/>
        <v>0.156245512602674</v>
      </c>
      <c r="S71" s="298">
        <f t="shared" si="10"/>
        <v>1.00000055145643</v>
      </c>
      <c r="T71" s="301">
        <f t="shared" si="11"/>
        <v>0.00105019633769153</v>
      </c>
      <c r="U71" s="316">
        <f t="shared" si="27"/>
        <v>0.999597726627595</v>
      </c>
      <c r="V71" s="317">
        <f t="shared" si="28"/>
        <v>-0.0026254888545652</v>
      </c>
      <c r="W71" s="318">
        <f t="shared" si="12"/>
        <v>45.2388185903199</v>
      </c>
      <c r="X71" s="319">
        <f t="shared" si="13"/>
        <v>-92.6641596843818</v>
      </c>
      <c r="Y71" s="332">
        <f t="shared" si="14"/>
        <v>87.3358403156182</v>
      </c>
      <c r="AA71" s="22">
        <f t="shared" si="15"/>
        <v>1000000000</v>
      </c>
      <c r="AB71" s="22">
        <f t="shared" si="16"/>
        <v>43651.7449</v>
      </c>
      <c r="AD71" s="331">
        <f t="shared" si="17"/>
        <v>43.7634083461711</v>
      </c>
      <c r="AE71" s="332">
        <f t="shared" si="18"/>
        <v>-80.9564160808342</v>
      </c>
      <c r="AG71" s="331">
        <f t="shared" si="19"/>
        <v>26.8703428102425</v>
      </c>
      <c r="AH71" s="332">
        <f t="shared" si="20"/>
        <v>-11.4068847421531</v>
      </c>
      <c r="AJ71" s="22">
        <f t="shared" si="21"/>
        <v>0</v>
      </c>
      <c r="AK71" s="22">
        <f t="shared" si="35"/>
        <v>0</v>
      </c>
      <c r="AM71" s="22" t="str">
        <f t="shared" si="29"/>
        <v>7.03387669398481E-06+0.00375069379094271i</v>
      </c>
      <c r="AN71" s="22" t="str">
        <f t="shared" si="30"/>
        <v>0.00375070258494i</v>
      </c>
      <c r="AO71" s="22" t="str">
        <f t="shared" si="31"/>
        <v>0.999997655373336-0.00187534909385446i</v>
      </c>
      <c r="AP71" s="22" t="str">
        <f t="shared" si="32"/>
        <v>0.166665494353884-0.000625115631823785i</v>
      </c>
      <c r="AQ71" s="22" t="str">
        <f t="shared" si="33"/>
        <v>0.833334505646116+0.000625115631823785i</v>
      </c>
      <c r="AR71" s="22" t="str">
        <f t="shared" si="34"/>
        <v>0.999598031308966-0.000749836171042785i</v>
      </c>
    </row>
    <row r="72" spans="7:44">
      <c r="G72" s="257">
        <v>229.09</v>
      </c>
      <c r="H72" s="256">
        <f t="shared" si="26"/>
        <v>0.22909</v>
      </c>
      <c r="I72" s="298">
        <f t="shared" si="0"/>
        <v>1.02467377257089</v>
      </c>
      <c r="J72" s="299">
        <f t="shared" si="1"/>
        <v>0.21989497773451</v>
      </c>
      <c r="K72" s="299">
        <f t="shared" si="2"/>
        <v>1.00000000766194</v>
      </c>
      <c r="L72" s="300">
        <f t="shared" si="3"/>
        <v>0.000123789682520109</v>
      </c>
      <c r="M72" s="299">
        <f t="shared" si="4"/>
        <v>1.0000003298099</v>
      </c>
      <c r="N72" s="300">
        <f t="shared" si="5"/>
        <v>-0.000812169698374425</v>
      </c>
      <c r="O72" s="298">
        <f t="shared" si="6"/>
        <v>414.552703189592</v>
      </c>
      <c r="P72" s="301">
        <f t="shared" si="7"/>
        <v>1.56838408593354</v>
      </c>
      <c r="Q72" s="320">
        <f t="shared" si="8"/>
        <v>1.01480814960625</v>
      </c>
      <c r="R72" s="321">
        <f t="shared" si="9"/>
        <v>0.171042070246593</v>
      </c>
      <c r="S72" s="298">
        <f t="shared" si="10"/>
        <v>1.00000066301268</v>
      </c>
      <c r="T72" s="301">
        <f t="shared" si="11"/>
        <v>0.00115153142731499</v>
      </c>
      <c r="U72" s="316">
        <f t="shared" si="27"/>
        <v>0.999597266739934</v>
      </c>
      <c r="V72" s="317">
        <f t="shared" si="28"/>
        <v>-0.0028788259453544</v>
      </c>
      <c r="W72" s="318">
        <f t="shared" si="12"/>
        <v>44.4250269386909</v>
      </c>
      <c r="X72" s="319">
        <f t="shared" si="13"/>
        <v>-92.9312180386584</v>
      </c>
      <c r="Y72" s="332">
        <f t="shared" si="14"/>
        <v>87.0687819613416</v>
      </c>
      <c r="AA72" s="22">
        <f t="shared" si="15"/>
        <v>1000000000</v>
      </c>
      <c r="AB72" s="22">
        <f t="shared" si="16"/>
        <v>52482.2281</v>
      </c>
      <c r="AD72" s="331">
        <f t="shared" si="17"/>
        <v>42.9845278063271</v>
      </c>
      <c r="AE72" s="332">
        <f t="shared" si="18"/>
        <v>-80.1277780174867</v>
      </c>
      <c r="AG72" s="331">
        <f t="shared" si="19"/>
        <v>26.8354396907412</v>
      </c>
      <c r="AH72" s="332">
        <f t="shared" si="20"/>
        <v>-12.4735508675518</v>
      </c>
      <c r="AJ72" s="22">
        <f t="shared" si="21"/>
        <v>0</v>
      </c>
      <c r="AK72" s="22">
        <f t="shared" si="35"/>
        <v>0</v>
      </c>
      <c r="AM72" s="22" t="str">
        <f t="shared" si="29"/>
        <v>0.0000084567852759454+0.00411260246504879i</v>
      </c>
      <c r="AN72" s="22" t="str">
        <f t="shared" si="30"/>
        <v>0.00411261405822i</v>
      </c>
      <c r="AO72" s="22" t="str">
        <f t="shared" si="31"/>
        <v>0.999997181069985-0.00205630413071282i</v>
      </c>
      <c r="AP72" s="22" t="str">
        <f t="shared" si="32"/>
        <v>0.166665257202454-0.000685433744174798i</v>
      </c>
      <c r="AQ72" s="22" t="str">
        <f t="shared" si="33"/>
        <v>0.833334742797546+0.000685433744174798i</v>
      </c>
      <c r="AR72" s="22" t="str">
        <f t="shared" si="34"/>
        <v>0.999597633056891-0.000822188147339617i</v>
      </c>
    </row>
    <row r="73" spans="7:44">
      <c r="G73" s="257">
        <v>251.19</v>
      </c>
      <c r="H73" s="256">
        <f t="shared" si="26"/>
        <v>0.25119</v>
      </c>
      <c r="I73" s="298">
        <f t="shared" si="0"/>
        <v>1.02959199873358</v>
      </c>
      <c r="J73" s="299">
        <f t="shared" si="1"/>
        <v>0.240334037244163</v>
      </c>
      <c r="K73" s="299">
        <f t="shared" si="2"/>
        <v>1.00000000921152</v>
      </c>
      <c r="L73" s="300">
        <f t="shared" si="3"/>
        <v>0.000135731504300073</v>
      </c>
      <c r="M73" s="299">
        <f t="shared" si="4"/>
        <v>1.00000039651179</v>
      </c>
      <c r="N73" s="300">
        <f t="shared" si="5"/>
        <v>-0.000890518562411375</v>
      </c>
      <c r="O73" s="298">
        <f t="shared" si="6"/>
        <v>454.543814871315</v>
      </c>
      <c r="P73" s="301">
        <f t="shared" si="7"/>
        <v>1.56859631708416</v>
      </c>
      <c r="Q73" s="320">
        <f t="shared" si="8"/>
        <v>1.0177768084809</v>
      </c>
      <c r="R73" s="321">
        <f t="shared" si="9"/>
        <v>0.187175835435193</v>
      </c>
      <c r="S73" s="298">
        <f t="shared" si="10"/>
        <v>1.00000079710261</v>
      </c>
      <c r="T73" s="301">
        <f t="shared" si="11"/>
        <v>0.00126261798144822</v>
      </c>
      <c r="U73" s="316">
        <f t="shared" si="27"/>
        <v>0.999596713958511</v>
      </c>
      <c r="V73" s="317">
        <f t="shared" si="28"/>
        <v>-0.00315654149620857</v>
      </c>
      <c r="W73" s="318">
        <f t="shared" si="12"/>
        <v>43.6088828545783</v>
      </c>
      <c r="X73" s="319">
        <f t="shared" si="13"/>
        <v>-93.2161347452865</v>
      </c>
      <c r="Y73" s="332">
        <f t="shared" si="14"/>
        <v>86.7838652547135</v>
      </c>
      <c r="AA73" s="22">
        <f t="shared" si="15"/>
        <v>1000000000</v>
      </c>
      <c r="AB73" s="22">
        <f t="shared" si="16"/>
        <v>63096.4161</v>
      </c>
      <c r="AD73" s="331">
        <f t="shared" si="17"/>
        <v>42.2099787063065</v>
      </c>
      <c r="AE73" s="332">
        <f t="shared" si="18"/>
        <v>-79.2219061034135</v>
      </c>
      <c r="AG73" s="331">
        <f t="shared" si="19"/>
        <v>26.7938543133177</v>
      </c>
      <c r="AH73" s="332">
        <f t="shared" si="20"/>
        <v>-13.6325156302781</v>
      </c>
      <c r="AJ73" s="22">
        <f t="shared" si="21"/>
        <v>0</v>
      </c>
      <c r="AK73" s="22">
        <f t="shared" si="35"/>
        <v>0</v>
      </c>
      <c r="AM73" s="22" t="str">
        <f t="shared" si="29"/>
        <v>0.0000101671119899782+0.00450933704764626i</v>
      </c>
      <c r="AN73" s="22" t="str">
        <f t="shared" si="30"/>
        <v>0.00450935233002i</v>
      </c>
      <c r="AO73" s="22" t="str">
        <f t="shared" si="31"/>
        <v>0.999996610960373-0.00225467234447238i</v>
      </c>
      <c r="AP73" s="22" t="str">
        <f t="shared" si="32"/>
        <v>0.166664972148002-0.00075155617460771i</v>
      </c>
      <c r="AQ73" s="22" t="str">
        <f t="shared" si="33"/>
        <v>0.833335027851998+0.00075155617460771i</v>
      </c>
      <c r="AR73" s="22" t="str">
        <f t="shared" si="34"/>
        <v>0.999597154361247-0.000901502263041697i</v>
      </c>
    </row>
    <row r="74" spans="7:44">
      <c r="G74" s="257">
        <v>275.42</v>
      </c>
      <c r="H74" s="256">
        <f t="shared" si="26"/>
        <v>0.27542</v>
      </c>
      <c r="I74" s="298">
        <f t="shared" si="0"/>
        <v>1.03547348433669</v>
      </c>
      <c r="J74" s="299">
        <f t="shared" si="1"/>
        <v>0.262509569008354</v>
      </c>
      <c r="K74" s="299">
        <f t="shared" si="2"/>
        <v>1.00000001107433</v>
      </c>
      <c r="L74" s="300">
        <f t="shared" si="3"/>
        <v>0.000148824279899283</v>
      </c>
      <c r="M74" s="299">
        <f t="shared" si="4"/>
        <v>1.00000047669691</v>
      </c>
      <c r="N74" s="300">
        <f t="shared" si="5"/>
        <v>-0.00097641868445475</v>
      </c>
      <c r="O74" s="298">
        <f t="shared" si="6"/>
        <v>498.389293086723</v>
      </c>
      <c r="P74" s="301">
        <f t="shared" si="7"/>
        <v>1.56878986179885</v>
      </c>
      <c r="Q74" s="320">
        <f t="shared" si="8"/>
        <v>1.02133413629547</v>
      </c>
      <c r="R74" s="321">
        <f t="shared" si="9"/>
        <v>0.204751691595192</v>
      </c>
      <c r="S74" s="298">
        <f t="shared" si="10"/>
        <v>1.00000095829772</v>
      </c>
      <c r="T74" s="301">
        <f t="shared" si="11"/>
        <v>0.00138441103180887</v>
      </c>
      <c r="U74" s="316">
        <f t="shared" si="27"/>
        <v>0.99959604943794</v>
      </c>
      <c r="V74" s="317">
        <f t="shared" si="28"/>
        <v>-0.00346102302184042</v>
      </c>
      <c r="W74" s="318">
        <f t="shared" si="12"/>
        <v>42.7898468413983</v>
      </c>
      <c r="X74" s="319">
        <f t="shared" si="13"/>
        <v>-93.5193613279682</v>
      </c>
      <c r="Y74" s="332">
        <f t="shared" si="14"/>
        <v>86.4806386720318</v>
      </c>
      <c r="AA74" s="22">
        <f t="shared" si="15"/>
        <v>1000000000</v>
      </c>
      <c r="AB74" s="22">
        <f t="shared" si="16"/>
        <v>75856.1764</v>
      </c>
      <c r="AD74" s="331">
        <f t="shared" si="17"/>
        <v>41.4404242225967</v>
      </c>
      <c r="AE74" s="332">
        <f t="shared" si="18"/>
        <v>-78.2329512460451</v>
      </c>
      <c r="AG74" s="331">
        <f t="shared" si="19"/>
        <v>26.7443843324135</v>
      </c>
      <c r="AH74" s="332">
        <f t="shared" si="20"/>
        <v>-14.8898060575716</v>
      </c>
      <c r="AJ74" s="22">
        <f t="shared" si="21"/>
        <v>0</v>
      </c>
      <c r="AK74" s="22">
        <f t="shared" si="35"/>
        <v>0</v>
      </c>
      <c r="AM74" s="22" t="str">
        <f t="shared" si="29"/>
        <v>0.0000122231661310312+0.00494430812722829i</v>
      </c>
      <c r="AN74" s="22" t="str">
        <f t="shared" si="30"/>
        <v>0.00494432827236i</v>
      </c>
      <c r="AO74" s="22" t="str">
        <f t="shared" si="31"/>
        <v>0.999995925607969-0.00247215909982387i</v>
      </c>
      <c r="AP74" s="22" t="str">
        <f t="shared" si="32"/>
        <v>0.166664629472312-0.000824051354538048i</v>
      </c>
      <c r="AQ74" s="22" t="str">
        <f t="shared" si="33"/>
        <v>0.833335370527688+0.000824051354538048i</v>
      </c>
      <c r="AR74" s="22" t="str">
        <f t="shared" si="34"/>
        <v>0.99959657890255-0.000988460281380648i</v>
      </c>
    </row>
    <row r="75" spans="7:44">
      <c r="G75" s="257">
        <v>302</v>
      </c>
      <c r="H75" s="256">
        <f t="shared" si="26"/>
        <v>0.302</v>
      </c>
      <c r="I75" s="298">
        <f t="shared" si="0"/>
        <v>1.04250395371739</v>
      </c>
      <c r="J75" s="299">
        <f t="shared" si="1"/>
        <v>0.286534892262924</v>
      </c>
      <c r="K75" s="299">
        <f t="shared" si="2"/>
        <v>1.00000001331498</v>
      </c>
      <c r="L75" s="300">
        <f t="shared" si="3"/>
        <v>0.000163186887163047</v>
      </c>
      <c r="M75" s="299">
        <f t="shared" si="4"/>
        <v>1.00000057314599</v>
      </c>
      <c r="N75" s="300">
        <f t="shared" si="5"/>
        <v>-0.00107065000270438</v>
      </c>
      <c r="O75" s="298">
        <f t="shared" si="6"/>
        <v>546.487239588012</v>
      </c>
      <c r="P75" s="301">
        <f t="shared" si="7"/>
        <v>1.56896645688096</v>
      </c>
      <c r="Q75" s="320">
        <f t="shared" si="8"/>
        <v>1.0255966507891</v>
      </c>
      <c r="R75" s="321">
        <f t="shared" si="9"/>
        <v>0.223885355816664</v>
      </c>
      <c r="S75" s="298">
        <f t="shared" si="10"/>
        <v>1.00000115218801</v>
      </c>
      <c r="T75" s="301">
        <f t="shared" si="11"/>
        <v>0.00151801640245318</v>
      </c>
      <c r="U75" s="316">
        <f t="shared" si="27"/>
        <v>0.999595250134268</v>
      </c>
      <c r="V75" s="317">
        <f t="shared" si="28"/>
        <v>-0.00379503499756006</v>
      </c>
      <c r="W75" s="318">
        <f t="shared" si="12"/>
        <v>41.9670129873516</v>
      </c>
      <c r="X75" s="319">
        <f t="shared" si="13"/>
        <v>-93.8411195390655</v>
      </c>
      <c r="Y75" s="332">
        <f t="shared" si="14"/>
        <v>86.1588804609345</v>
      </c>
      <c r="AA75" s="22">
        <f t="shared" si="15"/>
        <v>1000000000</v>
      </c>
      <c r="AB75" s="22">
        <f t="shared" si="16"/>
        <v>91204</v>
      </c>
      <c r="AD75" s="331">
        <f t="shared" si="17"/>
        <v>40.6763710258085</v>
      </c>
      <c r="AE75" s="332">
        <f t="shared" si="18"/>
        <v>-77.154446215048</v>
      </c>
      <c r="AG75" s="331">
        <f t="shared" si="19"/>
        <v>26.6856175660987</v>
      </c>
      <c r="AH75" s="332">
        <f t="shared" si="20"/>
        <v>-16.2517943465914</v>
      </c>
      <c r="AJ75" s="22">
        <f t="shared" si="21"/>
        <v>0</v>
      </c>
      <c r="AK75" s="22">
        <f t="shared" si="35"/>
        <v>0</v>
      </c>
      <c r="AM75" s="22" t="str">
        <f t="shared" si="29"/>
        <v>0.0000146962480479518+0.00542146475744692i</v>
      </c>
      <c r="AN75" s="22" t="str">
        <f t="shared" si="30"/>
        <v>0.005421491316i</v>
      </c>
      <c r="AO75" s="22" t="str">
        <f t="shared" si="31"/>
        <v>0.999995101245851-0.00271073901835459i</v>
      </c>
      <c r="AP75" s="22" t="str">
        <f t="shared" si="32"/>
        <v>0.166664217291992-0.000903577459574487i</v>
      </c>
      <c r="AQ75" s="22" t="str">
        <f t="shared" si="33"/>
        <v>0.833335782708008+0.000903577459574487i</v>
      </c>
      <c r="AR75" s="22" t="str">
        <f t="shared" si="34"/>
        <v>0.999595886725542-0.00108385158860393i</v>
      </c>
    </row>
    <row r="76" spans="7:44">
      <c r="G76" s="257">
        <v>331.13</v>
      </c>
      <c r="H76" s="256">
        <f t="shared" si="26"/>
        <v>0.33113</v>
      </c>
      <c r="I76" s="298">
        <f t="shared" si="0"/>
        <v>1.05089006744164</v>
      </c>
      <c r="J76" s="299">
        <f t="shared" si="1"/>
        <v>0.312479277483946</v>
      </c>
      <c r="K76" s="299">
        <f t="shared" si="2"/>
        <v>1.00000001600751</v>
      </c>
      <c r="L76" s="300">
        <f t="shared" si="3"/>
        <v>0.000178927396852</v>
      </c>
      <c r="M76" s="299">
        <f t="shared" si="4"/>
        <v>1.0000006890463</v>
      </c>
      <c r="N76" s="300">
        <f t="shared" si="5"/>
        <v>-0.00117392154967725</v>
      </c>
      <c r="O76" s="298">
        <f t="shared" si="6"/>
        <v>599.199565183146</v>
      </c>
      <c r="P76" s="301">
        <f t="shared" si="7"/>
        <v>1.56912743295333</v>
      </c>
      <c r="Q76" s="320">
        <f t="shared" si="8"/>
        <v>1.03069548382017</v>
      </c>
      <c r="R76" s="321">
        <f t="shared" si="9"/>
        <v>0.244664415210436</v>
      </c>
      <c r="S76" s="298">
        <f t="shared" si="10"/>
        <v>1.00000138518083</v>
      </c>
      <c r="T76" s="301">
        <f t="shared" si="11"/>
        <v>0.00166443938167826</v>
      </c>
      <c r="U76" s="316">
        <f t="shared" si="27"/>
        <v>0.99959428963442</v>
      </c>
      <c r="V76" s="317">
        <f t="shared" si="28"/>
        <v>-0.00416109053388682</v>
      </c>
      <c r="W76" s="318">
        <f t="shared" si="12"/>
        <v>41.1406584223157</v>
      </c>
      <c r="X76" s="319">
        <f t="shared" si="13"/>
        <v>-94.1806721737592</v>
      </c>
      <c r="Y76" s="332">
        <f t="shared" si="14"/>
        <v>85.8193278262408</v>
      </c>
      <c r="AA76" s="22">
        <f t="shared" si="15"/>
        <v>1000000000</v>
      </c>
      <c r="AB76" s="22">
        <f t="shared" si="16"/>
        <v>109647.0769</v>
      </c>
      <c r="AD76" s="331">
        <f t="shared" si="17"/>
        <v>39.9196153083389</v>
      </c>
      <c r="AE76" s="332">
        <f t="shared" si="18"/>
        <v>-75.9815064764758</v>
      </c>
      <c r="AG76" s="331">
        <f t="shared" si="19"/>
        <v>26.616035410888</v>
      </c>
      <c r="AH76" s="332">
        <f t="shared" si="20"/>
        <v>-17.7223398452117</v>
      </c>
      <c r="AJ76" s="22">
        <f t="shared" si="21"/>
        <v>0</v>
      </c>
      <c r="AK76" s="22">
        <f t="shared" si="35"/>
        <v>0</v>
      </c>
      <c r="AM76" s="22" t="str">
        <f t="shared" si="29"/>
        <v>0.0000176680829979681+0.00594439684359365i</v>
      </c>
      <c r="AN76" s="22" t="str">
        <f t="shared" si="30"/>
        <v>0.00594443185254i</v>
      </c>
      <c r="AO76" s="22" t="str">
        <f t="shared" si="31"/>
        <v>0.999994110632064-0.0029722071740832i</v>
      </c>
      <c r="AP76" s="22" t="str">
        <f t="shared" si="32"/>
        <v>0.166663721986167-0.000990732807265608i</v>
      </c>
      <c r="AQ76" s="22" t="str">
        <f t="shared" si="33"/>
        <v>0.833336278013833+0.000990732807265608i</v>
      </c>
      <c r="AR76" s="22" t="str">
        <f t="shared" si="34"/>
        <v>0.999595054957523-0.00118839373858442i</v>
      </c>
    </row>
    <row r="77" spans="7:44">
      <c r="G77" s="257">
        <v>363.08</v>
      </c>
      <c r="H77" s="256">
        <f t="shared" si="26"/>
        <v>0.36308</v>
      </c>
      <c r="I77" s="298">
        <f t="shared" ref="I77:I140" si="36">SQRT(1+(G77/pole1)^2)</f>
        <v>1.0608875784136</v>
      </c>
      <c r="J77" s="299">
        <f t="shared" ref="J77:J140" si="37">ATAN(G77/pole1)</f>
        <v>0.340442678238648</v>
      </c>
      <c r="K77" s="299">
        <f t="shared" ref="K77:K140" si="38">SQRT(1+(G77/Zero1)^2)</f>
        <v>1.00000001924559</v>
      </c>
      <c r="L77" s="300">
        <f t="shared" ref="L77:L140" si="39">ATAN(G77/Zero1)</f>
        <v>0.000196191704493047</v>
      </c>
      <c r="M77" s="299">
        <f t="shared" ref="M77:M140" si="40">SQRT(1+(G77/z_RHP)^2)</f>
        <v>1.00000082843029</v>
      </c>
      <c r="N77" s="300">
        <f t="shared" ref="N77:N140" si="41">-ATAN(G77/z_RHP)</f>
        <v>-0.00128719051928442</v>
      </c>
      <c r="O77" s="298">
        <f t="shared" ref="O77:O140" si="42">SQRT(1+(G77/Pole2)^2)</f>
        <v>657.01484961076</v>
      </c>
      <c r="P77" s="301">
        <f t="shared" ref="P77:P140" si="43">ATAN(G77/Pole2)</f>
        <v>1.56927429059329</v>
      </c>
      <c r="Q77" s="320">
        <f t="shared" ref="Q77:Q140" si="44">SQRT(1+(G77/Zero2)^2)</f>
        <v>1.03679423054656</v>
      </c>
      <c r="R77" s="321">
        <f t="shared" ref="R77:R140" si="45">ATAN(G77/Zero2)</f>
        <v>0.26720918586698</v>
      </c>
      <c r="S77" s="298">
        <f t="shared" ref="S77:S140" si="46">SQRT(1+(G77/pole4)^2)</f>
        <v>1.00000166538254</v>
      </c>
      <c r="T77" s="301">
        <f t="shared" ref="T77:T140" si="47">ATAN(G77/pole4)</f>
        <v>0.00182503710872269</v>
      </c>
      <c r="U77" s="316">
        <f t="shared" si="27"/>
        <v>0.999593134521754</v>
      </c>
      <c r="V77" s="317">
        <f t="shared" si="28"/>
        <v>-0.00456258233049365</v>
      </c>
      <c r="W77" s="318">
        <f t="shared" ref="W77:W140" si="48">20*LOG10(((K77*Q77*M77*U77)/(I77*O77*S77))*Adc)</f>
        <v>40.3095757034939</v>
      </c>
      <c r="X77" s="319">
        <f t="shared" ref="X77:X140" si="49">((L77+R77+N77+V77)-(J77+P77+T77))*radconv</f>
        <v>-94.5372571518506</v>
      </c>
      <c r="Y77" s="332">
        <f t="shared" ref="Y77:Y140" si="50">IF(X77&gt;0,X77,X77+180)</f>
        <v>85.4627428481494</v>
      </c>
      <c r="AA77" s="22">
        <f t="shared" ref="AA77:AA140" si="51">IF(W77&lt;0,G77,1000000000)</f>
        <v>1000000000</v>
      </c>
      <c r="AB77" s="22">
        <f t="shared" ref="AB77:AB140" si="52">G77^2</f>
        <v>131827.0864</v>
      </c>
      <c r="AD77" s="331">
        <f t="shared" ref="AD77:AD140" si="53">20*LOG10((Q77/(O77*S77))*Aea)</f>
        <v>39.1707829306699</v>
      </c>
      <c r="AE77" s="332">
        <f t="shared" ref="AE77:AE140" si="54">(R77-(P77+T77))*radconv</f>
        <v>-74.7074021612275</v>
      </c>
      <c r="AG77" s="331">
        <f t="shared" ref="AG77:AG140" si="55">20*LOG10((K77*M77/(I77*U77))*Acs*Am)</f>
        <v>26.5338051442536</v>
      </c>
      <c r="AH77" s="332">
        <f t="shared" ref="AH77:AH140" si="56">(L77+N77-(J77+V77))*radconv</f>
        <v>-19.3070215675894</v>
      </c>
      <c r="AJ77" s="22">
        <f t="shared" ref="AJ77:AJ140" si="57">SUM((W78&lt;0)*(W77&gt;0))*G77</f>
        <v>0</v>
      </c>
      <c r="AK77" s="22">
        <f t="shared" ref="AK77:AK89" si="58">IF(AJ77&gt;0,Y75,0)</f>
        <v>0</v>
      </c>
      <c r="AM77" s="22" t="str">
        <f t="shared" si="29"/>
        <v>0.0000212420666589885+0.00651795075866636i</v>
      </c>
      <c r="AN77" s="22" t="str">
        <f t="shared" si="30"/>
        <v>0.00651799691064i</v>
      </c>
      <c r="AO77" s="22" t="str">
        <f t="shared" si="31"/>
        <v>0.999992919301087-0.00325898691733236i</v>
      </c>
      <c r="AP77" s="22" t="str">
        <f t="shared" si="32"/>
        <v>0.166663126322223-0.00108632512644439i</v>
      </c>
      <c r="AQ77" s="22" t="str">
        <f t="shared" si="33"/>
        <v>0.833336873677777+0.00108632512644439i</v>
      </c>
      <c r="AR77" s="22" t="str">
        <f t="shared" si="34"/>
        <v>0.999594054661066-0.00130305542946923i</v>
      </c>
    </row>
    <row r="78" spans="7:44">
      <c r="G78" s="257">
        <v>398.11</v>
      </c>
      <c r="H78" s="256">
        <f t="shared" ref="H78:H141" si="59">G78/1000</f>
        <v>0.39811</v>
      </c>
      <c r="I78" s="298">
        <f t="shared" si="36"/>
        <v>1.07278311860386</v>
      </c>
      <c r="J78" s="299">
        <f t="shared" si="37"/>
        <v>0.370476687543895</v>
      </c>
      <c r="K78" s="299">
        <f t="shared" si="38"/>
        <v>1.00000002313837</v>
      </c>
      <c r="L78" s="300">
        <f t="shared" si="39"/>
        <v>0.000215120302062982</v>
      </c>
      <c r="M78" s="299">
        <f t="shared" si="40"/>
        <v>1.00000099599567</v>
      </c>
      <c r="N78" s="300">
        <f t="shared" si="41"/>
        <v>-0.00141137865039985</v>
      </c>
      <c r="O78" s="298">
        <f t="shared" si="42"/>
        <v>720.403577193248</v>
      </c>
      <c r="P78" s="301">
        <f t="shared" si="43"/>
        <v>1.56940821552949</v>
      </c>
      <c r="Q78" s="320">
        <f t="shared" si="44"/>
        <v>1.04407889977915</v>
      </c>
      <c r="R78" s="321">
        <f t="shared" si="45"/>
        <v>0.291610794677062</v>
      </c>
      <c r="S78" s="298">
        <f t="shared" si="46"/>
        <v>1.00000200223686</v>
      </c>
      <c r="T78" s="301">
        <f t="shared" si="47"/>
        <v>0.00200111644868717</v>
      </c>
      <c r="U78" s="316">
        <f t="shared" ref="U78:U141" si="60">IMABS(IMPRODUCT(AO78,AR78))</f>
        <v>0.99959174586708</v>
      </c>
      <c r="V78" s="317">
        <f t="shared" ref="V78:V141" si="61">IMARGUMENT(IMPRODUCT(AO78,AR78))</f>
        <v>-0.00500277735737133</v>
      </c>
      <c r="W78" s="318">
        <f t="shared" si="48"/>
        <v>39.4735123122701</v>
      </c>
      <c r="X78" s="319">
        <f t="shared" si="49"/>
        <v>-94.9089841100594</v>
      </c>
      <c r="Y78" s="332">
        <f t="shared" si="50"/>
        <v>85.0910158899406</v>
      </c>
      <c r="AA78" s="22">
        <f t="shared" si="51"/>
        <v>1000000000</v>
      </c>
      <c r="AB78" s="22">
        <f t="shared" si="52"/>
        <v>158491.5721</v>
      </c>
      <c r="AD78" s="331">
        <f t="shared" si="53"/>
        <v>38.4315814443755</v>
      </c>
      <c r="AE78" s="332">
        <f t="shared" si="54"/>
        <v>-73.3270548981582</v>
      </c>
      <c r="AG78" s="331">
        <f t="shared" si="55"/>
        <v>26.4369673725623</v>
      </c>
      <c r="AH78" s="332">
        <f t="shared" si="56"/>
        <v>-21.008653154404</v>
      </c>
      <c r="AJ78" s="22">
        <f t="shared" si="57"/>
        <v>0</v>
      </c>
      <c r="AK78" s="22">
        <f t="shared" si="58"/>
        <v>0</v>
      </c>
      <c r="AM78" s="22" t="str">
        <f t="shared" ref="AM78:AM141" si="62">IMSUB(1,IMEXP(COMPLEX(0,-2*Pi*G78*Tsw)))</f>
        <v>0.000025538652340007+0.00714679315893654i</v>
      </c>
      <c r="AN78" s="22" t="str">
        <f t="shared" ref="AN78:AN141" si="63">COMPLEX(0,2*Pi*G78*Tsw)</f>
        <v>0.00714685399938i</v>
      </c>
      <c r="AO78" s="22" t="str">
        <f t="shared" ref="AO78:AO141" si="64">IMDIV(AM78,AN78)</f>
        <v>0.999991487101393-0.00357341178961016i</v>
      </c>
      <c r="AP78" s="22" t="str">
        <f t="shared" ref="AP78:AP141" si="65">IMDIV(IMEXP(COMPLEX(0,-2*Pi*G78*Tsw)),6)</f>
        <v>0.16666241022461-0.00119113219315609i</v>
      </c>
      <c r="AQ78" s="22" t="str">
        <f t="shared" ref="AQ78:AQ141" si="66">IMSUB(1,AP78)</f>
        <v>0.83333758977539+0.00119113219315609i</v>
      </c>
      <c r="AR78" s="22" t="str">
        <f t="shared" ref="AR78:AR141" si="67">IMDIV(0.833,AQ78)</f>
        <v>0.999592852125296-0.00142876937368933i</v>
      </c>
    </row>
    <row r="79" spans="7:44">
      <c r="G79" s="257">
        <v>436.52</v>
      </c>
      <c r="H79" s="256">
        <f t="shared" si="59"/>
        <v>0.43652</v>
      </c>
      <c r="I79" s="298">
        <f t="shared" si="36"/>
        <v>1.08691253079111</v>
      </c>
      <c r="J79" s="299">
        <f t="shared" si="37"/>
        <v>0.402620822815288</v>
      </c>
      <c r="K79" s="299">
        <f t="shared" si="38"/>
        <v>1.00000002781858</v>
      </c>
      <c r="L79" s="300">
        <f t="shared" si="39"/>
        <v>0.000235875295680939</v>
      </c>
      <c r="M79" s="299">
        <f t="shared" si="40"/>
        <v>1.0000011974559</v>
      </c>
      <c r="N79" s="300">
        <f t="shared" si="41"/>
        <v>-0.00154754948563677</v>
      </c>
      <c r="O79" s="298">
        <f t="shared" si="42"/>
        <v>789.908614565796</v>
      </c>
      <c r="P79" s="301">
        <f t="shared" si="43"/>
        <v>1.56953035722744</v>
      </c>
      <c r="Q79" s="320">
        <f t="shared" si="44"/>
        <v>1.05277037133029</v>
      </c>
      <c r="R79" s="321">
        <f t="shared" si="45"/>
        <v>0.317961285431339</v>
      </c>
      <c r="S79" s="298">
        <f t="shared" si="46"/>
        <v>1.00000240722943</v>
      </c>
      <c r="T79" s="301">
        <f t="shared" si="47"/>
        <v>0.00219418531645344</v>
      </c>
      <c r="U79" s="316">
        <f t="shared" si="60"/>
        <v>0.999590076324655</v>
      </c>
      <c r="V79" s="317">
        <f t="shared" si="61"/>
        <v>-0.00548544514609595</v>
      </c>
      <c r="W79" s="318">
        <f t="shared" si="48"/>
        <v>38.6318296870944</v>
      </c>
      <c r="X79" s="319">
        <f t="shared" si="49"/>
        <v>-95.2932633922164</v>
      </c>
      <c r="Y79" s="332">
        <f t="shared" si="50"/>
        <v>84.7067366077836</v>
      </c>
      <c r="AA79" s="22">
        <f t="shared" si="51"/>
        <v>1000000000</v>
      </c>
      <c r="AB79" s="22">
        <f t="shared" si="52"/>
        <v>190549.7104</v>
      </c>
      <c r="AD79" s="331">
        <f t="shared" si="53"/>
        <v>37.7035648334506</v>
      </c>
      <c r="AE79" s="332">
        <f t="shared" si="54"/>
        <v>-71.8353432232086</v>
      </c>
      <c r="AG79" s="331">
        <f t="shared" si="55"/>
        <v>26.3233303731036</v>
      </c>
      <c r="AH79" s="332">
        <f t="shared" si="56"/>
        <v>-22.8293344570457</v>
      </c>
      <c r="AJ79" s="22">
        <f t="shared" si="57"/>
        <v>0</v>
      </c>
      <c r="AK79" s="22">
        <f t="shared" si="58"/>
        <v>0</v>
      </c>
      <c r="AM79" s="22" t="str">
        <f t="shared" si="62"/>
        <v>0.0000307043368500404+0.00783630850228965i</v>
      </c>
      <c r="AN79" s="22" t="str">
        <f t="shared" si="63"/>
        <v>0.00783638870616i</v>
      </c>
      <c r="AO79" s="22" t="str">
        <f t="shared" si="64"/>
        <v>0.999989765200099-0.00391817430213798i</v>
      </c>
      <c r="AP79" s="22" t="str">
        <f t="shared" si="65"/>
        <v>0.166661549277192-0.00130605141704827i</v>
      </c>
      <c r="AQ79" s="22" t="str">
        <f t="shared" si="66"/>
        <v>0.833338450722808+0.00130605141704827i</v>
      </c>
      <c r="AR79" s="22" t="str">
        <f t="shared" si="67"/>
        <v>0.999591406351222-0.00156661170692643i</v>
      </c>
    </row>
    <row r="80" spans="7:44">
      <c r="G80" s="257">
        <v>478.63</v>
      </c>
      <c r="H80" s="256">
        <f t="shared" si="59"/>
        <v>0.47863</v>
      </c>
      <c r="I80" s="298">
        <f t="shared" si="36"/>
        <v>1.1036580502622</v>
      </c>
      <c r="J80" s="299">
        <f t="shared" si="37"/>
        <v>0.436876316030543</v>
      </c>
      <c r="K80" s="299">
        <f t="shared" si="38"/>
        <v>1.00000003344464</v>
      </c>
      <c r="L80" s="300">
        <f t="shared" si="39"/>
        <v>0.000258629598525439</v>
      </c>
      <c r="M80" s="299">
        <f t="shared" si="40"/>
        <v>1.00000143963042</v>
      </c>
      <c r="N80" s="300">
        <f t="shared" si="41"/>
        <v>-0.00169683746615067</v>
      </c>
      <c r="O80" s="298">
        <f t="shared" si="42"/>
        <v>866.109019574755</v>
      </c>
      <c r="P80" s="301">
        <f t="shared" si="43"/>
        <v>1.56964173747695</v>
      </c>
      <c r="Q80" s="320">
        <f t="shared" si="44"/>
        <v>1.06312431280505</v>
      </c>
      <c r="R80" s="321">
        <f t="shared" si="45"/>
        <v>0.34633308725705</v>
      </c>
      <c r="S80" s="298">
        <f t="shared" si="46"/>
        <v>1.00000289406924</v>
      </c>
      <c r="T80" s="301">
        <f t="shared" si="47"/>
        <v>0.00240585214230985</v>
      </c>
      <c r="U80" s="316">
        <f t="shared" si="60"/>
        <v>0.99958806938452</v>
      </c>
      <c r="V80" s="317">
        <f t="shared" si="61"/>
        <v>-0.00601460643664951</v>
      </c>
      <c r="W80" s="318">
        <f t="shared" si="48"/>
        <v>37.7841050803523</v>
      </c>
      <c r="X80" s="319">
        <f t="shared" si="49"/>
        <v>-95.6864518655737</v>
      </c>
      <c r="Y80" s="332">
        <f t="shared" si="50"/>
        <v>84.3135481344263</v>
      </c>
      <c r="AA80" s="22">
        <f t="shared" si="51"/>
        <v>1000000000</v>
      </c>
      <c r="AB80" s="22">
        <f t="shared" si="52"/>
        <v>229086.6769</v>
      </c>
      <c r="AD80" s="331">
        <f t="shared" si="53"/>
        <v>36.9886543090953</v>
      </c>
      <c r="AE80" s="332">
        <f t="shared" si="54"/>
        <v>-70.22826795358</v>
      </c>
      <c r="AG80" s="331">
        <f t="shared" si="55"/>
        <v>26.1905511691704</v>
      </c>
      <c r="AH80" s="332">
        <f t="shared" si="56"/>
        <v>-24.7689607827015</v>
      </c>
      <c r="AJ80" s="22">
        <f t="shared" si="57"/>
        <v>0</v>
      </c>
      <c r="AK80" s="22">
        <f t="shared" si="58"/>
        <v>0</v>
      </c>
      <c r="AM80" s="22" t="str">
        <f t="shared" si="62"/>
        <v>0.0000369139748399583+0.00859223993140267i</v>
      </c>
      <c r="AN80" s="22" t="str">
        <f t="shared" si="63"/>
        <v>0.00859234565754i</v>
      </c>
      <c r="AO80" s="22" t="str">
        <f t="shared" si="64"/>
        <v>0.999987695311438-0.00429614639717914i</v>
      </c>
      <c r="AP80" s="22" t="str">
        <f t="shared" si="65"/>
        <v>0.166660514337527-0.00143203998856711i</v>
      </c>
      <c r="AQ80" s="22" t="str">
        <f t="shared" si="66"/>
        <v>0.833339485662473+0.00143203998856711i</v>
      </c>
      <c r="AR80" s="22" t="str">
        <f t="shared" si="67"/>
        <v>0.999589668404473-0.00171773017112683i</v>
      </c>
    </row>
    <row r="81" spans="7:44">
      <c r="G81" s="257">
        <v>524.81</v>
      </c>
      <c r="H81" s="256">
        <f t="shared" si="59"/>
        <v>0.52481</v>
      </c>
      <c r="I81" s="298">
        <f t="shared" si="36"/>
        <v>1.12346327664994</v>
      </c>
      <c r="J81" s="299">
        <f t="shared" si="37"/>
        <v>0.473221368977867</v>
      </c>
      <c r="K81" s="299">
        <f t="shared" si="38"/>
        <v>1.0000000402097</v>
      </c>
      <c r="L81" s="300">
        <f t="shared" si="39"/>
        <v>0.000283583141445336</v>
      </c>
      <c r="M81" s="299">
        <f t="shared" si="40"/>
        <v>1.00000173083362</v>
      </c>
      <c r="N81" s="300">
        <f t="shared" si="41"/>
        <v>-0.00186055428562724</v>
      </c>
      <c r="O81" s="298">
        <f t="shared" si="42"/>
        <v>949.674327956809</v>
      </c>
      <c r="P81" s="301">
        <f t="shared" si="43"/>
        <v>1.56974333404216</v>
      </c>
      <c r="Q81" s="320">
        <f t="shared" si="44"/>
        <v>1.07544244199224</v>
      </c>
      <c r="R81" s="321">
        <f t="shared" si="45"/>
        <v>0.376791759944843</v>
      </c>
      <c r="S81" s="298">
        <f t="shared" si="46"/>
        <v>1.00000347947053</v>
      </c>
      <c r="T81" s="301">
        <f t="shared" si="47"/>
        <v>0.00263797666266041</v>
      </c>
      <c r="U81" s="316">
        <f t="shared" si="60"/>
        <v>0.999585656150147</v>
      </c>
      <c r="V81" s="317">
        <f t="shared" si="61"/>
        <v>-0.00659491012479109</v>
      </c>
      <c r="W81" s="318">
        <f t="shared" si="48"/>
        <v>36.9296143995022</v>
      </c>
      <c r="X81" s="319">
        <f t="shared" si="49"/>
        <v>-96.0840369235098</v>
      </c>
      <c r="Y81" s="332">
        <f t="shared" si="50"/>
        <v>83.9159630764902</v>
      </c>
      <c r="AA81" s="22">
        <f t="shared" si="51"/>
        <v>1000000000</v>
      </c>
      <c r="AB81" s="22">
        <f t="shared" si="52"/>
        <v>275425.5361</v>
      </c>
      <c r="AD81" s="331">
        <f t="shared" si="53"/>
        <v>36.2886689194686</v>
      </c>
      <c r="AE81" s="332">
        <f t="shared" si="54"/>
        <v>-68.502235366764</v>
      </c>
      <c r="AG81" s="331">
        <f t="shared" si="55"/>
        <v>26.0360878174487</v>
      </c>
      <c r="AH81" s="332">
        <f t="shared" si="56"/>
        <v>-26.826080523045</v>
      </c>
      <c r="AJ81" s="22">
        <f t="shared" si="57"/>
        <v>0</v>
      </c>
      <c r="AK81" s="22">
        <f t="shared" si="58"/>
        <v>0</v>
      </c>
      <c r="AM81" s="22" t="str">
        <f t="shared" si="62"/>
        <v>0.0000443807505300375+0.00942122770178698i</v>
      </c>
      <c r="AN81" s="22" t="str">
        <f t="shared" si="63"/>
        <v>0.00942136707798i</v>
      </c>
      <c r="AO81" s="22" t="str">
        <f t="shared" si="64"/>
        <v>0.99998520637272-0.00471064869489758i</v>
      </c>
      <c r="AP81" s="22" t="str">
        <f t="shared" si="65"/>
        <v>0.166659269874912-0.0015702046169645i</v>
      </c>
      <c r="AQ81" s="22" t="str">
        <f t="shared" si="66"/>
        <v>0.833340730125088+0.0015702046169645i</v>
      </c>
      <c r="AR81" s="22" t="str">
        <f t="shared" si="67"/>
        <v>0.999587578625106-0.00188345171942083i</v>
      </c>
    </row>
    <row r="82" spans="7:44">
      <c r="G82" s="257">
        <v>575.44</v>
      </c>
      <c r="H82" s="256">
        <f t="shared" si="59"/>
        <v>0.57544</v>
      </c>
      <c r="I82" s="298">
        <f t="shared" si="36"/>
        <v>1.1468192381272</v>
      </c>
      <c r="J82" s="299">
        <f t="shared" si="37"/>
        <v>0.511569985755734</v>
      </c>
      <c r="K82" s="299">
        <f t="shared" si="38"/>
        <v>1.00000004834224</v>
      </c>
      <c r="L82" s="300">
        <f t="shared" si="39"/>
        <v>0.000310941258795688</v>
      </c>
      <c r="M82" s="299">
        <f t="shared" si="40"/>
        <v>1.00000208089965</v>
      </c>
      <c r="N82" s="300">
        <f t="shared" si="41"/>
        <v>-0.00204004708038948</v>
      </c>
      <c r="O82" s="298">
        <f t="shared" si="42"/>
        <v>1041.29217109396</v>
      </c>
      <c r="P82" s="301">
        <f t="shared" si="43"/>
        <v>1.56983598138804</v>
      </c>
      <c r="Q82" s="320">
        <f t="shared" si="44"/>
        <v>1.09006628761084</v>
      </c>
      <c r="R82" s="321">
        <f t="shared" si="45"/>
        <v>0.40936085885873</v>
      </c>
      <c r="S82" s="298">
        <f t="shared" si="46"/>
        <v>1.00000418320261</v>
      </c>
      <c r="T82" s="301">
        <f t="shared" si="47"/>
        <v>0.00289246885270455</v>
      </c>
      <c r="U82" s="316">
        <f t="shared" si="60"/>
        <v>0.999582755133702</v>
      </c>
      <c r="V82" s="317">
        <f t="shared" si="61"/>
        <v>-0.00723113056541242</v>
      </c>
      <c r="W82" s="318">
        <f t="shared" si="48"/>
        <v>36.0682210465638</v>
      </c>
      <c r="X82" s="319">
        <f t="shared" si="49"/>
        <v>-96.4802379565205</v>
      </c>
      <c r="Y82" s="332">
        <f t="shared" si="50"/>
        <v>83.5197620434795</v>
      </c>
      <c r="AA82" s="22">
        <f t="shared" si="51"/>
        <v>1000000000</v>
      </c>
      <c r="AB82" s="22">
        <f t="shared" si="52"/>
        <v>331131.1936</v>
      </c>
      <c r="AD82" s="331">
        <f t="shared" si="53"/>
        <v>35.6060194393278</v>
      </c>
      <c r="AE82" s="332">
        <f t="shared" si="54"/>
        <v>-66.656053084655</v>
      </c>
      <c r="AG82" s="331">
        <f t="shared" si="55"/>
        <v>25.8573943614314</v>
      </c>
      <c r="AH82" s="332">
        <f t="shared" si="56"/>
        <v>-28.9955583459061</v>
      </c>
      <c r="AJ82" s="22">
        <f t="shared" si="57"/>
        <v>0</v>
      </c>
      <c r="AK82" s="22">
        <f t="shared" si="58"/>
        <v>0</v>
      </c>
      <c r="AM82" s="22" t="str">
        <f t="shared" si="62"/>
        <v>0.0000533568133089801+0.0103300909806867i</v>
      </c>
      <c r="AN82" s="22" t="str">
        <f t="shared" si="63"/>
        <v>0.01033027471152i</v>
      </c>
      <c r="AO82" s="22" t="str">
        <f t="shared" si="64"/>
        <v>0.999982214332297-0.00516509142292976i</v>
      </c>
      <c r="AP82" s="22" t="str">
        <f t="shared" si="65"/>
        <v>0.166657773864448-0.00172168183011445i</v>
      </c>
      <c r="AQ82" s="22" t="str">
        <f t="shared" si="66"/>
        <v>0.833342226135552+0.00172168183011445i</v>
      </c>
      <c r="AR82" s="22" t="str">
        <f t="shared" si="67"/>
        <v>0.999585066450703-0.00206513889802818i</v>
      </c>
    </row>
    <row r="83" spans="7:44">
      <c r="G83" s="257">
        <v>630.96</v>
      </c>
      <c r="H83" s="256">
        <f t="shared" si="59"/>
        <v>0.63096</v>
      </c>
      <c r="I83" s="298">
        <f t="shared" si="36"/>
        <v>1.1742870527227</v>
      </c>
      <c r="J83" s="299">
        <f t="shared" si="37"/>
        <v>0.551803369890116</v>
      </c>
      <c r="K83" s="299">
        <f t="shared" si="38"/>
        <v>1.00000005812063</v>
      </c>
      <c r="L83" s="300">
        <f t="shared" si="39"/>
        <v>0.000340941706121871</v>
      </c>
      <c r="M83" s="299">
        <f t="shared" si="40"/>
        <v>1.00000250181163</v>
      </c>
      <c r="N83" s="300">
        <f t="shared" si="41"/>
        <v>-0.00223687568581945</v>
      </c>
      <c r="O83" s="298">
        <f t="shared" si="42"/>
        <v>1141.75875382471</v>
      </c>
      <c r="P83" s="301">
        <f t="shared" si="43"/>
        <v>1.56992048491981</v>
      </c>
      <c r="Q83" s="320">
        <f t="shared" si="44"/>
        <v>1.10739402960027</v>
      </c>
      <c r="R83" s="321">
        <f t="shared" si="45"/>
        <v>0.444045928323748</v>
      </c>
      <c r="S83" s="298">
        <f t="shared" si="46"/>
        <v>1.00000502935484</v>
      </c>
      <c r="T83" s="301">
        <f t="shared" si="47"/>
        <v>0.00317154024364467</v>
      </c>
      <c r="U83" s="316">
        <f t="shared" si="60"/>
        <v>0.999579267043321</v>
      </c>
      <c r="V83" s="317">
        <f t="shared" si="61"/>
        <v>-0.00792879581370807</v>
      </c>
      <c r="W83" s="318">
        <f t="shared" si="48"/>
        <v>35.1995515204668</v>
      </c>
      <c r="X83" s="319">
        <f t="shared" si="49"/>
        <v>-96.8684961031409</v>
      </c>
      <c r="Y83" s="332">
        <f t="shared" si="50"/>
        <v>83.1315038968591</v>
      </c>
      <c r="AA83" s="22">
        <f t="shared" si="51"/>
        <v>1000000000</v>
      </c>
      <c r="AB83" s="22">
        <f t="shared" si="52"/>
        <v>398110.5216</v>
      </c>
      <c r="AD83" s="331">
        <f t="shared" si="53"/>
        <v>34.9429625384768</v>
      </c>
      <c r="AE83" s="332">
        <f t="shared" si="54"/>
        <v>-64.6895762985525</v>
      </c>
      <c r="AG83" s="331">
        <f t="shared" si="55"/>
        <v>25.6518423559207</v>
      </c>
      <c r="AH83" s="332">
        <f t="shared" si="56"/>
        <v>-31.2703467300571</v>
      </c>
      <c r="AJ83" s="22">
        <f t="shared" si="57"/>
        <v>0</v>
      </c>
      <c r="AK83" s="22">
        <f t="shared" si="58"/>
        <v>0</v>
      </c>
      <c r="AM83" s="22" t="str">
        <f t="shared" si="62"/>
        <v>0.0000641494095939832+0.0113267252125533i</v>
      </c>
      <c r="AN83" s="22" t="str">
        <f t="shared" si="63"/>
        <v>0.01132696741968i</v>
      </c>
      <c r="AO83" s="22" t="str">
        <f t="shared" si="64"/>
        <v>0.999978616772016-0.00566342315795197i</v>
      </c>
      <c r="AP83" s="22" t="str">
        <f t="shared" si="65"/>
        <v>0.166655975098401-0.00188778753542555i</v>
      </c>
      <c r="AQ83" s="22" t="str">
        <f t="shared" si="66"/>
        <v>0.833344024901599+0.00188778753542555i</v>
      </c>
      <c r="AR83" s="22" t="str">
        <f t="shared" si="67"/>
        <v>0.999582045902885-0.00226436918067956i</v>
      </c>
    </row>
    <row r="84" spans="7:44">
      <c r="G84" s="257">
        <v>691.83</v>
      </c>
      <c r="H84" s="256">
        <f t="shared" si="59"/>
        <v>0.69183</v>
      </c>
      <c r="I84" s="298">
        <f t="shared" si="36"/>
        <v>1.20647962792877</v>
      </c>
      <c r="J84" s="299">
        <f t="shared" si="37"/>
        <v>0.593733429164233</v>
      </c>
      <c r="K84" s="299">
        <f t="shared" si="38"/>
        <v>1.00000006987558</v>
      </c>
      <c r="L84" s="300">
        <f t="shared" si="39"/>
        <v>0.000373833045989981</v>
      </c>
      <c r="M84" s="299">
        <f t="shared" si="40"/>
        <v>1.00000300780463</v>
      </c>
      <c r="N84" s="300">
        <f t="shared" si="41"/>
        <v>-0.002452670824922</v>
      </c>
      <c r="O84" s="298">
        <f t="shared" si="42"/>
        <v>1251.90647218743</v>
      </c>
      <c r="P84" s="301">
        <f t="shared" si="43"/>
        <v>1.56999754499405</v>
      </c>
      <c r="Q84" s="320">
        <f t="shared" si="44"/>
        <v>1.12787201419316</v>
      </c>
      <c r="R84" s="321">
        <f t="shared" si="45"/>
        <v>0.480799554851551</v>
      </c>
      <c r="S84" s="298">
        <f t="shared" si="46"/>
        <v>1.00000604654351</v>
      </c>
      <c r="T84" s="301">
        <f t="shared" si="47"/>
        <v>0.00347750285096717</v>
      </c>
      <c r="U84" s="316">
        <f t="shared" si="60"/>
        <v>0.999575073931857</v>
      </c>
      <c r="V84" s="317">
        <f t="shared" si="61"/>
        <v>-0.00869368489468461</v>
      </c>
      <c r="W84" s="318">
        <f t="shared" si="48"/>
        <v>34.3237985020873</v>
      </c>
      <c r="X84" s="319">
        <f t="shared" si="49"/>
        <v>-97.241333967864</v>
      </c>
      <c r="Y84" s="332">
        <f t="shared" si="50"/>
        <v>82.758666032136</v>
      </c>
      <c r="AA84" s="22">
        <f t="shared" si="51"/>
        <v>1000000000</v>
      </c>
      <c r="AB84" s="22">
        <f t="shared" si="52"/>
        <v>478628.7489</v>
      </c>
      <c r="AD84" s="331">
        <f t="shared" si="53"/>
        <v>34.3021558688497</v>
      </c>
      <c r="AE84" s="332">
        <f t="shared" si="54"/>
        <v>-62.6056941974398</v>
      </c>
      <c r="AG84" s="331">
        <f t="shared" si="55"/>
        <v>25.4169688797878</v>
      </c>
      <c r="AH84" s="332">
        <f t="shared" si="56"/>
        <v>-33.6394168635219</v>
      </c>
      <c r="AJ84" s="22">
        <f t="shared" si="57"/>
        <v>0</v>
      </c>
      <c r="AK84" s="22">
        <f t="shared" si="58"/>
        <v>0</v>
      </c>
      <c r="AM84" s="22" t="str">
        <f t="shared" si="62"/>
        <v>0.0000771235212250199+0.0124193838177531i</v>
      </c>
      <c r="AN84" s="22" t="str">
        <f t="shared" si="63"/>
        <v>0.01241970310314i</v>
      </c>
      <c r="AO84" s="22" t="str">
        <f t="shared" si="64"/>
        <v>0.999974292027414-0.0062097717300119i</v>
      </c>
      <c r="AP84" s="22" t="str">
        <f t="shared" si="65"/>
        <v>0.166653812746462-0.00206989730295885i</v>
      </c>
      <c r="AQ84" s="22" t="str">
        <f t="shared" si="66"/>
        <v>0.833346187253538+0.00206989730295885i</v>
      </c>
      <c r="AR84" s="22" t="str">
        <f t="shared" si="67"/>
        <v>0.999578414850958-0.00248279130167352i</v>
      </c>
    </row>
    <row r="85" spans="7:44">
      <c r="G85" s="257">
        <v>758.58</v>
      </c>
      <c r="H85" s="256">
        <f t="shared" si="59"/>
        <v>0.75858</v>
      </c>
      <c r="I85" s="298">
        <f t="shared" si="36"/>
        <v>1.2440853713909</v>
      </c>
      <c r="J85" s="299">
        <f t="shared" si="37"/>
        <v>0.637135117535224</v>
      </c>
      <c r="K85" s="299">
        <f t="shared" si="38"/>
        <v>1.00000008400969</v>
      </c>
      <c r="L85" s="300">
        <f t="shared" si="39"/>
        <v>0.000409901665662022</v>
      </c>
      <c r="M85" s="299">
        <f t="shared" si="40"/>
        <v>1.0000036162087</v>
      </c>
      <c r="N85" s="300">
        <f t="shared" si="41"/>
        <v>-0.00268931136222538</v>
      </c>
      <c r="O85" s="298">
        <f t="shared" si="42"/>
        <v>1372.6943912509</v>
      </c>
      <c r="P85" s="301">
        <f t="shared" si="43"/>
        <v>1.57006783245936</v>
      </c>
      <c r="Q85" s="320">
        <f t="shared" si="44"/>
        <v>1.1520127986072</v>
      </c>
      <c r="R85" s="321">
        <f t="shared" si="45"/>
        <v>0.519543506805524</v>
      </c>
      <c r="S85" s="298">
        <f t="shared" si="46"/>
        <v>1.00000726960665</v>
      </c>
      <c r="T85" s="301">
        <f t="shared" si="47"/>
        <v>0.00381302048446431</v>
      </c>
      <c r="U85" s="316">
        <f t="shared" si="60"/>
        <v>0.999570032213741</v>
      </c>
      <c r="V85" s="317">
        <f t="shared" si="61"/>
        <v>-0.00953245598939175</v>
      </c>
      <c r="W85" s="318">
        <f t="shared" si="48"/>
        <v>33.4410558436867</v>
      </c>
      <c r="X85" s="319">
        <f t="shared" si="49"/>
        <v>-97.591003494583</v>
      </c>
      <c r="Y85" s="332">
        <f t="shared" si="50"/>
        <v>82.408996505417</v>
      </c>
      <c r="AA85" s="22">
        <f t="shared" si="51"/>
        <v>1000000000</v>
      </c>
      <c r="AB85" s="22">
        <f t="shared" si="52"/>
        <v>575443.6164</v>
      </c>
      <c r="AD85" s="331">
        <f t="shared" si="53"/>
        <v>33.6860554226083</v>
      </c>
      <c r="AE85" s="332">
        <f t="shared" si="54"/>
        <v>-60.4090801857758</v>
      </c>
      <c r="AG85" s="331">
        <f t="shared" si="55"/>
        <v>25.1504142886963</v>
      </c>
      <c r="AH85" s="332">
        <f t="shared" si="56"/>
        <v>-36.0895843143863</v>
      </c>
      <c r="AJ85" s="22">
        <f t="shared" si="57"/>
        <v>0</v>
      </c>
      <c r="AK85" s="22">
        <f t="shared" si="58"/>
        <v>0</v>
      </c>
      <c r="AM85" s="22" t="str">
        <f t="shared" si="62"/>
        <v>0.0000927234786329834+0.0136175753943751i</v>
      </c>
      <c r="AN85" s="22" t="str">
        <f t="shared" si="63"/>
        <v>0.01361799629964i</v>
      </c>
      <c r="AO85" s="22" t="str">
        <f t="shared" si="64"/>
        <v>0.999969091982724-0.00680889292321475i</v>
      </c>
      <c r="AP85" s="22" t="str">
        <f t="shared" si="65"/>
        <v>0.166651212753561-0.00226959589906252i</v>
      </c>
      <c r="AQ85" s="22" t="str">
        <f t="shared" si="66"/>
        <v>0.833348787246439+0.00226959589906252i</v>
      </c>
      <c r="AR85" s="22" t="str">
        <f t="shared" si="67"/>
        <v>0.999574048966022-0.0027223045105023i</v>
      </c>
    </row>
    <row r="86" spans="7:44">
      <c r="G86" s="257">
        <v>831.76</v>
      </c>
      <c r="H86" s="256">
        <f t="shared" si="59"/>
        <v>0.83176</v>
      </c>
      <c r="I86" s="298">
        <f t="shared" si="36"/>
        <v>1.28783859715283</v>
      </c>
      <c r="J86" s="299">
        <f t="shared" si="37"/>
        <v>0.681712421924431</v>
      </c>
      <c r="K86" s="299">
        <f t="shared" si="38"/>
        <v>1.0000001010003</v>
      </c>
      <c r="L86" s="300">
        <f t="shared" si="39"/>
        <v>0.000449444759378303</v>
      </c>
      <c r="M86" s="299">
        <f t="shared" si="40"/>
        <v>1.0000043475703</v>
      </c>
      <c r="N86" s="300">
        <f t="shared" si="41"/>
        <v>-0.00294874703790184</v>
      </c>
      <c r="O86" s="298">
        <f t="shared" si="42"/>
        <v>1505.11776727682</v>
      </c>
      <c r="P86" s="301">
        <f t="shared" si="43"/>
        <v>1.57013192690851</v>
      </c>
      <c r="Q86" s="320">
        <f t="shared" si="44"/>
        <v>1.18037912440097</v>
      </c>
      <c r="R86" s="321">
        <f t="shared" si="45"/>
        <v>0.560131160025743</v>
      </c>
      <c r="S86" s="298">
        <f t="shared" si="46"/>
        <v>1.00000873984797</v>
      </c>
      <c r="T86" s="301">
        <f t="shared" si="47"/>
        <v>0.00418085740407077</v>
      </c>
      <c r="U86" s="316">
        <f t="shared" si="60"/>
        <v>0.999563971663706</v>
      </c>
      <c r="V86" s="317">
        <f t="shared" si="61"/>
        <v>-0.0104520179875805</v>
      </c>
      <c r="W86" s="318">
        <f t="shared" si="48"/>
        <v>32.5521236969537</v>
      </c>
      <c r="X86" s="319">
        <f t="shared" si="49"/>
        <v>-97.909627451518</v>
      </c>
      <c r="Y86" s="332">
        <f t="shared" si="50"/>
        <v>82.090372548482</v>
      </c>
      <c r="AA86" s="22">
        <f t="shared" si="51"/>
        <v>1000000000</v>
      </c>
      <c r="AB86" s="22">
        <f t="shared" si="52"/>
        <v>691824.6976</v>
      </c>
      <c r="AD86" s="331">
        <f t="shared" si="53"/>
        <v>33.0973945102306</v>
      </c>
      <c r="AE86" s="332">
        <f t="shared" si="54"/>
        <v>-58.108326797757</v>
      </c>
      <c r="AG86" s="331">
        <f t="shared" si="55"/>
        <v>24.8502483824852</v>
      </c>
      <c r="AH86" s="332">
        <f t="shared" si="56"/>
        <v>-38.6035876162262</v>
      </c>
      <c r="AJ86" s="22">
        <f t="shared" si="57"/>
        <v>0</v>
      </c>
      <c r="AK86" s="22">
        <f t="shared" si="58"/>
        <v>0</v>
      </c>
      <c r="AM86" s="22" t="str">
        <f t="shared" si="62"/>
        <v>0.000111476068616945+0.0149311657387869i</v>
      </c>
      <c r="AN86" s="22" t="str">
        <f t="shared" si="63"/>
        <v>0.01493172058608i</v>
      </c>
      <c r="AO86" s="22" t="str">
        <f t="shared" si="64"/>
        <v>0.9999628410343-0.00746572158073115i</v>
      </c>
      <c r="AP86" s="22" t="str">
        <f t="shared" si="65"/>
        <v>0.166648087321897-0.00248852762313115i</v>
      </c>
      <c r="AQ86" s="22" t="str">
        <f t="shared" si="66"/>
        <v>0.833351912678103+0.00248852762313115i</v>
      </c>
      <c r="AR86" s="22" t="str">
        <f t="shared" si="67"/>
        <v>0.999568800855526-0.00298487893806501i</v>
      </c>
    </row>
    <row r="87" spans="7:44">
      <c r="G87" s="257">
        <v>912.01</v>
      </c>
      <c r="H87" s="256">
        <f t="shared" si="59"/>
        <v>0.91201</v>
      </c>
      <c r="I87" s="298">
        <f t="shared" si="36"/>
        <v>1.33855549710408</v>
      </c>
      <c r="J87" s="299">
        <f t="shared" si="37"/>
        <v>0.727146929559675</v>
      </c>
      <c r="K87" s="299">
        <f t="shared" si="38"/>
        <v>1.00000012142995</v>
      </c>
      <c r="L87" s="300">
        <f t="shared" si="39"/>
        <v>0.000492808153094512</v>
      </c>
      <c r="M87" s="299">
        <f t="shared" si="40"/>
        <v>1.00000522696462</v>
      </c>
      <c r="N87" s="300">
        <f t="shared" si="41"/>
        <v>-0.00323324662091688</v>
      </c>
      <c r="O87" s="298">
        <f t="shared" si="42"/>
        <v>1650.33471669934</v>
      </c>
      <c r="P87" s="301">
        <f t="shared" si="43"/>
        <v>1.57019038907143</v>
      </c>
      <c r="Q87" s="320">
        <f t="shared" si="44"/>
        <v>1.21360943495637</v>
      </c>
      <c r="R87" s="321">
        <f t="shared" si="45"/>
        <v>0.602381957481362</v>
      </c>
      <c r="S87" s="298">
        <f t="shared" si="46"/>
        <v>1.00001050767503</v>
      </c>
      <c r="T87" s="301">
        <f t="shared" si="47"/>
        <v>0.00458423014730655</v>
      </c>
      <c r="U87" s="316">
        <f t="shared" si="60"/>
        <v>0.999556684548097</v>
      </c>
      <c r="V87" s="317">
        <f t="shared" si="61"/>
        <v>-0.0114604098974335</v>
      </c>
      <c r="W87" s="318">
        <f t="shared" si="48"/>
        <v>31.6576713500504</v>
      </c>
      <c r="X87" s="319">
        <f t="shared" si="49"/>
        <v>-98.1900944857427</v>
      </c>
      <c r="Y87" s="332">
        <f t="shared" si="50"/>
        <v>81.8099055142573</v>
      </c>
      <c r="AA87" s="22">
        <f t="shared" si="51"/>
        <v>1000000000</v>
      </c>
      <c r="AB87" s="22">
        <f t="shared" si="52"/>
        <v>831762.2401</v>
      </c>
      <c r="AD87" s="331">
        <f t="shared" si="53"/>
        <v>32.5384965698885</v>
      </c>
      <c r="AE87" s="332">
        <f t="shared" si="54"/>
        <v>-55.7139956107064</v>
      </c>
      <c r="AG87" s="331">
        <f t="shared" si="55"/>
        <v>24.5148206217707</v>
      </c>
      <c r="AH87" s="332">
        <f t="shared" si="56"/>
        <v>-41.16283263631</v>
      </c>
      <c r="AJ87" s="22">
        <f t="shared" si="57"/>
        <v>0</v>
      </c>
      <c r="AK87" s="22">
        <f t="shared" si="58"/>
        <v>0</v>
      </c>
      <c r="AM87" s="22" t="str">
        <f t="shared" si="62"/>
        <v>0.000134024177522951+0.0163716337781171i</v>
      </c>
      <c r="AN87" s="22" t="str">
        <f t="shared" si="63"/>
        <v>0.01637236521558i</v>
      </c>
      <c r="AO87" s="22" t="str">
        <f t="shared" si="64"/>
        <v>0.999955324874979-0.00818599974763653i</v>
      </c>
      <c r="AP87" s="22" t="str">
        <f t="shared" si="65"/>
        <v>0.166644329303746-0.00272860562968618i</v>
      </c>
      <c r="AQ87" s="22" t="str">
        <f t="shared" si="66"/>
        <v>0.833355670696254+0.00272860562968618i</v>
      </c>
      <c r="AR87" s="22" t="str">
        <f t="shared" si="67"/>
        <v>0.999562490654038-0.00327280648002676i</v>
      </c>
    </row>
    <row r="88" spans="7:44">
      <c r="G88" s="257">
        <v>1000</v>
      </c>
      <c r="H88" s="256">
        <f t="shared" si="59"/>
        <v>1</v>
      </c>
      <c r="I88" s="298">
        <f t="shared" si="36"/>
        <v>1.39709396868942</v>
      </c>
      <c r="J88" s="299">
        <f t="shared" si="37"/>
        <v>0.773068120266933</v>
      </c>
      <c r="K88" s="299">
        <f t="shared" si="38"/>
        <v>1.00000014599118</v>
      </c>
      <c r="L88" s="300">
        <f t="shared" si="39"/>
        <v>0.000540353883208734</v>
      </c>
      <c r="M88" s="299">
        <f t="shared" si="40"/>
        <v>1.00000628420191</v>
      </c>
      <c r="N88" s="300">
        <f t="shared" si="41"/>
        <v>-0.00354518518662592</v>
      </c>
      <c r="O88" s="298">
        <f t="shared" si="42"/>
        <v>1809.55764271064</v>
      </c>
      <c r="P88" s="301">
        <f t="shared" si="43"/>
        <v>1.57024370552034</v>
      </c>
      <c r="Q88" s="320">
        <f t="shared" si="44"/>
        <v>1.25239339354835</v>
      </c>
      <c r="R88" s="321">
        <f t="shared" si="45"/>
        <v>0.646044872000712</v>
      </c>
      <c r="S88" s="298">
        <f t="shared" si="46"/>
        <v>1.00001263301381</v>
      </c>
      <c r="T88" s="301">
        <f t="shared" si="47"/>
        <v>0.00502650590673881</v>
      </c>
      <c r="U88" s="316">
        <f t="shared" si="60"/>
        <v>0.999547923925109</v>
      </c>
      <c r="V88" s="317">
        <f t="shared" si="61"/>
        <v>-0.0125660466363268</v>
      </c>
      <c r="W88" s="318">
        <f t="shared" si="48"/>
        <v>30.7590301934662</v>
      </c>
      <c r="X88" s="319">
        <f t="shared" si="49"/>
        <v>-98.4263764348786</v>
      </c>
      <c r="Y88" s="332">
        <f t="shared" si="50"/>
        <v>81.5736235651214</v>
      </c>
      <c r="AA88" s="22">
        <f t="shared" si="51"/>
        <v>1000000000</v>
      </c>
      <c r="AB88" s="22">
        <f t="shared" si="52"/>
        <v>1000000</v>
      </c>
      <c r="AD88" s="331">
        <f t="shared" si="53"/>
        <v>32.0117068618986</v>
      </c>
      <c r="AE88" s="332">
        <f t="shared" si="54"/>
        <v>-53.2406902265786</v>
      </c>
      <c r="AG88" s="331">
        <f t="shared" si="55"/>
        <v>24.1431214289494</v>
      </c>
      <c r="AH88" s="332">
        <f t="shared" si="56"/>
        <v>-43.7457233318025</v>
      </c>
      <c r="AJ88" s="22">
        <f t="shared" si="57"/>
        <v>0</v>
      </c>
      <c r="AK88" s="22">
        <f t="shared" si="58"/>
        <v>0</v>
      </c>
      <c r="AM88" s="22" t="str">
        <f t="shared" si="62"/>
        <v>0.000161132070573999+0.0179509937775874i</v>
      </c>
      <c r="AN88" s="22" t="str">
        <f t="shared" si="63"/>
        <v>0.017951958i</v>
      </c>
      <c r="AO88" s="22" t="str">
        <f t="shared" si="64"/>
        <v>0.999946288732817-0.0089757379431257i</v>
      </c>
      <c r="AP88" s="22" t="str">
        <f t="shared" si="65"/>
        <v>0.166639811321571-0.00299183229626457i</v>
      </c>
      <c r="AQ88" s="22" t="str">
        <f t="shared" si="66"/>
        <v>0.833360188678429+0.00299183229626457i</v>
      </c>
      <c r="AR88" s="22" t="str">
        <f t="shared" si="67"/>
        <v>0.999554904554866-0.00358848513039642i</v>
      </c>
    </row>
    <row r="89" spans="7:44">
      <c r="G89" s="257">
        <v>1096.5</v>
      </c>
      <c r="H89" s="256">
        <f t="shared" si="59"/>
        <v>1.0965</v>
      </c>
      <c r="I89" s="298">
        <f t="shared" si="36"/>
        <v>1.46439299159294</v>
      </c>
      <c r="J89" s="299">
        <f t="shared" si="37"/>
        <v>0.819102959723364</v>
      </c>
      <c r="K89" s="299">
        <f t="shared" si="38"/>
        <v>1.00000017552698</v>
      </c>
      <c r="L89" s="300">
        <f t="shared" si="39"/>
        <v>0.000592498021271775</v>
      </c>
      <c r="M89" s="299">
        <f t="shared" si="40"/>
        <v>1.00000755556814</v>
      </c>
      <c r="N89" s="300">
        <f t="shared" si="41"/>
        <v>-0.00388729226236925</v>
      </c>
      <c r="O89" s="298">
        <f t="shared" si="42"/>
        <v>1984.17990425089</v>
      </c>
      <c r="P89" s="301">
        <f t="shared" si="43"/>
        <v>1.57029234021576</v>
      </c>
      <c r="Q89" s="320">
        <f t="shared" si="44"/>
        <v>1.29749818644389</v>
      </c>
      <c r="R89" s="321">
        <f t="shared" si="45"/>
        <v>0.690835393849697</v>
      </c>
      <c r="S89" s="298">
        <f t="shared" si="46"/>
        <v>1.00001518880785</v>
      </c>
      <c r="T89" s="301">
        <f t="shared" si="47"/>
        <v>0.00551155433589509</v>
      </c>
      <c r="U89" s="316">
        <f t="shared" si="60"/>
        <v>0.99953738923447</v>
      </c>
      <c r="V89" s="317">
        <f t="shared" si="61"/>
        <v>-0.0137785982755004</v>
      </c>
      <c r="W89" s="318">
        <f t="shared" si="48"/>
        <v>29.8574346022835</v>
      </c>
      <c r="X89" s="319">
        <f t="shared" si="49"/>
        <v>-98.6143361169201</v>
      </c>
      <c r="Y89" s="332">
        <f t="shared" si="50"/>
        <v>81.3856638830799</v>
      </c>
      <c r="AA89" s="22">
        <f t="shared" si="51"/>
        <v>1000000000</v>
      </c>
      <c r="AB89" s="22">
        <f t="shared" si="52"/>
        <v>1202312.25</v>
      </c>
      <c r="AD89" s="331">
        <f t="shared" si="53"/>
        <v>31.5188319952093</v>
      </c>
      <c r="AE89" s="332">
        <f t="shared" si="54"/>
        <v>-50.7049601501813</v>
      </c>
      <c r="AG89" s="331">
        <f t="shared" si="55"/>
        <v>23.7345837945116</v>
      </c>
      <c r="AH89" s="332">
        <f t="shared" si="56"/>
        <v>-46.3304649073498</v>
      </c>
      <c r="AJ89" s="22">
        <f t="shared" si="57"/>
        <v>0</v>
      </c>
      <c r="AK89" s="22">
        <f t="shared" si="58"/>
        <v>0</v>
      </c>
      <c r="AM89" s="22" t="str">
        <f t="shared" si="62"/>
        <v>0.00019373000971401+0.0196830507826213i</v>
      </c>
      <c r="AN89" s="22" t="str">
        <f t="shared" si="63"/>
        <v>0.019684321947i</v>
      </c>
      <c r="AO89" s="22" t="str">
        <f t="shared" si="64"/>
        <v>0.999935422496029-0.0098418431803558i</v>
      </c>
      <c r="AP89" s="22" t="str">
        <f t="shared" si="65"/>
        <v>0.166634378331714-0.00328050846377022i</v>
      </c>
      <c r="AQ89" s="22" t="str">
        <f t="shared" si="66"/>
        <v>0.833365621668286+0.00328050846377022i</v>
      </c>
      <c r="AR89" s="22" t="str">
        <f t="shared" si="67"/>
        <v>0.999545782336763-0.00393466962594092i</v>
      </c>
    </row>
    <row r="90" spans="7:44">
      <c r="G90" s="257">
        <v>1202.3</v>
      </c>
      <c r="H90" s="256">
        <f t="shared" si="59"/>
        <v>1.2023</v>
      </c>
      <c r="I90" s="298">
        <f t="shared" si="36"/>
        <v>1.54141312080141</v>
      </c>
      <c r="J90" s="299">
        <f t="shared" si="37"/>
        <v>0.864848591729628</v>
      </c>
      <c r="K90" s="299">
        <f t="shared" si="38"/>
        <v>1.00000021103393</v>
      </c>
      <c r="L90" s="300">
        <f t="shared" si="39"/>
        <v>0.00064966744561109</v>
      </c>
      <c r="M90" s="299">
        <f t="shared" si="40"/>
        <v>1.00000908396008</v>
      </c>
      <c r="N90" s="300">
        <f t="shared" si="41"/>
        <v>-0.00426236819418432</v>
      </c>
      <c r="O90" s="298">
        <f t="shared" si="42"/>
        <v>2175.63105144111</v>
      </c>
      <c r="P90" s="301">
        <f t="shared" si="43"/>
        <v>1.57033669002213</v>
      </c>
      <c r="Q90" s="320">
        <f t="shared" si="44"/>
        <v>1.34972794789632</v>
      </c>
      <c r="R90" s="321">
        <f t="shared" si="45"/>
        <v>0.736401726761791</v>
      </c>
      <c r="S90" s="298">
        <f t="shared" si="46"/>
        <v>1.00001826128956</v>
      </c>
      <c r="T90" s="301">
        <f t="shared" si="47"/>
        <v>0.00604334537614357</v>
      </c>
      <c r="U90" s="316">
        <f t="shared" si="60"/>
        <v>0.999524725198163</v>
      </c>
      <c r="V90" s="317">
        <f t="shared" si="61"/>
        <v>-0.0151079843537276</v>
      </c>
      <c r="W90" s="318">
        <f t="shared" si="48"/>
        <v>28.9547888408372</v>
      </c>
      <c r="X90" s="319">
        <f t="shared" si="49"/>
        <v>-98.7520025501441</v>
      </c>
      <c r="Y90" s="332">
        <f t="shared" si="50"/>
        <v>81.2479974498559</v>
      </c>
      <c r="AA90" s="22">
        <f t="shared" si="51"/>
        <v>1000000000</v>
      </c>
      <c r="AB90" s="22">
        <f t="shared" si="52"/>
        <v>1445525.29</v>
      </c>
      <c r="AD90" s="331">
        <f t="shared" si="53"/>
        <v>31.0615108946309</v>
      </c>
      <c r="AE90" s="332">
        <f t="shared" si="54"/>
        <v>-48.1272120224012</v>
      </c>
      <c r="AG90" s="331">
        <f t="shared" si="55"/>
        <v>23.2894792337016</v>
      </c>
      <c r="AH90" s="332">
        <f t="shared" si="56"/>
        <v>-48.8935430449283</v>
      </c>
      <c r="AJ90" s="22">
        <f t="shared" si="57"/>
        <v>0</v>
      </c>
      <c r="AK90" s="22">
        <f t="shared" ref="AK90:AK153" si="68">IF(AJ90&gt;0,Y90,0)</f>
        <v>0</v>
      </c>
      <c r="AM90" s="22" t="str">
        <f t="shared" si="62"/>
        <v>0.000232917696135981+0.0215819633402132i</v>
      </c>
      <c r="AN90" s="22" t="str">
        <f t="shared" si="63"/>
        <v>0.0215836391034i</v>
      </c>
      <c r="AO90" s="22" t="str">
        <f t="shared" si="64"/>
        <v>0.999922359562316-0.0107914006076617i</v>
      </c>
      <c r="AP90" s="22" t="str">
        <f t="shared" si="65"/>
        <v>0.166627847050644-0.00359699389003553i</v>
      </c>
      <c r="AQ90" s="22" t="str">
        <f t="shared" si="66"/>
        <v>0.833372152949356+0.00359699389003553i</v>
      </c>
      <c r="AR90" s="22" t="str">
        <f t="shared" si="67"/>
        <v>0.99953481641942-0.00431418378309664i</v>
      </c>
    </row>
    <row r="91" spans="7:44">
      <c r="G91" s="257">
        <v>1318.3</v>
      </c>
      <c r="H91" s="256">
        <f t="shared" si="59"/>
        <v>1.3183</v>
      </c>
      <c r="I91" s="298">
        <f t="shared" si="36"/>
        <v>1.62919358975022</v>
      </c>
      <c r="J91" s="299">
        <f t="shared" si="37"/>
        <v>0.909930525712977</v>
      </c>
      <c r="K91" s="299">
        <f t="shared" si="38"/>
        <v>1.00000025372023</v>
      </c>
      <c r="L91" s="300">
        <f t="shared" si="39"/>
        <v>0.000712348473073663</v>
      </c>
      <c r="M91" s="299">
        <f t="shared" si="40"/>
        <v>1.00001092138275</v>
      </c>
      <c r="N91" s="300">
        <f t="shared" si="41"/>
        <v>-0.00467360318336901</v>
      </c>
      <c r="O91" s="298">
        <f t="shared" si="42"/>
        <v>2385.53968572131</v>
      </c>
      <c r="P91" s="301">
        <f t="shared" si="43"/>
        <v>1.57037713442712</v>
      </c>
      <c r="Q91" s="320">
        <f t="shared" si="44"/>
        <v>1.40995952661519</v>
      </c>
      <c r="R91" s="321">
        <f t="shared" si="45"/>
        <v>0.782376460215294</v>
      </c>
      <c r="S91" s="298">
        <f t="shared" si="46"/>
        <v>1.00002195500047</v>
      </c>
      <c r="T91" s="301">
        <f t="shared" si="47"/>
        <v>0.00662640155643012</v>
      </c>
      <c r="U91" s="316">
        <f t="shared" si="60"/>
        <v>0.99950950115517</v>
      </c>
      <c r="V91" s="317">
        <f t="shared" si="61"/>
        <v>-0.0165655041652123</v>
      </c>
      <c r="W91" s="318">
        <f t="shared" si="48"/>
        <v>28.0527481346437</v>
      </c>
      <c r="X91" s="319">
        <f t="shared" si="49"/>
        <v>-98.8400532654077</v>
      </c>
      <c r="Y91" s="332">
        <f t="shared" si="50"/>
        <v>81.1599467345923</v>
      </c>
      <c r="AA91" s="22">
        <f t="shared" si="51"/>
        <v>1000000000</v>
      </c>
      <c r="AB91" s="22">
        <f t="shared" si="52"/>
        <v>1737914.89</v>
      </c>
      <c r="AD91" s="331">
        <f t="shared" si="53"/>
        <v>30.6406589798761</v>
      </c>
      <c r="AE91" s="332">
        <f t="shared" si="54"/>
        <v>-45.5287777803675</v>
      </c>
      <c r="AG91" s="331">
        <f t="shared" si="55"/>
        <v>22.8085550387475</v>
      </c>
      <c r="AH91" s="332">
        <f t="shared" si="56"/>
        <v>-51.4130085345249</v>
      </c>
      <c r="AJ91" s="22">
        <f t="shared" si="57"/>
        <v>0</v>
      </c>
      <c r="AK91" s="22">
        <f t="shared" si="68"/>
        <v>0</v>
      </c>
      <c r="AM91" s="22" t="str">
        <f t="shared" si="62"/>
        <v>0.000280028275153055+0.0236638571342552i</v>
      </c>
      <c r="AN91" s="22" t="str">
        <f t="shared" si="63"/>
        <v>0.0236660662314i</v>
      </c>
      <c r="AO91" s="22" t="str">
        <f t="shared" si="64"/>
        <v>0.999906655498924-0.011832480836275i</v>
      </c>
      <c r="AP91" s="22" t="str">
        <f t="shared" si="65"/>
        <v>0.166619995287474-0.00394397618904253i</v>
      </c>
      <c r="AQ91" s="22" t="str">
        <f t="shared" si="66"/>
        <v>0.833380004712526+0.00394397618904253i</v>
      </c>
      <c r="AR91" s="22" t="str">
        <f t="shared" si="67"/>
        <v>0.99952163397958-0.00473024250948782i</v>
      </c>
    </row>
    <row r="92" spans="7:44">
      <c r="G92" s="257">
        <v>1445.4</v>
      </c>
      <c r="H92" s="256">
        <f t="shared" si="59"/>
        <v>1.4454</v>
      </c>
      <c r="I92" s="298">
        <f t="shared" si="36"/>
        <v>1.72876606987529</v>
      </c>
      <c r="J92" s="299">
        <f t="shared" si="37"/>
        <v>0.953972442426622</v>
      </c>
      <c r="K92" s="299">
        <f t="shared" si="38"/>
        <v>1.00000030500199</v>
      </c>
      <c r="L92" s="300">
        <f t="shared" si="39"/>
        <v>0.000781027419995375</v>
      </c>
      <c r="M92" s="299">
        <f t="shared" si="40"/>
        <v>1.00001312879131</v>
      </c>
      <c r="N92" s="300">
        <f t="shared" si="41"/>
        <v>-0.00512418728689021</v>
      </c>
      <c r="O92" s="298">
        <f t="shared" si="42"/>
        <v>2615.53440856009</v>
      </c>
      <c r="P92" s="301">
        <f t="shared" si="43"/>
        <v>1.57041399574198</v>
      </c>
      <c r="Q92" s="320">
        <f t="shared" si="44"/>
        <v>1.47907976519149</v>
      </c>
      <c r="R92" s="321">
        <f t="shared" si="45"/>
        <v>0.828345071677006</v>
      </c>
      <c r="S92" s="298">
        <f t="shared" si="46"/>
        <v>1.00002639247287</v>
      </c>
      <c r="T92" s="301">
        <f t="shared" si="47"/>
        <v>0.00726524499435419</v>
      </c>
      <c r="U92" s="316">
        <f t="shared" si="60"/>
        <v>0.99949121241254</v>
      </c>
      <c r="V92" s="317">
        <f t="shared" si="61"/>
        <v>-0.0181624538578813</v>
      </c>
      <c r="W92" s="318">
        <f t="shared" si="48"/>
        <v>27.1535226773103</v>
      </c>
      <c r="X92" s="319">
        <f t="shared" si="49"/>
        <v>-98.8817568496446</v>
      </c>
      <c r="Y92" s="332">
        <f t="shared" si="50"/>
        <v>81.1182431503554</v>
      </c>
      <c r="AA92" s="22">
        <f t="shared" si="51"/>
        <v>1000000000</v>
      </c>
      <c r="AB92" s="22">
        <f t="shared" si="52"/>
        <v>2089181.16</v>
      </c>
      <c r="AD92" s="331">
        <f t="shared" si="53"/>
        <v>30.2568435877995</v>
      </c>
      <c r="AE92" s="332">
        <f t="shared" si="54"/>
        <v>-42.933685381101</v>
      </c>
      <c r="AG92" s="331">
        <f t="shared" si="55"/>
        <v>22.2934628403109</v>
      </c>
      <c r="AH92" s="332">
        <f t="shared" si="56"/>
        <v>-53.8668075628501</v>
      </c>
      <c r="AJ92" s="22">
        <f t="shared" si="57"/>
        <v>0</v>
      </c>
      <c r="AK92" s="22">
        <f t="shared" si="68"/>
        <v>0</v>
      </c>
      <c r="AM92" s="22" t="str">
        <f t="shared" si="62"/>
        <v>0.000336624239251959+0.025944848479521i</v>
      </c>
      <c r="AN92" s="22" t="str">
        <f t="shared" si="63"/>
        <v>0.0259477600932i</v>
      </c>
      <c r="AO92" s="22" t="str">
        <f t="shared" si="64"/>
        <v>0.999887789401916-0.0129731521350152i</v>
      </c>
      <c r="AP92" s="22" t="str">
        <f t="shared" si="65"/>
        <v>0.166610562626791-0.0043241414132535i</v>
      </c>
      <c r="AQ92" s="22" t="str">
        <f t="shared" si="66"/>
        <v>0.833389437373209+0.0043241414132535i</v>
      </c>
      <c r="AR92" s="22" t="str">
        <f t="shared" si="67"/>
        <v>0.999505798136026-0.00518605614696734i</v>
      </c>
    </row>
    <row r="93" spans="7:44">
      <c r="G93" s="257">
        <v>1584.9</v>
      </c>
      <c r="H93" s="256">
        <f t="shared" si="59"/>
        <v>1.5849</v>
      </c>
      <c r="I93" s="298">
        <f t="shared" si="36"/>
        <v>1.84147055078123</v>
      </c>
      <c r="J93" s="299">
        <f t="shared" si="37"/>
        <v>0.996738061443162</v>
      </c>
      <c r="K93" s="299">
        <f t="shared" si="38"/>
        <v>1.00000036671637</v>
      </c>
      <c r="L93" s="300">
        <f t="shared" si="39"/>
        <v>0.000856406743477176</v>
      </c>
      <c r="M93" s="299">
        <f t="shared" si="40"/>
        <v>1.00001578526213</v>
      </c>
      <c r="N93" s="300">
        <f t="shared" si="41"/>
        <v>-0.00561872841320736</v>
      </c>
      <c r="O93" s="298">
        <f t="shared" si="42"/>
        <v>2867.96764434685</v>
      </c>
      <c r="P93" s="301">
        <f t="shared" si="43"/>
        <v>1.5704476478193</v>
      </c>
      <c r="Q93" s="320">
        <f t="shared" si="44"/>
        <v>1.55820172177184</v>
      </c>
      <c r="R93" s="321">
        <f t="shared" si="45"/>
        <v>0.873998239350913</v>
      </c>
      <c r="S93" s="298">
        <f t="shared" si="46"/>
        <v>1.00003173266554</v>
      </c>
      <c r="T93" s="301">
        <f t="shared" si="47"/>
        <v>0.00796640777551862</v>
      </c>
      <c r="U93" s="316">
        <f t="shared" si="60"/>
        <v>0.99946920432199</v>
      </c>
      <c r="V93" s="317">
        <f t="shared" si="61"/>
        <v>-0.0199151511464996</v>
      </c>
      <c r="W93" s="318">
        <f t="shared" si="48"/>
        <v>26.257103180438</v>
      </c>
      <c r="X93" s="319">
        <f t="shared" si="49"/>
        <v>-98.8828526481922</v>
      </c>
      <c r="Y93" s="332">
        <f t="shared" si="50"/>
        <v>81.1171473518078</v>
      </c>
      <c r="AA93" s="22">
        <f t="shared" si="51"/>
        <v>1000000000</v>
      </c>
      <c r="AB93" s="22">
        <f t="shared" si="52"/>
        <v>2511908.01</v>
      </c>
      <c r="AD93" s="331">
        <f t="shared" si="53"/>
        <v>29.9091626957937</v>
      </c>
      <c r="AE93" s="332">
        <f t="shared" si="54"/>
        <v>-40.360053339157</v>
      </c>
      <c r="AG93" s="331">
        <f t="shared" si="55"/>
        <v>21.7451067539658</v>
      </c>
      <c r="AH93" s="332">
        <f t="shared" si="56"/>
        <v>-56.2406910883086</v>
      </c>
      <c r="AJ93" s="22">
        <f t="shared" si="57"/>
        <v>0</v>
      </c>
      <c r="AK93" s="22">
        <f t="shared" si="68"/>
        <v>0</v>
      </c>
      <c r="AM93" s="22" t="str">
        <f t="shared" si="62"/>
        <v>0.000404732504533989+0.0284482196396898i</v>
      </c>
      <c r="AN93" s="22" t="str">
        <f t="shared" si="63"/>
        <v>0.0284520582342i</v>
      </c>
      <c r="AO93" s="22" t="str">
        <f t="shared" si="64"/>
        <v>0.999865085524618-0.0142250694555198i</v>
      </c>
      <c r="AP93" s="22" t="str">
        <f t="shared" si="65"/>
        <v>0.166599211249244-0.0047413699399483i</v>
      </c>
      <c r="AQ93" s="22" t="str">
        <f t="shared" si="66"/>
        <v>0.833400788750756+0.0047413699399483i</v>
      </c>
      <c r="AR93" s="22" t="str">
        <f t="shared" si="67"/>
        <v>0.999486742231539-0.00568626339086744i</v>
      </c>
    </row>
    <row r="94" spans="7:44">
      <c r="G94" s="257">
        <v>1737.8</v>
      </c>
      <c r="H94" s="256">
        <f t="shared" si="59"/>
        <v>1.7378</v>
      </c>
      <c r="I94" s="298">
        <f t="shared" si="36"/>
        <v>1.96840123080717</v>
      </c>
      <c r="J94" s="299">
        <f t="shared" si="37"/>
        <v>1.03790427520629</v>
      </c>
      <c r="K94" s="299">
        <f t="shared" si="38"/>
        <v>1.00000044088582</v>
      </c>
      <c r="L94" s="300">
        <f t="shared" si="39"/>
        <v>0.000939026793630844</v>
      </c>
      <c r="M94" s="299">
        <f t="shared" si="40"/>
        <v>1.00001897784783</v>
      </c>
      <c r="N94" s="300">
        <f t="shared" si="41"/>
        <v>-0.00616077068248644</v>
      </c>
      <c r="O94" s="298">
        <f t="shared" si="42"/>
        <v>3144.64895033018</v>
      </c>
      <c r="P94" s="301">
        <f t="shared" si="43"/>
        <v>1.57047832626999</v>
      </c>
      <c r="Q94" s="320">
        <f t="shared" si="44"/>
        <v>1.64827435123727</v>
      </c>
      <c r="R94" s="321">
        <f t="shared" si="45"/>
        <v>0.918899792377333</v>
      </c>
      <c r="S94" s="298">
        <f t="shared" si="46"/>
        <v>1.00003815056864</v>
      </c>
      <c r="T94" s="301">
        <f t="shared" si="47"/>
        <v>0.00873491337047975</v>
      </c>
      <c r="U94" s="316">
        <f t="shared" si="60"/>
        <v>0.999442756418986</v>
      </c>
      <c r="V94" s="317">
        <f t="shared" si="61"/>
        <v>-0.0218361388601438</v>
      </c>
      <c r="W94" s="318">
        <f t="shared" si="48"/>
        <v>25.3660269165188</v>
      </c>
      <c r="X94" s="319">
        <f t="shared" si="49"/>
        <v>-98.8510107888484</v>
      </c>
      <c r="Y94" s="332">
        <f t="shared" si="50"/>
        <v>81.1489892111516</v>
      </c>
      <c r="AA94" s="22">
        <f t="shared" si="51"/>
        <v>1000000000</v>
      </c>
      <c r="AB94" s="22">
        <f t="shared" si="52"/>
        <v>3019948.84</v>
      </c>
      <c r="AD94" s="331">
        <f t="shared" si="53"/>
        <v>29.5972649064766</v>
      </c>
      <c r="AE94" s="332">
        <f t="shared" si="54"/>
        <v>-37.8331737271427</v>
      </c>
      <c r="AG94" s="331">
        <f t="shared" si="55"/>
        <v>21.1663879765813</v>
      </c>
      <c r="AH94" s="332">
        <f t="shared" si="56"/>
        <v>-58.5155998637507</v>
      </c>
      <c r="AJ94" s="22">
        <f t="shared" si="57"/>
        <v>0</v>
      </c>
      <c r="AK94" s="22">
        <f t="shared" si="68"/>
        <v>0</v>
      </c>
      <c r="AM94" s="22" t="str">
        <f t="shared" si="62"/>
        <v>0.000486584212452956+0.0311918524731892i</v>
      </c>
      <c r="AN94" s="22" t="str">
        <f t="shared" si="63"/>
        <v>0.0311969126124i</v>
      </c>
      <c r="AO94" s="22" t="str">
        <f t="shared" si="64"/>
        <v>0.999837800000479-0.0155971912508916i</v>
      </c>
      <c r="AP94" s="22" t="str">
        <f t="shared" si="65"/>
        <v>0.166585569297925-0.00519864207886487i</v>
      </c>
      <c r="AQ94" s="22" t="str">
        <f t="shared" si="66"/>
        <v>0.833414430702075+0.00519864207886487i</v>
      </c>
      <c r="AR94" s="22" t="str">
        <f t="shared" si="67"/>
        <v>0.999463842718898-0.00623441903289989i</v>
      </c>
    </row>
    <row r="95" spans="7:44">
      <c r="G95" s="257">
        <v>1905.5</v>
      </c>
      <c r="H95" s="256">
        <f t="shared" si="59"/>
        <v>1.9055</v>
      </c>
      <c r="I95" s="298">
        <f t="shared" si="36"/>
        <v>2.11096642126083</v>
      </c>
      <c r="J95" s="299">
        <f t="shared" si="37"/>
        <v>1.07729006628696</v>
      </c>
      <c r="K95" s="299">
        <f t="shared" si="38"/>
        <v>1.00000053008368</v>
      </c>
      <c r="L95" s="300">
        <f t="shared" si="39"/>
        <v>0.0010296440608019</v>
      </c>
      <c r="M95" s="299">
        <f t="shared" si="40"/>
        <v>1.0000228173102</v>
      </c>
      <c r="N95" s="300">
        <f t="shared" si="41"/>
        <v>-0.00675527591636102</v>
      </c>
      <c r="O95" s="298">
        <f t="shared" si="42"/>
        <v>3448.11170668211</v>
      </c>
      <c r="P95" s="301">
        <f t="shared" si="43"/>
        <v>1.57050631298471</v>
      </c>
      <c r="Q95" s="320">
        <f t="shared" si="44"/>
        <v>1.75046984475271</v>
      </c>
      <c r="R95" s="321">
        <f t="shared" si="45"/>
        <v>0.962737632914781</v>
      </c>
      <c r="S95" s="298">
        <f t="shared" si="46"/>
        <v>1.00004586882974</v>
      </c>
      <c r="T95" s="301">
        <f t="shared" si="47"/>
        <v>0.00957779479027541</v>
      </c>
      <c r="U95" s="316">
        <f t="shared" si="60"/>
        <v>0.999410952204594</v>
      </c>
      <c r="V95" s="317">
        <f t="shared" si="61"/>
        <v>-0.0239429781270936</v>
      </c>
      <c r="W95" s="318">
        <f t="shared" si="48"/>
        <v>24.4806831809644</v>
      </c>
      <c r="X95" s="319">
        <f t="shared" si="49"/>
        <v>-98.7954078652963</v>
      </c>
      <c r="Y95" s="332">
        <f t="shared" si="50"/>
        <v>81.2045921347037</v>
      </c>
      <c r="AA95" s="22">
        <f t="shared" si="51"/>
        <v>1000000000</v>
      </c>
      <c r="AB95" s="22">
        <f t="shared" si="52"/>
        <v>3630930.25</v>
      </c>
      <c r="AD95" s="331">
        <f t="shared" si="53"/>
        <v>29.3195173981153</v>
      </c>
      <c r="AE95" s="332">
        <f t="shared" si="54"/>
        <v>-35.3713475471863</v>
      </c>
      <c r="AG95" s="331">
        <f t="shared" si="55"/>
        <v>20.5593445620228</v>
      </c>
      <c r="AH95" s="332">
        <f t="shared" si="56"/>
        <v>-60.6803971236617</v>
      </c>
      <c r="AJ95" s="22">
        <f t="shared" si="57"/>
        <v>0</v>
      </c>
      <c r="AK95" s="22">
        <f t="shared" si="68"/>
        <v>0</v>
      </c>
      <c r="AM95" s="22" t="str">
        <f t="shared" si="62"/>
        <v>0.000585017972031032+0.0342007850499603i</v>
      </c>
      <c r="AN95" s="22" t="str">
        <f t="shared" si="63"/>
        <v>0.034207455969i</v>
      </c>
      <c r="AO95" s="22" t="str">
        <f t="shared" si="64"/>
        <v>0.999804986402796-0.0171020602222275i</v>
      </c>
      <c r="AP95" s="22" t="str">
        <f t="shared" si="65"/>
        <v>0.166569163671328-0.00570013084166005i</v>
      </c>
      <c r="AQ95" s="22" t="str">
        <f t="shared" si="66"/>
        <v>0.833430836328672+0.00570013084166005i</v>
      </c>
      <c r="AR95" s="22" t="str">
        <f t="shared" si="67"/>
        <v>0.999436306456403-0.00683550147940568i</v>
      </c>
    </row>
    <row r="96" spans="7:44">
      <c r="G96" s="257">
        <v>2089.3</v>
      </c>
      <c r="H96" s="256">
        <f t="shared" si="59"/>
        <v>2.0893</v>
      </c>
      <c r="I96" s="298">
        <f t="shared" si="36"/>
        <v>2.27048132339679</v>
      </c>
      <c r="J96" s="299">
        <f t="shared" si="37"/>
        <v>1.11471291097224</v>
      </c>
      <c r="K96" s="299">
        <f t="shared" si="38"/>
        <v>1.00000063727681</v>
      </c>
      <c r="L96" s="300">
        <f t="shared" si="39"/>
        <v>0.00112896099842651</v>
      </c>
      <c r="M96" s="299">
        <f t="shared" si="40"/>
        <v>1.00002743134783</v>
      </c>
      <c r="N96" s="300">
        <f t="shared" si="41"/>
        <v>-0.00740685098846659</v>
      </c>
      <c r="O96" s="298">
        <f t="shared" si="42"/>
        <v>3780.70833786987</v>
      </c>
      <c r="P96" s="301">
        <f t="shared" si="43"/>
        <v>1.57053182609231</v>
      </c>
      <c r="Q96" s="320">
        <f t="shared" si="44"/>
        <v>1.86589244249265</v>
      </c>
      <c r="R96" s="321">
        <f t="shared" si="45"/>
        <v>1.00517962632755</v>
      </c>
      <c r="S96" s="298">
        <f t="shared" si="46"/>
        <v>1.00005514413749</v>
      </c>
      <c r="T96" s="301">
        <f t="shared" si="47"/>
        <v>0.0105015811714509</v>
      </c>
      <c r="U96" s="316">
        <f t="shared" si="60"/>
        <v>0.999372735431912</v>
      </c>
      <c r="V96" s="317">
        <f t="shared" si="61"/>
        <v>-0.026251964115578</v>
      </c>
      <c r="W96" s="318">
        <f t="shared" si="48"/>
        <v>23.602381784813</v>
      </c>
      <c r="X96" s="319">
        <f t="shared" si="49"/>
        <v>-98.7261598929869</v>
      </c>
      <c r="Y96" s="332">
        <f t="shared" si="50"/>
        <v>81.2738401070131</v>
      </c>
      <c r="AA96" s="22">
        <f t="shared" si="51"/>
        <v>1000000000</v>
      </c>
      <c r="AB96" s="22">
        <f t="shared" si="52"/>
        <v>4365174.49</v>
      </c>
      <c r="AD96" s="331">
        <f t="shared" si="53"/>
        <v>29.0742393174279</v>
      </c>
      <c r="AE96" s="332">
        <f t="shared" si="54"/>
        <v>-32.993991301997</v>
      </c>
      <c r="AG96" s="331">
        <f t="shared" si="55"/>
        <v>19.926985543895</v>
      </c>
      <c r="AH96" s="332">
        <f t="shared" si="56"/>
        <v>-62.7239150920494</v>
      </c>
      <c r="AJ96" s="22">
        <f t="shared" si="57"/>
        <v>0</v>
      </c>
      <c r="AK96" s="22">
        <f t="shared" si="68"/>
        <v>0</v>
      </c>
      <c r="AM96" s="22" t="str">
        <f t="shared" si="62"/>
        <v>0.000703306038671969+0.0374982324644634i</v>
      </c>
      <c r="AN96" s="22" t="str">
        <f t="shared" si="63"/>
        <v>0.0375070258494i</v>
      </c>
      <c r="AO96" s="22" t="str">
        <f t="shared" si="64"/>
        <v>0.999765553659949-0.0187513145269347i</v>
      </c>
      <c r="AP96" s="22" t="str">
        <f t="shared" si="65"/>
        <v>0.166549448993555-0.0062497054107439i</v>
      </c>
      <c r="AQ96" s="22" t="str">
        <f t="shared" si="66"/>
        <v>0.833450551006445+0.0062497054107439i</v>
      </c>
      <c r="AR96" s="22" t="str">
        <f t="shared" si="67"/>
        <v>0.999403219509964-0.007494116718675i</v>
      </c>
    </row>
    <row r="97" spans="7:44">
      <c r="G97" s="257">
        <v>2290.9</v>
      </c>
      <c r="H97" s="256">
        <f t="shared" si="59"/>
        <v>2.2909</v>
      </c>
      <c r="I97" s="298">
        <f t="shared" si="36"/>
        <v>2.44859837855576</v>
      </c>
      <c r="J97" s="299">
        <f t="shared" si="37"/>
        <v>1.15009918624294</v>
      </c>
      <c r="K97" s="299">
        <f t="shared" si="38"/>
        <v>1.00000076619399</v>
      </c>
      <c r="L97" s="300">
        <f t="shared" si="39"/>
        <v>0.00123789619921182</v>
      </c>
      <c r="M97" s="299">
        <f t="shared" si="40"/>
        <v>1.0000329804516</v>
      </c>
      <c r="N97" s="300">
        <f t="shared" si="41"/>
        <v>-0.00812152020208198</v>
      </c>
      <c r="O97" s="298">
        <f t="shared" si="42"/>
        <v>4145.51509129804</v>
      </c>
      <c r="P97" s="301">
        <f t="shared" si="43"/>
        <v>1.57055510224555</v>
      </c>
      <c r="Q97" s="320">
        <f t="shared" si="44"/>
        <v>1.99588527995114</v>
      </c>
      <c r="R97" s="321">
        <f t="shared" si="45"/>
        <v>1.04600687548811</v>
      </c>
      <c r="S97" s="298">
        <f t="shared" si="46"/>
        <v>1.00006629909223</v>
      </c>
      <c r="T97" s="301">
        <f t="shared" si="47"/>
        <v>0.0115148104164888</v>
      </c>
      <c r="U97" s="316">
        <f t="shared" si="60"/>
        <v>0.999326779034297</v>
      </c>
      <c r="V97" s="317">
        <f t="shared" si="61"/>
        <v>-0.0287844043763772</v>
      </c>
      <c r="W97" s="318">
        <f t="shared" si="48"/>
        <v>22.7308151922378</v>
      </c>
      <c r="X97" s="319">
        <f t="shared" si="49"/>
        <v>-98.6536065785934</v>
      </c>
      <c r="Y97" s="332">
        <f t="shared" si="50"/>
        <v>81.3463934214066</v>
      </c>
      <c r="AA97" s="22">
        <f t="shared" si="51"/>
        <v>1000000000</v>
      </c>
      <c r="AB97" s="22">
        <f t="shared" si="52"/>
        <v>5248222.81</v>
      </c>
      <c r="AD97" s="331">
        <f t="shared" si="53"/>
        <v>28.859015314634</v>
      </c>
      <c r="AE97" s="332">
        <f t="shared" si="54"/>
        <v>-30.7141496181266</v>
      </c>
      <c r="AG97" s="331">
        <f t="shared" si="55"/>
        <v>19.2714418179652</v>
      </c>
      <c r="AH97" s="332">
        <f t="shared" si="56"/>
        <v>-64.6410071835691</v>
      </c>
      <c r="AJ97" s="22">
        <f t="shared" si="57"/>
        <v>0</v>
      </c>
      <c r="AK97" s="22">
        <f t="shared" si="68"/>
        <v>0</v>
      </c>
      <c r="AM97" s="22" t="str">
        <f t="shared" si="62"/>
        <v>0.000845560530615019+0.0411145483815605i</v>
      </c>
      <c r="AN97" s="22" t="str">
        <f t="shared" si="63"/>
        <v>0.0411261405822i</v>
      </c>
      <c r="AO97" s="22" t="str">
        <f t="shared" si="64"/>
        <v>0.999718130598315-0.0205601721592371i</v>
      </c>
      <c r="AP97" s="22" t="str">
        <f t="shared" si="65"/>
        <v>0.166525739911564-0.00685242473026008i</v>
      </c>
      <c r="AQ97" s="22" t="str">
        <f t="shared" si="66"/>
        <v>0.833474260088436+0.00685242473026008i</v>
      </c>
      <c r="AR97" s="22" t="str">
        <f t="shared" si="67"/>
        <v>0.99936343376912-0.00821628577630044i</v>
      </c>
    </row>
    <row r="98" spans="7:44">
      <c r="G98" s="257">
        <v>2511.9</v>
      </c>
      <c r="H98" s="256">
        <f t="shared" si="59"/>
        <v>2.5119</v>
      </c>
      <c r="I98" s="298">
        <f t="shared" si="36"/>
        <v>2.64687898960657</v>
      </c>
      <c r="J98" s="299">
        <f t="shared" si="37"/>
        <v>1.18337356440956</v>
      </c>
      <c r="K98" s="299">
        <f t="shared" si="38"/>
        <v>1.00000092115165</v>
      </c>
      <c r="L98" s="300">
        <f t="shared" si="39"/>
        <v>0.00135731421780789</v>
      </c>
      <c r="M98" s="299">
        <f t="shared" si="40"/>
        <v>1.00003965040039</v>
      </c>
      <c r="N98" s="300">
        <f t="shared" si="41"/>
        <v>-0.00890495258847516</v>
      </c>
      <c r="O98" s="298">
        <f t="shared" si="42"/>
        <v>4545.42725866082</v>
      </c>
      <c r="P98" s="301">
        <f t="shared" si="43"/>
        <v>1.57057632547243</v>
      </c>
      <c r="Q98" s="320">
        <f t="shared" si="44"/>
        <v>2.14171968010655</v>
      </c>
      <c r="R98" s="321">
        <f t="shared" si="45"/>
        <v>1.08499795271957</v>
      </c>
      <c r="S98" s="298">
        <f t="shared" si="46"/>
        <v>1.00007970711646</v>
      </c>
      <c r="T98" s="301">
        <f t="shared" si="47"/>
        <v>0.0126255156302086</v>
      </c>
      <c r="U98" s="316">
        <f t="shared" si="60"/>
        <v>0.999271547662475</v>
      </c>
      <c r="V98" s="317">
        <f t="shared" si="61"/>
        <v>-0.0315603334520682</v>
      </c>
      <c r="W98" s="318">
        <f t="shared" si="48"/>
        <v>21.8665641804795</v>
      </c>
      <c r="X98" s="319">
        <f t="shared" si="49"/>
        <v>-98.5880128127896</v>
      </c>
      <c r="Y98" s="332">
        <f t="shared" si="50"/>
        <v>81.4119871872104</v>
      </c>
      <c r="AA98" s="22">
        <f t="shared" si="51"/>
        <v>1000000000</v>
      </c>
      <c r="AB98" s="22">
        <f t="shared" si="52"/>
        <v>6309641.61</v>
      </c>
      <c r="AD98" s="331">
        <f t="shared" si="53"/>
        <v>28.6715156755963</v>
      </c>
      <c r="AE98" s="332">
        <f t="shared" si="54"/>
        <v>-28.5449801739741</v>
      </c>
      <c r="AG98" s="331">
        <f t="shared" si="55"/>
        <v>18.5956505853466</v>
      </c>
      <c r="AH98" s="332">
        <f t="shared" si="56"/>
        <v>-66.426484821025</v>
      </c>
      <c r="AJ98" s="22">
        <f t="shared" si="57"/>
        <v>0</v>
      </c>
      <c r="AK98" s="22">
        <f t="shared" si="68"/>
        <v>0</v>
      </c>
      <c r="AM98" s="22" t="str">
        <f t="shared" si="62"/>
        <v>0.00101654064929602+0.0450782424646286i</v>
      </c>
      <c r="AN98" s="22" t="str">
        <f t="shared" si="63"/>
        <v>0.0450935233002i</v>
      </c>
      <c r="AO98" s="22" t="str">
        <f t="shared" si="64"/>
        <v>0.9996611301479-0.0225429413117407i</v>
      </c>
      <c r="AP98" s="22" t="str">
        <f t="shared" si="65"/>
        <v>0.166497243225117-0.00751304041077143i</v>
      </c>
      <c r="AQ98" s="22" t="str">
        <f t="shared" si="66"/>
        <v>0.833502756774883+0.00751304041077143i</v>
      </c>
      <c r="AR98" s="22" t="str">
        <f t="shared" si="67"/>
        <v>0.999315621230387-0.00900764704662738i</v>
      </c>
    </row>
    <row r="99" spans="7:44">
      <c r="G99" s="257">
        <v>2754.2</v>
      </c>
      <c r="H99" s="256">
        <f t="shared" si="59"/>
        <v>2.7542</v>
      </c>
      <c r="I99" s="298">
        <f t="shared" si="36"/>
        <v>2.86714730637196</v>
      </c>
      <c r="J99" s="299">
        <f t="shared" si="37"/>
        <v>1.21452863614165</v>
      </c>
      <c r="K99" s="299">
        <f t="shared" si="38"/>
        <v>1.00000110743272</v>
      </c>
      <c r="L99" s="300">
        <f t="shared" si="39"/>
        <v>0.00148824171122869</v>
      </c>
      <c r="M99" s="299">
        <f t="shared" si="40"/>
        <v>1.00004766856652</v>
      </c>
      <c r="N99" s="300">
        <f t="shared" si="41"/>
        <v>-0.0097638796613142</v>
      </c>
      <c r="O99" s="298">
        <f t="shared" si="42"/>
        <v>4983.88299886226</v>
      </c>
      <c r="P99" s="301">
        <f t="shared" si="43"/>
        <v>1.57059568002872</v>
      </c>
      <c r="Q99" s="320">
        <f t="shared" si="44"/>
        <v>2.30485179485385</v>
      </c>
      <c r="R99" s="321">
        <f t="shared" si="45"/>
        <v>1.12201553803845</v>
      </c>
      <c r="S99" s="298">
        <f t="shared" si="46"/>
        <v>1.00009582522646</v>
      </c>
      <c r="T99" s="301">
        <f t="shared" si="47"/>
        <v>0.0138432348113588</v>
      </c>
      <c r="U99" s="316">
        <f t="shared" si="60"/>
        <v>0.999205163190796</v>
      </c>
      <c r="V99" s="317">
        <f t="shared" si="61"/>
        <v>-0.0346035323424023</v>
      </c>
      <c r="W99" s="318">
        <f t="shared" si="48"/>
        <v>21.0093450336668</v>
      </c>
      <c r="X99" s="319">
        <f t="shared" si="49"/>
        <v>-98.5390683869973</v>
      </c>
      <c r="Y99" s="332">
        <f t="shared" si="50"/>
        <v>81.4609316130027</v>
      </c>
      <c r="AA99" s="22">
        <f t="shared" si="51"/>
        <v>1000000000</v>
      </c>
      <c r="AB99" s="22">
        <f t="shared" si="52"/>
        <v>7585617.64</v>
      </c>
      <c r="AD99" s="331">
        <f t="shared" si="53"/>
        <v>28.5091207124556</v>
      </c>
      <c r="AE99" s="332">
        <f t="shared" si="54"/>
        <v>-26.4949078691961</v>
      </c>
      <c r="AG99" s="331">
        <f t="shared" si="55"/>
        <v>17.9019804970749</v>
      </c>
      <c r="AH99" s="332">
        <f t="shared" si="56"/>
        <v>-68.0788877943421</v>
      </c>
      <c r="AJ99" s="22">
        <f t="shared" si="57"/>
        <v>0</v>
      </c>
      <c r="AK99" s="22">
        <f t="shared" si="68"/>
        <v>0</v>
      </c>
      <c r="AM99" s="22" t="str">
        <f t="shared" si="62"/>
        <v>0.00122207011286801+0.0494231400295043i</v>
      </c>
      <c r="AN99" s="22" t="str">
        <f t="shared" si="63"/>
        <v>0.0494432827236i</v>
      </c>
      <c r="AO99" s="22" t="str">
        <f t="shared" si="64"/>
        <v>0.999592610098154-0.0247166054830882i</v>
      </c>
      <c r="AP99" s="22" t="str">
        <f t="shared" si="65"/>
        <v>0.166462988314522-0.00823719000491738i</v>
      </c>
      <c r="AQ99" s="22" t="str">
        <f t="shared" si="66"/>
        <v>0.833537011685478+0.00823719000491738i</v>
      </c>
      <c r="AR99" s="22" t="str">
        <f t="shared" si="67"/>
        <v>0.999258157762737-0.00987488161180926i</v>
      </c>
    </row>
    <row r="100" spans="7:44">
      <c r="G100" s="257">
        <v>3020</v>
      </c>
      <c r="H100" s="256">
        <f t="shared" si="59"/>
        <v>3.02</v>
      </c>
      <c r="I100" s="298">
        <f t="shared" si="36"/>
        <v>3.11150274813312</v>
      </c>
      <c r="J100" s="299">
        <f t="shared" si="37"/>
        <v>1.24360132076455</v>
      </c>
      <c r="K100" s="299">
        <f t="shared" si="38"/>
        <v>1.00000133149714</v>
      </c>
      <c r="L100" s="300">
        <f t="shared" si="39"/>
        <v>0.00163186743756484</v>
      </c>
      <c r="M100" s="299">
        <f t="shared" si="40"/>
        <v>1.00005731297283</v>
      </c>
      <c r="N100" s="300">
        <f t="shared" si="41"/>
        <v>-0.010706095053327</v>
      </c>
      <c r="O100" s="298">
        <f t="shared" si="42"/>
        <v>5464.8633380216</v>
      </c>
      <c r="P100" s="301">
        <f t="shared" si="43"/>
        <v>1.57061333960131</v>
      </c>
      <c r="Q100" s="320">
        <f t="shared" si="44"/>
        <v>2.48693566683607</v>
      </c>
      <c r="R100" s="321">
        <f t="shared" si="45"/>
        <v>1.15698565263131</v>
      </c>
      <c r="S100" s="298">
        <f t="shared" si="46"/>
        <v>1.00011521222998</v>
      </c>
      <c r="T100" s="301">
        <f t="shared" si="47"/>
        <v>0.0151790098175637</v>
      </c>
      <c r="U100" s="316">
        <f t="shared" si="60"/>
        <v>0.999125330543938</v>
      </c>
      <c r="V100" s="317">
        <f t="shared" si="61"/>
        <v>-0.0379415206101631</v>
      </c>
      <c r="W100" s="318">
        <f t="shared" si="48"/>
        <v>20.1583662928847</v>
      </c>
      <c r="X100" s="319">
        <f t="shared" si="49"/>
        <v>-98.5157250861428</v>
      </c>
      <c r="Y100" s="332">
        <f t="shared" si="50"/>
        <v>81.4842749138572</v>
      </c>
      <c r="AA100" s="22">
        <f t="shared" si="51"/>
        <v>1000000000</v>
      </c>
      <c r="AB100" s="22">
        <f t="shared" si="52"/>
        <v>9120400</v>
      </c>
      <c r="AD100" s="331">
        <f t="shared" si="53"/>
        <v>28.3691539062351</v>
      </c>
      <c r="AE100" s="332">
        <f t="shared" si="54"/>
        <v>-24.5688139809469</v>
      </c>
      <c r="AG100" s="331">
        <f t="shared" si="55"/>
        <v>17.1923565562664</v>
      </c>
      <c r="AH100" s="332">
        <f t="shared" si="56"/>
        <v>-69.5991331016855</v>
      </c>
      <c r="AJ100" s="22">
        <f t="shared" si="57"/>
        <v>0</v>
      </c>
      <c r="AK100" s="22">
        <f t="shared" si="68"/>
        <v>0</v>
      </c>
      <c r="AM100" s="22" t="str">
        <f t="shared" si="62"/>
        <v>0.00146926847179796+0.0541883584707443i</v>
      </c>
      <c r="AN100" s="22" t="str">
        <f t="shared" si="63"/>
        <v>0.05421491316i</v>
      </c>
      <c r="AO100" s="22" t="str">
        <f t="shared" si="64"/>
        <v>0.999510195853725-0.027100817582458i</v>
      </c>
      <c r="AP100" s="22" t="str">
        <f t="shared" si="65"/>
        <v>0.166421788588034-0.00903139307845738i</v>
      </c>
      <c r="AQ100" s="22" t="str">
        <f t="shared" si="66"/>
        <v>0.833578211411966+0.00903139307845738i</v>
      </c>
      <c r="AR100" s="22" t="str">
        <f t="shared" si="67"/>
        <v>0.999189059201498-0.0108257018115399i</v>
      </c>
    </row>
    <row r="101" spans="7:44">
      <c r="G101" s="257">
        <v>3311.3</v>
      </c>
      <c r="H101" s="256">
        <f t="shared" si="59"/>
        <v>3.3113</v>
      </c>
      <c r="I101" s="298">
        <f t="shared" si="36"/>
        <v>3.38186241363392</v>
      </c>
      <c r="J101" s="299">
        <f t="shared" si="37"/>
        <v>1.2706132964822</v>
      </c>
      <c r="K101" s="299">
        <f t="shared" si="38"/>
        <v>1.00000160074942</v>
      </c>
      <c r="L101" s="300">
        <f t="shared" si="39"/>
        <v>0.00178927207816381</v>
      </c>
      <c r="M101" s="299">
        <f t="shared" si="40"/>
        <v>1.00006890227978</v>
      </c>
      <c r="N101" s="300">
        <f t="shared" si="41"/>
        <v>-0.0117386816759666</v>
      </c>
      <c r="O101" s="298">
        <f t="shared" si="42"/>
        <v>5991.98739080509</v>
      </c>
      <c r="P101" s="301">
        <f t="shared" si="43"/>
        <v>1.57062943725735</v>
      </c>
      <c r="Q101" s="320">
        <f t="shared" si="44"/>
        <v>2.68948285674596</v>
      </c>
      <c r="R101" s="321">
        <f t="shared" si="45"/>
        <v>1.18982891937751</v>
      </c>
      <c r="S101" s="298">
        <f t="shared" si="46"/>
        <v>1.00013850858628</v>
      </c>
      <c r="T101" s="301">
        <f t="shared" si="47"/>
        <v>0.016642872407054</v>
      </c>
      <c r="U101" s="316">
        <f t="shared" si="60"/>
        <v>0.999029421708794</v>
      </c>
      <c r="V101" s="317">
        <f t="shared" si="61"/>
        <v>-0.0415992679985506</v>
      </c>
      <c r="W101" s="318">
        <f t="shared" si="48"/>
        <v>19.31397111123</v>
      </c>
      <c r="X101" s="319">
        <f t="shared" si="49"/>
        <v>-98.5261299187788</v>
      </c>
      <c r="Y101" s="332">
        <f t="shared" si="50"/>
        <v>81.4738700812212</v>
      </c>
      <c r="AA101" s="22">
        <f t="shared" si="51"/>
        <v>1000000000</v>
      </c>
      <c r="AB101" s="22">
        <f t="shared" si="52"/>
        <v>10964707.69</v>
      </c>
      <c r="AD101" s="331">
        <f t="shared" si="53"/>
        <v>28.2492044728107</v>
      </c>
      <c r="AE101" s="332">
        <f t="shared" si="54"/>
        <v>-22.7718288848301</v>
      </c>
      <c r="AG101" s="331">
        <f t="shared" si="55"/>
        <v>16.4695784537619</v>
      </c>
      <c r="AH101" s="332">
        <f t="shared" si="56"/>
        <v>-70.9873760542002</v>
      </c>
      <c r="AJ101" s="22">
        <f t="shared" si="57"/>
        <v>0</v>
      </c>
      <c r="AK101" s="22">
        <f t="shared" si="68"/>
        <v>0</v>
      </c>
      <c r="AM101" s="22" t="str">
        <f t="shared" si="62"/>
        <v>0.00176629329209399+0.0594093157021131i</v>
      </c>
      <c r="AN101" s="22" t="str">
        <f t="shared" si="63"/>
        <v>0.0594443185254i</v>
      </c>
      <c r="AO101" s="22" t="str">
        <f t="shared" si="64"/>
        <v>0.99941116621142-0.029713408041498i</v>
      </c>
      <c r="AP101" s="22" t="str">
        <f t="shared" si="65"/>
        <v>0.166372284451318-0.00990155261701885i</v>
      </c>
      <c r="AQ101" s="22" t="str">
        <f t="shared" si="66"/>
        <v>0.833627715548682+0.00990155261701885i</v>
      </c>
      <c r="AR101" s="22" t="str">
        <f t="shared" si="67"/>
        <v>0.999106054480339-0.0118670492642006i</v>
      </c>
    </row>
    <row r="102" spans="7:44">
      <c r="G102" s="257">
        <v>3630.8</v>
      </c>
      <c r="H102" s="256">
        <f t="shared" si="59"/>
        <v>3.6308</v>
      </c>
      <c r="I102" s="298">
        <f t="shared" si="36"/>
        <v>3.6807941267105</v>
      </c>
      <c r="J102" s="299">
        <f t="shared" si="37"/>
        <v>1.295657543315</v>
      </c>
      <c r="K102" s="299">
        <f t="shared" si="38"/>
        <v>1.00000192455744</v>
      </c>
      <c r="L102" s="300">
        <f t="shared" si="39"/>
        <v>0.0019619145528913</v>
      </c>
      <c r="M102" s="299">
        <f t="shared" si="40"/>
        <v>1.00008283963195</v>
      </c>
      <c r="N102" s="300">
        <f t="shared" si="41"/>
        <v>-0.0128712014733956</v>
      </c>
      <c r="O102" s="298">
        <f t="shared" si="42"/>
        <v>6570.14096202699</v>
      </c>
      <c r="P102" s="301">
        <f t="shared" si="43"/>
        <v>1.57064412305838</v>
      </c>
      <c r="Q102" s="320">
        <f t="shared" si="44"/>
        <v>2.91448582934669</v>
      </c>
      <c r="R102" s="321">
        <f t="shared" si="45"/>
        <v>1.22056649689166</v>
      </c>
      <c r="S102" s="298">
        <f t="shared" si="46"/>
        <v>1.000166524527</v>
      </c>
      <c r="T102" s="301">
        <f t="shared" si="47"/>
        <v>0.0182483654940808</v>
      </c>
      <c r="U102" s="316">
        <f t="shared" si="60"/>
        <v>0.998914114471654</v>
      </c>
      <c r="V102" s="317">
        <f t="shared" si="61"/>
        <v>-0.0456104840472449</v>
      </c>
      <c r="W102" s="318">
        <f t="shared" si="48"/>
        <v>18.4749246648069</v>
      </c>
      <c r="X102" s="319">
        <f t="shared" si="49"/>
        <v>-98.5775781815122</v>
      </c>
      <c r="Y102" s="332">
        <f t="shared" si="50"/>
        <v>81.4224218184878</v>
      </c>
      <c r="AA102" s="22">
        <f t="shared" si="51"/>
        <v>1000000000</v>
      </c>
      <c r="AB102" s="22">
        <f t="shared" si="52"/>
        <v>13182708.64</v>
      </c>
      <c r="AD102" s="331">
        <f t="shared" si="53"/>
        <v>28.1467485878765</v>
      </c>
      <c r="AE102" s="332">
        <f t="shared" si="54"/>
        <v>-21.1035248312488</v>
      </c>
      <c r="AG102" s="331">
        <f t="shared" si="55"/>
        <v>15.7349930459107</v>
      </c>
      <c r="AH102" s="332">
        <f t="shared" si="56"/>
        <v>-72.2474768693792</v>
      </c>
      <c r="AJ102" s="22">
        <f t="shared" si="57"/>
        <v>0</v>
      </c>
      <c r="AK102" s="22">
        <f t="shared" si="68"/>
        <v>0</v>
      </c>
      <c r="AM102" s="22" t="str">
        <f t="shared" si="62"/>
        <v>0.00212346224519699+0.0651338268374163i</v>
      </c>
      <c r="AN102" s="22" t="str">
        <f t="shared" si="63"/>
        <v>0.0651799691064i</v>
      </c>
      <c r="AO102" s="22" t="str">
        <f t="shared" si="64"/>
        <v>0.999292078998866-0.0325784481691092i</v>
      </c>
      <c r="AP102" s="22" t="str">
        <f t="shared" si="65"/>
        <v>0.166312756292467-0.010855637806236i</v>
      </c>
      <c r="AQ102" s="22" t="str">
        <f t="shared" si="66"/>
        <v>0.833687243707533+0.010855637806236i</v>
      </c>
      <c r="AR102" s="22" t="str">
        <f t="shared" si="67"/>
        <v>0.99900627356184-0.0130082958013321i</v>
      </c>
    </row>
    <row r="103" spans="7:44">
      <c r="G103" s="257">
        <v>3981.1</v>
      </c>
      <c r="H103" s="256">
        <f t="shared" si="59"/>
        <v>3.9811</v>
      </c>
      <c r="I103" s="298">
        <f t="shared" si="36"/>
        <v>4.01078071653658</v>
      </c>
      <c r="J103" s="299">
        <f t="shared" si="37"/>
        <v>1.31881003128399</v>
      </c>
      <c r="K103" s="299">
        <f t="shared" si="38"/>
        <v>1.00000231383461</v>
      </c>
      <c r="L103" s="300">
        <f t="shared" si="39"/>
        <v>0.0021511997354667</v>
      </c>
      <c r="M103" s="299">
        <f t="shared" si="40"/>
        <v>1.00009959465746</v>
      </c>
      <c r="N103" s="300">
        <f t="shared" si="41"/>
        <v>-0.0141128588350613</v>
      </c>
      <c r="O103" s="298">
        <f t="shared" si="42"/>
        <v>7204.02890078065</v>
      </c>
      <c r="P103" s="301">
        <f t="shared" si="43"/>
        <v>1.57065751558009</v>
      </c>
      <c r="Q103" s="320">
        <f t="shared" si="44"/>
        <v>3.16387024013364</v>
      </c>
      <c r="R103" s="321">
        <f t="shared" si="45"/>
        <v>1.24921355587422</v>
      </c>
      <c r="S103" s="298">
        <f t="shared" si="46"/>
        <v>1.0002002038458</v>
      </c>
      <c r="T103" s="301">
        <f t="shared" si="47"/>
        <v>0.0200085206942218</v>
      </c>
      <c r="U103" s="316">
        <f t="shared" si="60"/>
        <v>0.998775543808797</v>
      </c>
      <c r="V103" s="317">
        <f t="shared" si="61"/>
        <v>-0.0500075557880318</v>
      </c>
      <c r="W103" s="318">
        <f t="shared" si="48"/>
        <v>17.6409473912197</v>
      </c>
      <c r="X103" s="319">
        <f t="shared" si="49"/>
        <v>-98.6766093888422</v>
      </c>
      <c r="Y103" s="332">
        <f t="shared" si="50"/>
        <v>81.3233906111578</v>
      </c>
      <c r="AA103" s="22">
        <f t="shared" si="51"/>
        <v>1000000000</v>
      </c>
      <c r="AB103" s="22">
        <f t="shared" si="52"/>
        <v>15849157.21</v>
      </c>
      <c r="AD103" s="331">
        <f t="shared" si="53"/>
        <v>28.0595752346162</v>
      </c>
      <c r="AE103" s="332">
        <f t="shared" si="54"/>
        <v>-19.5637860535535</v>
      </c>
      <c r="AG103" s="331">
        <f t="shared" si="55"/>
        <v>14.9905991285221</v>
      </c>
      <c r="AH103" s="332">
        <f t="shared" si="56"/>
        <v>-73.3823795479021</v>
      </c>
      <c r="AJ103" s="22">
        <f t="shared" si="57"/>
        <v>0</v>
      </c>
      <c r="AK103" s="22">
        <f t="shared" si="68"/>
        <v>0</v>
      </c>
      <c r="AM103" s="22" t="str">
        <f t="shared" si="62"/>
        <v>0.00255278924229196+0.0714077149310096i</v>
      </c>
      <c r="AN103" s="22" t="str">
        <f t="shared" si="63"/>
        <v>0.0714685399938i</v>
      </c>
      <c r="AO103" s="22" t="str">
        <f t="shared" si="64"/>
        <v>0.999148925348193-0.0357190624366108i</v>
      </c>
      <c r="AP103" s="22" t="str">
        <f t="shared" si="65"/>
        <v>0.166241201792951-0.0119012858218349i</v>
      </c>
      <c r="AQ103" s="22" t="str">
        <f t="shared" si="66"/>
        <v>0.833758798207049+0.0119012858218349i</v>
      </c>
      <c r="AR103" s="22" t="str">
        <f t="shared" si="67"/>
        <v>0.998886379351648-0.0142583590479241i</v>
      </c>
    </row>
    <row r="104" spans="7:44">
      <c r="G104" s="257">
        <v>4365.2</v>
      </c>
      <c r="H104" s="256">
        <f t="shared" si="59"/>
        <v>4.3652</v>
      </c>
      <c r="I104" s="298">
        <f t="shared" si="36"/>
        <v>4.37468684125764</v>
      </c>
      <c r="J104" s="299">
        <f t="shared" si="37"/>
        <v>1.34016950842734</v>
      </c>
      <c r="K104" s="299">
        <f t="shared" si="38"/>
        <v>1.00000278185399</v>
      </c>
      <c r="L104" s="300">
        <f t="shared" si="39"/>
        <v>0.00235874862609171</v>
      </c>
      <c r="M104" s="299">
        <f t="shared" si="40"/>
        <v>1.00011973849306</v>
      </c>
      <c r="N104" s="300">
        <f t="shared" si="41"/>
        <v>-0.0154742719714407</v>
      </c>
      <c r="O104" s="298">
        <f t="shared" si="42"/>
        <v>7899.07987910779</v>
      </c>
      <c r="P104" s="301">
        <f t="shared" si="43"/>
        <v>1.5706697297712</v>
      </c>
      <c r="Q104" s="320">
        <f t="shared" si="44"/>
        <v>3.43984672261588</v>
      </c>
      <c r="R104" s="321">
        <f t="shared" si="45"/>
        <v>1.27582686839227</v>
      </c>
      <c r="S104" s="298">
        <f t="shared" si="46"/>
        <v>1.00024069426591</v>
      </c>
      <c r="T104" s="301">
        <f t="shared" si="47"/>
        <v>0.0219383681125478</v>
      </c>
      <c r="U104" s="316">
        <f t="shared" si="60"/>
        <v>0.998609015536465</v>
      </c>
      <c r="V104" s="317">
        <f t="shared" si="61"/>
        <v>-0.0548278044210542</v>
      </c>
      <c r="W104" s="318">
        <f t="shared" si="48"/>
        <v>16.8113527835011</v>
      </c>
      <c r="X104" s="319">
        <f t="shared" si="49"/>
        <v>-98.8291501838534</v>
      </c>
      <c r="Y104" s="332">
        <f t="shared" si="50"/>
        <v>81.1708498161466</v>
      </c>
      <c r="AA104" s="22">
        <f t="shared" si="51"/>
        <v>1000000000</v>
      </c>
      <c r="AB104" s="22">
        <f t="shared" si="52"/>
        <v>19054971.04</v>
      </c>
      <c r="AD104" s="331">
        <f t="shared" si="53"/>
        <v>27.9856109858806</v>
      </c>
      <c r="AE104" s="332">
        <f t="shared" si="54"/>
        <v>-18.1502274995664</v>
      </c>
      <c r="AG104" s="331">
        <f t="shared" si="55"/>
        <v>14.2378654499838</v>
      </c>
      <c r="AH104" s="332">
        <f t="shared" si="56"/>
        <v>-74.3961190905174</v>
      </c>
      <c r="AJ104" s="22">
        <f t="shared" si="57"/>
        <v>0</v>
      </c>
      <c r="AK104" s="22">
        <f t="shared" si="68"/>
        <v>0</v>
      </c>
      <c r="AM104" s="22" t="str">
        <f t="shared" si="62"/>
        <v>0.00306887844271697+0.0782837075676579i</v>
      </c>
      <c r="AN104" s="22" t="str">
        <f t="shared" si="63"/>
        <v>0.0783638870616i</v>
      </c>
      <c r="AO104" s="22" t="str">
        <f t="shared" si="64"/>
        <v>0.998976831076806-0.0391618966055703i</v>
      </c>
      <c r="AP104" s="22" t="str">
        <f t="shared" si="65"/>
        <v>0.166155186926214-0.0130472845946097i</v>
      </c>
      <c r="AQ104" s="22" t="str">
        <f t="shared" si="66"/>
        <v>0.833844813073786+0.0130472845946097i</v>
      </c>
      <c r="AR104" s="22" t="str">
        <f t="shared" si="67"/>
        <v>0.998742321164228-0.0156274586069263i</v>
      </c>
    </row>
    <row r="105" spans="7:44">
      <c r="G105" s="257">
        <v>4786.3</v>
      </c>
      <c r="H105" s="256">
        <f t="shared" si="59"/>
        <v>4.7863</v>
      </c>
      <c r="I105" s="298">
        <f t="shared" si="36"/>
        <v>4.77557422629534</v>
      </c>
      <c r="J105" s="299">
        <f t="shared" si="37"/>
        <v>1.35983613371157</v>
      </c>
      <c r="K105" s="299">
        <f t="shared" si="38"/>
        <v>1.00000334445802</v>
      </c>
      <c r="L105" s="300">
        <f t="shared" si="39"/>
        <v>0.00258629027642735</v>
      </c>
      <c r="M105" s="299">
        <f t="shared" si="40"/>
        <v>1.00014395278446</v>
      </c>
      <c r="N105" s="300">
        <f t="shared" si="41"/>
        <v>-0.0169667626796231</v>
      </c>
      <c r="O105" s="298">
        <f t="shared" si="42"/>
        <v>8661.08448052981</v>
      </c>
      <c r="P105" s="301">
        <f t="shared" si="43"/>
        <v>1.57068086781231</v>
      </c>
      <c r="Q105" s="320">
        <f t="shared" si="44"/>
        <v>3.74477375120597</v>
      </c>
      <c r="R105" s="321">
        <f t="shared" si="45"/>
        <v>1.30047736449566</v>
      </c>
      <c r="S105" s="298">
        <f t="shared" si="46"/>
        <v>1.00028936547709</v>
      </c>
      <c r="T105" s="301">
        <f t="shared" si="47"/>
        <v>0.024053927635029</v>
      </c>
      <c r="U105" s="316">
        <f t="shared" si="60"/>
        <v>0.998408936870315</v>
      </c>
      <c r="V105" s="317">
        <f t="shared" si="61"/>
        <v>-0.0601109462865174</v>
      </c>
      <c r="W105" s="318">
        <f t="shared" si="48"/>
        <v>15.9856467462028</v>
      </c>
      <c r="X105" s="319">
        <f t="shared" si="49"/>
        <v>-99.0406241889868</v>
      </c>
      <c r="Y105" s="332">
        <f t="shared" si="50"/>
        <v>80.9593758110132</v>
      </c>
      <c r="AA105" s="22">
        <f t="shared" si="51"/>
        <v>1000000000</v>
      </c>
      <c r="AB105" s="22">
        <f t="shared" si="52"/>
        <v>22908667.69</v>
      </c>
      <c r="AD105" s="331">
        <f t="shared" si="53"/>
        <v>27.923002819855</v>
      </c>
      <c r="AE105" s="332">
        <f t="shared" si="54"/>
        <v>-16.8597089031586</v>
      </c>
      <c r="AG105" s="331">
        <f t="shared" si="55"/>
        <v>13.4782484912724</v>
      </c>
      <c r="AH105" s="332">
        <f t="shared" si="56"/>
        <v>-75.2927082284473</v>
      </c>
      <c r="AJ105" s="22">
        <f t="shared" si="57"/>
        <v>0</v>
      </c>
      <c r="AK105" s="22">
        <f t="shared" si="68"/>
        <v>0</v>
      </c>
      <c r="AM105" s="22" t="str">
        <f t="shared" si="62"/>
        <v>0.00368914965658795+0.0858177690690373i</v>
      </c>
      <c r="AN105" s="22" t="str">
        <f t="shared" si="63"/>
        <v>0.0859234565754i</v>
      </c>
      <c r="AO105" s="22" t="str">
        <f t="shared" si="64"/>
        <v>0.99876998074129-0.0429353031596282i</v>
      </c>
      <c r="AP105" s="22" t="str">
        <f t="shared" si="65"/>
        <v>0.166051808390569-0.0143029615115062i</v>
      </c>
      <c r="AQ105" s="22" t="str">
        <f t="shared" si="66"/>
        <v>0.833948191609431+0.0143029615115062i</v>
      </c>
      <c r="AR105" s="22" t="str">
        <f t="shared" si="67"/>
        <v>0.998569276477715-0.017126361171753i</v>
      </c>
    </row>
    <row r="106" spans="7:44">
      <c r="G106" s="257">
        <v>5248.1</v>
      </c>
      <c r="H106" s="256">
        <f t="shared" si="59"/>
        <v>5.2481</v>
      </c>
      <c r="I106" s="298">
        <f t="shared" si="36"/>
        <v>5.216988920642</v>
      </c>
      <c r="J106" s="299">
        <f t="shared" si="37"/>
        <v>1.37792124826467</v>
      </c>
      <c r="K106" s="299">
        <f t="shared" si="38"/>
        <v>1.00000402096204</v>
      </c>
      <c r="L106" s="300">
        <f t="shared" si="39"/>
        <v>0.0028358238886462</v>
      </c>
      <c r="M106" s="299">
        <f t="shared" si="40"/>
        <v>1.00017306853557</v>
      </c>
      <c r="N106" s="300">
        <f t="shared" si="41"/>
        <v>-0.0186034178931908</v>
      </c>
      <c r="O106" s="298">
        <f t="shared" si="42"/>
        <v>9496.7380672535</v>
      </c>
      <c r="P106" s="301">
        <f t="shared" si="43"/>
        <v>1.57069102748109</v>
      </c>
      <c r="Q106" s="320">
        <f t="shared" si="44"/>
        <v>4.08137778254148</v>
      </c>
      <c r="R106" s="321">
        <f t="shared" si="45"/>
        <v>1.32326085373028</v>
      </c>
      <c r="S106" s="298">
        <f t="shared" si="46"/>
        <v>1.00034788714513</v>
      </c>
      <c r="T106" s="301">
        <f t="shared" si="47"/>
        <v>0.0263737111725319</v>
      </c>
      <c r="U106" s="316">
        <f t="shared" si="60"/>
        <v>0.998168502537805</v>
      </c>
      <c r="V106" s="317">
        <f t="shared" si="61"/>
        <v>-0.0659028194204297</v>
      </c>
      <c r="W106" s="318">
        <f t="shared" si="48"/>
        <v>15.1629996073434</v>
      </c>
      <c r="X106" s="319">
        <f t="shared" si="49"/>
        <v>-99.3162491611819</v>
      </c>
      <c r="Y106" s="332">
        <f t="shared" si="50"/>
        <v>80.6837508388181</v>
      </c>
      <c r="AA106" s="22">
        <f t="shared" si="51"/>
        <v>1000000000</v>
      </c>
      <c r="AB106" s="22">
        <f t="shared" si="52"/>
        <v>27542553.61</v>
      </c>
      <c r="AD106" s="331">
        <f t="shared" si="53"/>
        <v>27.8700752100402</v>
      </c>
      <c r="AE106" s="332">
        <f t="shared" si="54"/>
        <v>-15.6878070383195</v>
      </c>
      <c r="AG106" s="331">
        <f t="shared" si="55"/>
        <v>12.7127128942833</v>
      </c>
      <c r="AH106" s="332">
        <f t="shared" si="56"/>
        <v>-76.0765352926266</v>
      </c>
      <c r="AJ106" s="22">
        <f t="shared" si="57"/>
        <v>0</v>
      </c>
      <c r="AK106" s="22">
        <f t="shared" si="68"/>
        <v>0</v>
      </c>
      <c r="AM106" s="22" t="str">
        <f t="shared" si="62"/>
        <v>0.00443482605178303+0.0940743558120693i</v>
      </c>
      <c r="AN106" s="22" t="str">
        <f t="shared" si="63"/>
        <v>0.0942136707798i</v>
      </c>
      <c r="AO106" s="22" t="str">
        <f t="shared" si="64"/>
        <v>0.998521287127679-0.0470720014948604i</v>
      </c>
      <c r="AP106" s="22" t="str">
        <f t="shared" si="65"/>
        <v>0.16592752899137-0.0156790593020115i</v>
      </c>
      <c r="AQ106" s="22" t="str">
        <f t="shared" si="66"/>
        <v>0.83407247100863+0.0156790593020115i</v>
      </c>
      <c r="AR106" s="22" t="str">
        <f t="shared" si="67"/>
        <v>0.998361382072445-0.0187673947509893i</v>
      </c>
    </row>
    <row r="107" spans="7:44">
      <c r="G107" s="257">
        <v>5370.3</v>
      </c>
      <c r="H107" s="256">
        <f t="shared" si="59"/>
        <v>5.3703</v>
      </c>
      <c r="I107" s="298">
        <f t="shared" si="36"/>
        <v>5.33405023672679</v>
      </c>
      <c r="J107" s="299">
        <f t="shared" si="37"/>
        <v>1.38220559581031</v>
      </c>
      <c r="K107" s="299">
        <f t="shared" si="38"/>
        <v>1.00000421039482</v>
      </c>
      <c r="L107" s="300">
        <f t="shared" si="39"/>
        <v>0.00290185459612551</v>
      </c>
      <c r="M107" s="299">
        <f t="shared" si="40"/>
        <v>1.00018122129929</v>
      </c>
      <c r="N107" s="300">
        <f t="shared" si="41"/>
        <v>-0.0190364879056202</v>
      </c>
      <c r="O107" s="298">
        <f t="shared" si="42"/>
        <v>9717.86597622955</v>
      </c>
      <c r="P107" s="301">
        <f t="shared" si="43"/>
        <v>1.57069342354389</v>
      </c>
      <c r="Q107" s="320">
        <f t="shared" si="44"/>
        <v>4.17076711011279</v>
      </c>
      <c r="R107" s="321">
        <f t="shared" si="45"/>
        <v>1.32867352565541</v>
      </c>
      <c r="S107" s="298">
        <f t="shared" si="46"/>
        <v>1.0003642736143</v>
      </c>
      <c r="T107" s="301">
        <f t="shared" si="47"/>
        <v>0.0269875181989668</v>
      </c>
      <c r="U107" s="316">
        <f t="shared" si="60"/>
        <v>0.998101206216858</v>
      </c>
      <c r="V107" s="317">
        <f t="shared" si="61"/>
        <v>-0.0674350916556018</v>
      </c>
      <c r="W107" s="318">
        <f t="shared" si="48"/>
        <v>14.9578543819041</v>
      </c>
      <c r="X107" s="319">
        <f t="shared" si="49"/>
        <v>-99.3957293079718</v>
      </c>
      <c r="Y107" s="332">
        <f t="shared" si="50"/>
        <v>80.6042706920282</v>
      </c>
      <c r="AA107" s="22">
        <f t="shared" si="51"/>
        <v>1000000000</v>
      </c>
      <c r="AB107" s="22">
        <f t="shared" si="52"/>
        <v>28840122.09</v>
      </c>
      <c r="AD107" s="331">
        <f t="shared" si="53"/>
        <v>27.8581869024735</v>
      </c>
      <c r="AE107" s="332">
        <f t="shared" si="54"/>
        <v>-15.4129896171426</v>
      </c>
      <c r="AG107" s="331">
        <f t="shared" si="55"/>
        <v>12.5206272177806</v>
      </c>
      <c r="AH107" s="332">
        <f t="shared" si="56"/>
        <v>-76.2552473961118</v>
      </c>
      <c r="AJ107" s="22">
        <f t="shared" si="57"/>
        <v>0</v>
      </c>
      <c r="AK107" s="22">
        <f t="shared" si="68"/>
        <v>0</v>
      </c>
      <c r="AM107" s="22" t="str">
        <f t="shared" si="62"/>
        <v>0.00464359510583501+0.0962581281563451i</v>
      </c>
      <c r="AN107" s="22" t="str">
        <f t="shared" si="63"/>
        <v>0.0964074000474i</v>
      </c>
      <c r="AO107" s="22" t="str">
        <f t="shared" si="64"/>
        <v>0.998451655256946-0.0481663762693727i</v>
      </c>
      <c r="AP107" s="22" t="str">
        <f t="shared" si="65"/>
        <v>0.165892734149027-0.0160430213593909i</v>
      </c>
      <c r="AQ107" s="22" t="str">
        <f t="shared" si="66"/>
        <v>0.834107265850973+0.0160430213593909i</v>
      </c>
      <c r="AR107" s="22" t="str">
        <f t="shared" si="67"/>
        <v>0.998303203915075-0.0192011270963073i</v>
      </c>
    </row>
    <row r="108" spans="7:44">
      <c r="G108" s="257">
        <v>5432.85</v>
      </c>
      <c r="H108" s="256">
        <f t="shared" si="59"/>
        <v>5.43285</v>
      </c>
      <c r="I108" s="298">
        <f t="shared" si="36"/>
        <v>5.39400656186187</v>
      </c>
      <c r="J108" s="299">
        <f t="shared" si="37"/>
        <v>1.38432663280078</v>
      </c>
      <c r="K108" s="299">
        <f t="shared" si="38"/>
        <v>1.00000430904605</v>
      </c>
      <c r="L108" s="300">
        <f t="shared" si="39"/>
        <v>0.00293565344686831</v>
      </c>
      <c r="M108" s="299">
        <f t="shared" si="40"/>
        <v>1.00018546700216</v>
      </c>
      <c r="N108" s="300">
        <f t="shared" si="41"/>
        <v>-0.0192581588782767</v>
      </c>
      <c r="O108" s="298">
        <f t="shared" si="42"/>
        <v>9831.05378890549</v>
      </c>
      <c r="P108" s="301">
        <f t="shared" si="43"/>
        <v>1.57069460829928</v>
      </c>
      <c r="Q108" s="320">
        <f t="shared" si="44"/>
        <v>4.21656821361416</v>
      </c>
      <c r="R108" s="321">
        <f t="shared" si="45"/>
        <v>1.33135524841502</v>
      </c>
      <c r="S108" s="298">
        <f t="shared" si="46"/>
        <v>1.00037280711854</v>
      </c>
      <c r="T108" s="301">
        <f t="shared" si="47"/>
        <v>0.027301697178612</v>
      </c>
      <c r="U108" s="316">
        <f t="shared" si="60"/>
        <v>0.998066165294841</v>
      </c>
      <c r="V108" s="317">
        <f t="shared" si="61"/>
        <v>-0.0682193496608019</v>
      </c>
      <c r="W108" s="318">
        <f t="shared" si="48"/>
        <v>14.8547061601648</v>
      </c>
      <c r="X108" s="319">
        <f t="shared" si="49"/>
        <v>-99.4373723442647</v>
      </c>
      <c r="Y108" s="332">
        <f t="shared" si="50"/>
        <v>80.5626276557353</v>
      </c>
      <c r="AA108" s="22">
        <f t="shared" si="51"/>
        <v>1000000000</v>
      </c>
      <c r="AB108" s="22">
        <f t="shared" si="52"/>
        <v>29515859.1225</v>
      </c>
      <c r="AD108" s="331">
        <f t="shared" si="53"/>
        <v>27.8523932754693</v>
      </c>
      <c r="AE108" s="332">
        <f t="shared" si="54"/>
        <v>-15.2774072320668</v>
      </c>
      <c r="AG108" s="331">
        <f t="shared" si="55"/>
        <v>12.4238825149529</v>
      </c>
      <c r="AH108" s="332">
        <f t="shared" si="56"/>
        <v>-76.3426034698832</v>
      </c>
      <c r="AJ108" s="22">
        <f t="shared" si="57"/>
        <v>0</v>
      </c>
      <c r="AK108" s="22">
        <f t="shared" si="68"/>
        <v>0</v>
      </c>
      <c r="AM108" s="22" t="str">
        <f t="shared" si="62"/>
        <v>0.00475231037028401+0.0973757479391658i</v>
      </c>
      <c r="AN108" s="22" t="str">
        <f t="shared" si="63"/>
        <v>0.0975302950203i</v>
      </c>
      <c r="AO108" s="22" t="str">
        <f t="shared" si="64"/>
        <v>0.998415394097782-0.0487265046137189i</v>
      </c>
      <c r="AP108" s="22" t="str">
        <f t="shared" si="65"/>
        <v>0.165874614938286-0.0162292913231943i</v>
      </c>
      <c r="AQ108" s="22" t="str">
        <f t="shared" si="66"/>
        <v>0.834125385061714+0.0162292913231943i</v>
      </c>
      <c r="AR108" s="22" t="str">
        <f t="shared" si="67"/>
        <v>0.998272912586096-0.0194230534264519i</v>
      </c>
    </row>
    <row r="109" spans="7:44">
      <c r="G109" s="257">
        <v>5495.4</v>
      </c>
      <c r="H109" s="256">
        <f t="shared" si="59"/>
        <v>5.4954</v>
      </c>
      <c r="I109" s="298">
        <f t="shared" si="36"/>
        <v>5.4539866199495</v>
      </c>
      <c r="J109" s="299">
        <f t="shared" si="37"/>
        <v>1.38640102686892</v>
      </c>
      <c r="K109" s="299">
        <f t="shared" si="38"/>
        <v>1.00000440883965</v>
      </c>
      <c r="L109" s="300">
        <f t="shared" si="39"/>
        <v>0.00296945229090393</v>
      </c>
      <c r="M109" s="299">
        <f t="shared" si="40"/>
        <v>1.00018976185175</v>
      </c>
      <c r="N109" s="300">
        <f t="shared" si="41"/>
        <v>-0.0194798279580998</v>
      </c>
      <c r="O109" s="298">
        <f t="shared" si="42"/>
        <v>9944.24160159491</v>
      </c>
      <c r="P109" s="301">
        <f t="shared" si="43"/>
        <v>1.57069576608431</v>
      </c>
      <c r="Q109" s="320">
        <f t="shared" si="44"/>
        <v>4.26239898933123</v>
      </c>
      <c r="R109" s="321">
        <f t="shared" si="45"/>
        <v>1.33397932010375</v>
      </c>
      <c r="S109" s="298">
        <f t="shared" si="46"/>
        <v>1.00038143936632</v>
      </c>
      <c r="T109" s="301">
        <f t="shared" si="47"/>
        <v>0.027615870767195</v>
      </c>
      <c r="U109" s="316">
        <f t="shared" si="60"/>
        <v>0.998030722154941</v>
      </c>
      <c r="V109" s="317">
        <f t="shared" si="61"/>
        <v>-0.0690035665993607</v>
      </c>
      <c r="W109" s="318">
        <f t="shared" si="48"/>
        <v>14.7527764564488</v>
      </c>
      <c r="X109" s="319">
        <f t="shared" si="49"/>
        <v>-99.4796417858253</v>
      </c>
      <c r="Y109" s="332">
        <f t="shared" si="50"/>
        <v>80.5203582141747</v>
      </c>
      <c r="AA109" s="22">
        <f t="shared" si="51"/>
        <v>1000000000</v>
      </c>
      <c r="AB109" s="22">
        <f t="shared" si="52"/>
        <v>30199421.16</v>
      </c>
      <c r="AD109" s="331">
        <f t="shared" si="53"/>
        <v>27.8467858191157</v>
      </c>
      <c r="AE109" s="332">
        <f t="shared" si="54"/>
        <v>-15.1451261558674</v>
      </c>
      <c r="AG109" s="331">
        <f t="shared" si="55"/>
        <v>12.3281771819367</v>
      </c>
      <c r="AH109" s="332">
        <f t="shared" si="56"/>
        <v>-76.427289345936</v>
      </c>
      <c r="AJ109" s="22">
        <f t="shared" si="57"/>
        <v>0</v>
      </c>
      <c r="AK109" s="22">
        <f t="shared" si="68"/>
        <v>0</v>
      </c>
      <c r="AM109" s="22" t="str">
        <f t="shared" si="62"/>
        <v>0.00486228053556503+0.0984932449415889i</v>
      </c>
      <c r="AN109" s="22" t="str">
        <f t="shared" si="63"/>
        <v>0.0986531899932i</v>
      </c>
      <c r="AO109" s="22" t="str">
        <f t="shared" si="64"/>
        <v>0.998378713839642-0.0492866022467209i</v>
      </c>
      <c r="AP109" s="22" t="str">
        <f t="shared" si="65"/>
        <v>0.165856286577406-0.0164155408235982i</v>
      </c>
      <c r="AQ109" s="22" t="str">
        <f t="shared" si="66"/>
        <v>0.834143713422594+0.0164155408235982i</v>
      </c>
      <c r="AR109" s="22" t="str">
        <f t="shared" si="67"/>
        <v>0.998242274813022-0.0196449203540696i</v>
      </c>
    </row>
    <row r="110" spans="7:44">
      <c r="G110" s="257">
        <v>5559.4</v>
      </c>
      <c r="H110" s="256">
        <f t="shared" si="59"/>
        <v>5.5594</v>
      </c>
      <c r="I110" s="298">
        <f t="shared" si="36"/>
        <v>5.515380860003</v>
      </c>
      <c r="J110" s="299">
        <f t="shared" si="37"/>
        <v>1.38847679999477</v>
      </c>
      <c r="K110" s="299">
        <f t="shared" si="38"/>
        <v>1.00000451212901</v>
      </c>
      <c r="L110" s="300">
        <f t="shared" si="39"/>
        <v>0.00300403463429333</v>
      </c>
      <c r="M110" s="299">
        <f t="shared" si="40"/>
        <v>1.00019420713039</v>
      </c>
      <c r="N110" s="300">
        <f t="shared" si="41"/>
        <v>-0.019706633667829</v>
      </c>
      <c r="O110" s="298">
        <f t="shared" si="42"/>
        <v>10060.0532724657</v>
      </c>
      <c r="P110" s="301">
        <f t="shared" si="43"/>
        <v>1.57069692374259</v>
      </c>
      <c r="Q110" s="320">
        <f t="shared" si="44"/>
        <v>4.30932191359711</v>
      </c>
      <c r="R110" s="321">
        <f t="shared" si="45"/>
        <v>1.33660643186946</v>
      </c>
      <c r="S110" s="298">
        <f t="shared" si="46"/>
        <v>1.0003903739231</v>
      </c>
      <c r="T110" s="301">
        <f t="shared" si="47"/>
        <v>0.0279373217121187</v>
      </c>
      <c r="U110" s="316">
        <f t="shared" si="60"/>
        <v>0.997994041206954</v>
      </c>
      <c r="V110" s="317">
        <f t="shared" si="61"/>
        <v>-0.0698059198348194</v>
      </c>
      <c r="W110" s="318">
        <f t="shared" si="48"/>
        <v>14.6497148391092</v>
      </c>
      <c r="X110" s="319">
        <f t="shared" si="49"/>
        <v>-99.5235215618127</v>
      </c>
      <c r="Y110" s="332">
        <f t="shared" si="50"/>
        <v>80.4764784381873</v>
      </c>
      <c r="AA110" s="22">
        <f t="shared" si="51"/>
        <v>1000000000</v>
      </c>
      <c r="AB110" s="22">
        <f t="shared" si="52"/>
        <v>30906928.36</v>
      </c>
      <c r="AD110" s="331">
        <f t="shared" si="53"/>
        <v>27.841232731704</v>
      </c>
      <c r="AE110" s="332">
        <f t="shared" si="54"/>
        <v>-15.0130878506306</v>
      </c>
      <c r="AG110" s="331">
        <f t="shared" si="55"/>
        <v>12.2313071344004</v>
      </c>
      <c r="AH110" s="332">
        <f t="shared" si="56"/>
        <v>-76.5112645189145</v>
      </c>
      <c r="AJ110" s="22">
        <f t="shared" si="57"/>
        <v>0</v>
      </c>
      <c r="AK110" s="22">
        <f t="shared" si="68"/>
        <v>0</v>
      </c>
      <c r="AM110" s="22" t="str">
        <f t="shared" si="62"/>
        <v>0.00497609869828097+0.0996365185978864i</v>
      </c>
      <c r="AN110" s="22" t="str">
        <f t="shared" si="63"/>
        <v>0.0998021153052i</v>
      </c>
      <c r="AO110" s="22" t="str">
        <f t="shared" si="64"/>
        <v>0.998340749524124-0.0498596516022111i</v>
      </c>
      <c r="AP110" s="22" t="str">
        <f t="shared" si="65"/>
        <v>0.16583731688362-0.0166060864329811i</v>
      </c>
      <c r="AQ110" s="22" t="str">
        <f t="shared" si="66"/>
        <v>0.83416268311638+0.0166060864329811i</v>
      </c>
      <c r="AR110" s="22" t="str">
        <f t="shared" si="67"/>
        <v>0.998210568382989-0.019871868296667i</v>
      </c>
    </row>
    <row r="111" spans="7:44">
      <c r="G111" s="257">
        <v>5623.4</v>
      </c>
      <c r="H111" s="256">
        <f t="shared" si="59"/>
        <v>5.6234</v>
      </c>
      <c r="I111" s="298">
        <f t="shared" si="36"/>
        <v>5.57679834161003</v>
      </c>
      <c r="J111" s="299">
        <f t="shared" si="37"/>
        <v>1.39050686057914</v>
      </c>
      <c r="K111" s="299">
        <f t="shared" si="38"/>
        <v>1.00000461661431</v>
      </c>
      <c r="L111" s="300">
        <f t="shared" si="39"/>
        <v>0.00303861697049744</v>
      </c>
      <c r="M111" s="299">
        <f t="shared" si="40"/>
        <v>1.0001987038594</v>
      </c>
      <c r="N111" s="300">
        <f t="shared" si="41"/>
        <v>-0.0199334373498628</v>
      </c>
      <c r="O111" s="298">
        <f t="shared" si="42"/>
        <v>10175.8649433496</v>
      </c>
      <c r="P111" s="301">
        <f t="shared" si="43"/>
        <v>1.57069805505022</v>
      </c>
      <c r="Q111" s="320">
        <f t="shared" si="44"/>
        <v>4.35627393874524</v>
      </c>
      <c r="R111" s="321">
        <f t="shared" si="45"/>
        <v>1.33917693091137</v>
      </c>
      <c r="S111" s="298">
        <f t="shared" si="46"/>
        <v>1.00039941184907</v>
      </c>
      <c r="T111" s="301">
        <f t="shared" si="47"/>
        <v>0.0282587668820773</v>
      </c>
      <c r="U111" s="316">
        <f t="shared" si="60"/>
        <v>0.997956939437145</v>
      </c>
      <c r="V111" s="317">
        <f t="shared" si="61"/>
        <v>-0.0706082290888715</v>
      </c>
      <c r="W111" s="318">
        <f t="shared" si="48"/>
        <v>14.5478685594979</v>
      </c>
      <c r="X111" s="319">
        <f t="shared" si="49"/>
        <v>-99.5680213958658</v>
      </c>
      <c r="Y111" s="332">
        <f t="shared" si="50"/>
        <v>80.4319786041342</v>
      </c>
      <c r="AA111" s="22">
        <f t="shared" si="51"/>
        <v>1000000000</v>
      </c>
      <c r="AB111" s="22">
        <f t="shared" si="52"/>
        <v>31622627.56</v>
      </c>
      <c r="AD111" s="331">
        <f t="shared" si="53"/>
        <v>27.8358580683078</v>
      </c>
      <c r="AE111" s="332">
        <f t="shared" si="54"/>
        <v>-14.8842913748753</v>
      </c>
      <c r="AG111" s="331">
        <f t="shared" si="55"/>
        <v>12.1354813494327</v>
      </c>
      <c r="AH111" s="332">
        <f t="shared" si="56"/>
        <v>-76.5926229603746</v>
      </c>
      <c r="AJ111" s="22">
        <f t="shared" si="57"/>
        <v>0</v>
      </c>
      <c r="AK111" s="22">
        <f t="shared" si="68"/>
        <v>0</v>
      </c>
      <c r="AM111" s="22" t="str">
        <f t="shared" si="62"/>
        <v>0.00509123032162795+0.100779660731067i</v>
      </c>
      <c r="AN111" s="22" t="str">
        <f t="shared" si="63"/>
        <v>0.1009510406172i</v>
      </c>
      <c r="AO111" s="22" t="str">
        <f t="shared" si="64"/>
        <v>0.998302346512872-0.0504326680587036i</v>
      </c>
      <c r="AP111" s="22" t="str">
        <f t="shared" si="65"/>
        <v>0.165818128279729-0.0167966101218445i</v>
      </c>
      <c r="AQ111" s="22" t="str">
        <f t="shared" si="66"/>
        <v>0.834181871720271+0.0167966101218445i</v>
      </c>
      <c r="AR111" s="22" t="str">
        <f t="shared" si="67"/>
        <v>0.998178499577047-0.0200987526315192i</v>
      </c>
    </row>
    <row r="112" spans="7:44">
      <c r="G112" s="257">
        <v>5688.9</v>
      </c>
      <c r="H112" s="256">
        <f t="shared" si="59"/>
        <v>5.6889</v>
      </c>
      <c r="I112" s="298">
        <f t="shared" si="36"/>
        <v>5.63967856809907</v>
      </c>
      <c r="J112" s="299">
        <f t="shared" si="37"/>
        <v>1.39253870981996</v>
      </c>
      <c r="K112" s="299">
        <f t="shared" si="38"/>
        <v>1.0000047247868</v>
      </c>
      <c r="L112" s="300">
        <f t="shared" si="39"/>
        <v>0.00307400982268013</v>
      </c>
      <c r="M112" s="299">
        <f t="shared" si="40"/>
        <v>1.00020335925306</v>
      </c>
      <c r="N112" s="300">
        <f t="shared" si="41"/>
        <v>-0.0201655546193353</v>
      </c>
      <c r="O112" s="298">
        <f t="shared" si="42"/>
        <v>10294.3909502831</v>
      </c>
      <c r="P112" s="301">
        <f t="shared" si="43"/>
        <v>1.57069918651662</v>
      </c>
      <c r="Q112" s="320">
        <f t="shared" si="44"/>
        <v>4.40435556275118</v>
      </c>
      <c r="R112" s="321">
        <f t="shared" si="45"/>
        <v>1.34175091192579</v>
      </c>
      <c r="S112" s="298">
        <f t="shared" si="46"/>
        <v>1.00040876863017</v>
      </c>
      <c r="T112" s="301">
        <f t="shared" si="47"/>
        <v>0.0285877398744747</v>
      </c>
      <c r="U112" s="316">
        <f t="shared" si="60"/>
        <v>0.997918532502333</v>
      </c>
      <c r="V112" s="317">
        <f t="shared" si="61"/>
        <v>-0.0714292964049276</v>
      </c>
      <c r="W112" s="318">
        <f t="shared" si="48"/>
        <v>14.4448635092059</v>
      </c>
      <c r="X112" s="319">
        <f t="shared" si="49"/>
        <v>-99.6141882963829</v>
      </c>
      <c r="Y112" s="332">
        <f t="shared" si="50"/>
        <v>80.3858117036171</v>
      </c>
      <c r="AA112" s="22">
        <f t="shared" si="51"/>
        <v>1000000000</v>
      </c>
      <c r="AB112" s="22">
        <f t="shared" si="52"/>
        <v>32363583.21</v>
      </c>
      <c r="AD112" s="331">
        <f t="shared" si="53"/>
        <v>27.8305341704313</v>
      </c>
      <c r="AE112" s="332">
        <f t="shared" si="54"/>
        <v>-14.7557267183433</v>
      </c>
      <c r="AG112" s="331">
        <f t="shared" si="55"/>
        <v>12.038468772591</v>
      </c>
      <c r="AH112" s="332">
        <f t="shared" si="56"/>
        <v>-76.6732671335043</v>
      </c>
      <c r="AJ112" s="22">
        <f t="shared" si="57"/>
        <v>0</v>
      </c>
      <c r="AK112" s="22">
        <f t="shared" si="68"/>
        <v>0</v>
      </c>
      <c r="AM112" s="22" t="str">
        <f t="shared" si="62"/>
        <v>0.00521042018153095+0.101949457500243i</v>
      </c>
      <c r="AN112" s="22" t="str">
        <f t="shared" si="63"/>
        <v>0.1021268938662i</v>
      </c>
      <c r="AO112" s="22" t="str">
        <f t="shared" si="64"/>
        <v>0.998262589223663-0.0510190801294447i</v>
      </c>
      <c r="AP112" s="22" t="str">
        <f t="shared" si="65"/>
        <v>0.165798263303078-0.0169915762500405i</v>
      </c>
      <c r="AQ112" s="22" t="str">
        <f t="shared" si="66"/>
        <v>0.834201736696922+0.0169915762500405i</v>
      </c>
      <c r="AR112" s="22" t="str">
        <f t="shared" si="67"/>
        <v>0.998145304113099-0.0203308879583638i</v>
      </c>
    </row>
    <row r="113" spans="7:44">
      <c r="G113" s="257">
        <v>5754.4</v>
      </c>
      <c r="H113" s="256">
        <f t="shared" si="59"/>
        <v>5.7544</v>
      </c>
      <c r="I113" s="298">
        <f t="shared" si="36"/>
        <v>5.70258156398182</v>
      </c>
      <c r="J113" s="299">
        <f t="shared" si="37"/>
        <v>1.39452574201044</v>
      </c>
      <c r="K113" s="299">
        <f t="shared" si="38"/>
        <v>1.00000483421195</v>
      </c>
      <c r="L113" s="300">
        <f t="shared" si="39"/>
        <v>0.00310940266716145</v>
      </c>
      <c r="M113" s="299">
        <f t="shared" si="40"/>
        <v>1.0002080685356</v>
      </c>
      <c r="N113" s="300">
        <f t="shared" si="41"/>
        <v>-0.0203976697155569</v>
      </c>
      <c r="O113" s="298">
        <f t="shared" si="42"/>
        <v>10412.9169572294</v>
      </c>
      <c r="P113" s="301">
        <f t="shared" si="43"/>
        <v>1.57070029222498</v>
      </c>
      <c r="Q113" s="320">
        <f t="shared" si="44"/>
        <v>4.45246573693373</v>
      </c>
      <c r="R113" s="321">
        <f t="shared" si="45"/>
        <v>1.34426928411442</v>
      </c>
      <c r="S113" s="298">
        <f t="shared" si="46"/>
        <v>1.00041823367671</v>
      </c>
      <c r="T113" s="301">
        <f t="shared" si="47"/>
        <v>0.0289167066775876</v>
      </c>
      <c r="U113" s="316">
        <f t="shared" si="60"/>
        <v>0.997879685073735</v>
      </c>
      <c r="V113" s="317">
        <f t="shared" si="61"/>
        <v>-0.0722503165949798</v>
      </c>
      <c r="W113" s="318">
        <f t="shared" si="48"/>
        <v>14.3430713005594</v>
      </c>
      <c r="X113" s="319">
        <f t="shared" si="49"/>
        <v>-99.6609688654426</v>
      </c>
      <c r="Y113" s="332">
        <f t="shared" si="50"/>
        <v>80.3390311345574</v>
      </c>
      <c r="AA113" s="22">
        <f t="shared" si="51"/>
        <v>1000000000</v>
      </c>
      <c r="AB113" s="22">
        <f t="shared" si="52"/>
        <v>33113119.36</v>
      </c>
      <c r="AD113" s="331">
        <f t="shared" si="53"/>
        <v>27.8253813204524</v>
      </c>
      <c r="AE113" s="332">
        <f t="shared" si="54"/>
        <v>-14.6303463823891</v>
      </c>
      <c r="AG113" s="331">
        <f t="shared" si="55"/>
        <v>11.9425056836477</v>
      </c>
      <c r="AH113" s="332">
        <f t="shared" si="56"/>
        <v>-76.7513460548407</v>
      </c>
      <c r="AJ113" s="22">
        <f t="shared" si="57"/>
        <v>0</v>
      </c>
      <c r="AK113" s="22">
        <f t="shared" si="68"/>
        <v>0</v>
      </c>
      <c r="AM113" s="22" t="str">
        <f t="shared" si="62"/>
        <v>0.005330985468051+0.103119113310969i</v>
      </c>
      <c r="AN113" s="22" t="str">
        <f t="shared" si="63"/>
        <v>0.1033027471152i</v>
      </c>
      <c r="AO113" s="22" t="str">
        <f t="shared" si="64"/>
        <v>0.998222372498708-0.0516054569401339i</v>
      </c>
      <c r="AP113" s="22" t="str">
        <f t="shared" si="65"/>
        <v>0.165778169088658-0.0171865188851615i</v>
      </c>
      <c r="AQ113" s="22" t="str">
        <f t="shared" si="66"/>
        <v>0.834221830911342+0.0171865188851615i</v>
      </c>
      <c r="AR113" s="22" t="str">
        <f t="shared" si="67"/>
        <v>0.998111729434721-0.0205629551419089i</v>
      </c>
    </row>
    <row r="114" spans="7:44">
      <c r="G114" s="257">
        <v>5821.4</v>
      </c>
      <c r="H114" s="256">
        <f t="shared" si="59"/>
        <v>5.8214</v>
      </c>
      <c r="I114" s="298">
        <f t="shared" si="36"/>
        <v>5.76694786725989</v>
      </c>
      <c r="J114" s="299">
        <f t="shared" si="37"/>
        <v>1.39651342322161</v>
      </c>
      <c r="K114" s="299">
        <f t="shared" si="38"/>
        <v>1.00000494743904</v>
      </c>
      <c r="L114" s="300">
        <f t="shared" si="39"/>
        <v>0.00314560602673847</v>
      </c>
      <c r="M114" s="299">
        <f t="shared" si="40"/>
        <v>1.00021294141767</v>
      </c>
      <c r="N114" s="300">
        <f t="shared" si="41"/>
        <v>-0.020635098150152</v>
      </c>
      <c r="O114" s="298">
        <f t="shared" si="42"/>
        <v>10534.1573002256</v>
      </c>
      <c r="P114" s="301">
        <f t="shared" si="43"/>
        <v>1.57070139751171</v>
      </c>
      <c r="Q114" s="320">
        <f t="shared" si="44"/>
        <v>4.5017062549532</v>
      </c>
      <c r="R114" s="321">
        <f t="shared" si="45"/>
        <v>1.34678962124248</v>
      </c>
      <c r="S114" s="298">
        <f t="shared" si="46"/>
        <v>1.0004280274897</v>
      </c>
      <c r="T114" s="301">
        <f t="shared" si="47"/>
        <v>0.0292532005940512</v>
      </c>
      <c r="U114" s="316">
        <f t="shared" si="60"/>
        <v>0.997839492421548</v>
      </c>
      <c r="V114" s="317">
        <f t="shared" si="61"/>
        <v>-0.0730900894589979</v>
      </c>
      <c r="W114" s="318">
        <f t="shared" si="48"/>
        <v>14.2401727699219</v>
      </c>
      <c r="X114" s="319">
        <f t="shared" si="49"/>
        <v>-99.7094377274261</v>
      </c>
      <c r="Y114" s="332">
        <f t="shared" si="50"/>
        <v>80.2905622725739</v>
      </c>
      <c r="AA114" s="22">
        <f t="shared" si="51"/>
        <v>1000000000</v>
      </c>
      <c r="AB114" s="22">
        <f t="shared" si="52"/>
        <v>33888697.96</v>
      </c>
      <c r="AD114" s="331">
        <f t="shared" si="53"/>
        <v>27.8202797424734</v>
      </c>
      <c r="AE114" s="332">
        <f t="shared" si="54"/>
        <v>-14.5052847113677</v>
      </c>
      <c r="AG114" s="331">
        <f t="shared" si="55"/>
        <v>11.8454084465506</v>
      </c>
      <c r="AH114" s="332">
        <f t="shared" si="56"/>
        <v>-76.8286457060194</v>
      </c>
      <c r="AJ114" s="22">
        <f t="shared" si="57"/>
        <v>0</v>
      </c>
      <c r="AK114" s="22">
        <f t="shared" si="68"/>
        <v>0</v>
      </c>
      <c r="AM114" s="22" t="str">
        <f t="shared" si="62"/>
        <v>0.00545573465263505+0.104315407609181i</v>
      </c>
      <c r="AN114" s="22" t="str">
        <f t="shared" si="63"/>
        <v>0.1045055283012i</v>
      </c>
      <c r="AO114" s="22" t="str">
        <f t="shared" si="64"/>
        <v>0.998180759476465-0.0522052253246435i</v>
      </c>
      <c r="AP114" s="22" t="str">
        <f t="shared" si="65"/>
        <v>0.165757377557894-0.0173859012681968i</v>
      </c>
      <c r="AQ114" s="22" t="str">
        <f t="shared" si="66"/>
        <v>0.834242622442106+0.0173859012681968i</v>
      </c>
      <c r="AR114" s="22" t="str">
        <f t="shared" si="67"/>
        <v>0.998076993716259-0.0208002655390744i</v>
      </c>
    </row>
    <row r="115" spans="7:44">
      <c r="G115" s="257">
        <v>5888.4</v>
      </c>
      <c r="H115" s="256">
        <f t="shared" si="59"/>
        <v>5.8884</v>
      </c>
      <c r="I115" s="298">
        <f t="shared" si="36"/>
        <v>5.8313364519948</v>
      </c>
      <c r="J115" s="299">
        <f t="shared" si="37"/>
        <v>1.39845721672371</v>
      </c>
      <c r="K115" s="299">
        <f t="shared" si="38"/>
        <v>1.00000506197681</v>
      </c>
      <c r="L115" s="300">
        <f t="shared" si="39"/>
        <v>0.00318180937806967</v>
      </c>
      <c r="M115" s="299">
        <f t="shared" si="40"/>
        <v>1.00021787068346</v>
      </c>
      <c r="N115" s="300">
        <f t="shared" si="41"/>
        <v>-0.0208725242579453</v>
      </c>
      <c r="O115" s="298">
        <f t="shared" si="42"/>
        <v>10655.3976432343</v>
      </c>
      <c r="P115" s="301">
        <f t="shared" si="43"/>
        <v>1.57070247764586</v>
      </c>
      <c r="Q115" s="320">
        <f t="shared" si="44"/>
        <v>4.55097474936391</v>
      </c>
      <c r="R115" s="321">
        <f t="shared" si="45"/>
        <v>1.3492554038094</v>
      </c>
      <c r="S115" s="298">
        <f t="shared" si="46"/>
        <v>1.00043793457708</v>
      </c>
      <c r="T115" s="301">
        <f t="shared" si="47"/>
        <v>0.0295896878841833</v>
      </c>
      <c r="U115" s="316">
        <f t="shared" si="60"/>
        <v>0.997798839181525</v>
      </c>
      <c r="V115" s="317">
        <f t="shared" si="61"/>
        <v>-0.0739298118813857</v>
      </c>
      <c r="W115" s="318">
        <f t="shared" si="48"/>
        <v>14.1384833969129</v>
      </c>
      <c r="X115" s="319">
        <f t="shared" si="49"/>
        <v>-99.758512911281</v>
      </c>
      <c r="Y115" s="332">
        <f t="shared" si="50"/>
        <v>80.241487088719</v>
      </c>
      <c r="AA115" s="22">
        <f t="shared" si="51"/>
        <v>1000000000</v>
      </c>
      <c r="AB115" s="22">
        <f t="shared" si="52"/>
        <v>34673254.56</v>
      </c>
      <c r="AD115" s="331">
        <f t="shared" si="53"/>
        <v>27.8153419359477</v>
      </c>
      <c r="AE115" s="332">
        <f t="shared" si="54"/>
        <v>-14.3833469656594</v>
      </c>
      <c r="AG115" s="331">
        <f t="shared" si="55"/>
        <v>11.7493646426928</v>
      </c>
      <c r="AH115" s="332">
        <f t="shared" si="56"/>
        <v>-76.9034335339421</v>
      </c>
      <c r="AJ115" s="22">
        <f t="shared" si="57"/>
        <v>0</v>
      </c>
      <c r="AK115" s="22">
        <f t="shared" si="68"/>
        <v>0</v>
      </c>
      <c r="AM115" s="22" t="str">
        <f t="shared" si="62"/>
        <v>0.00558192262691104+0.105511550996127i</v>
      </c>
      <c r="AN115" s="22" t="str">
        <f t="shared" si="63"/>
        <v>0.1057083094872i</v>
      </c>
      <c r="AO115" s="22" t="str">
        <f t="shared" si="64"/>
        <v>0.998138665805673-0.0528049559584239i</v>
      </c>
      <c r="AP115" s="22" t="str">
        <f t="shared" si="65"/>
        <v>0.165736346228848-0.0175852584993545i</v>
      </c>
      <c r="AQ115" s="22" t="str">
        <f t="shared" si="66"/>
        <v>0.834263653771152+0.0175852584993545i</v>
      </c>
      <c r="AR115" s="22" t="str">
        <f t="shared" si="67"/>
        <v>0.998041861595646-0.021037503012388i</v>
      </c>
    </row>
    <row r="116" spans="7:44">
      <c r="G116" s="257">
        <v>5957</v>
      </c>
      <c r="H116" s="256">
        <f t="shared" si="59"/>
        <v>5.957</v>
      </c>
      <c r="I116" s="298">
        <f t="shared" si="36"/>
        <v>5.89728499832412</v>
      </c>
      <c r="J116" s="299">
        <f t="shared" si="37"/>
        <v>1.4004034430759</v>
      </c>
      <c r="K116" s="299">
        <f t="shared" si="38"/>
        <v>1.00000518060783</v>
      </c>
      <c r="L116" s="300">
        <f t="shared" si="39"/>
        <v>0.00321887727840196</v>
      </c>
      <c r="M116" s="299">
        <f t="shared" si="40"/>
        <v>1.00022297608169</v>
      </c>
      <c r="N116" s="300">
        <f t="shared" si="41"/>
        <v>-0.0211156178042074</v>
      </c>
      <c r="O116" s="298">
        <f t="shared" si="42"/>
        <v>10779.533278029</v>
      </c>
      <c r="P116" s="301">
        <f t="shared" si="43"/>
        <v>1.57070355839986</v>
      </c>
      <c r="Q116" s="320">
        <f t="shared" si="44"/>
        <v>4.60144785283768</v>
      </c>
      <c r="R116" s="321">
        <f t="shared" si="45"/>
        <v>1.35172534572727</v>
      </c>
      <c r="S116" s="298">
        <f t="shared" si="46"/>
        <v>1.0004481956124</v>
      </c>
      <c r="T116" s="301">
        <f t="shared" si="47"/>
        <v>0.0299342037467402</v>
      </c>
      <c r="U116" s="316">
        <f t="shared" si="60"/>
        <v>0.99775673806773</v>
      </c>
      <c r="V116" s="317">
        <f t="shared" si="61"/>
        <v>-0.0747895345160525</v>
      </c>
      <c r="W116" s="318">
        <f t="shared" si="48"/>
        <v>14.0355884959415</v>
      </c>
      <c r="X116" s="319">
        <f t="shared" si="49"/>
        <v>-99.8093703258046</v>
      </c>
      <c r="Y116" s="332">
        <f t="shared" si="50"/>
        <v>80.1906296741954</v>
      </c>
      <c r="AA116" s="22">
        <f t="shared" si="51"/>
        <v>1000000000</v>
      </c>
      <c r="AB116" s="22">
        <f t="shared" si="52"/>
        <v>35485849</v>
      </c>
      <c r="AD116" s="331">
        <f t="shared" si="53"/>
        <v>27.8104485038087</v>
      </c>
      <c r="AE116" s="332">
        <f t="shared" si="54"/>
        <v>-14.2616309455267</v>
      </c>
      <c r="AG116" s="331">
        <f t="shared" si="55"/>
        <v>11.6520961739979</v>
      </c>
      <c r="AH116" s="332">
        <f t="shared" si="56"/>
        <v>-76.9774900114493</v>
      </c>
      <c r="AJ116" s="22">
        <f t="shared" si="57"/>
        <v>0</v>
      </c>
      <c r="AK116" s="22">
        <f t="shared" si="68"/>
        <v>0</v>
      </c>
      <c r="AM116" s="22" t="str">
        <f t="shared" si="62"/>
        <v>0.00571261459337002+0.106736100834007i</v>
      </c>
      <c r="AN116" s="22" t="str">
        <f t="shared" si="63"/>
        <v>0.106939813806i</v>
      </c>
      <c r="AO116" s="22" t="str">
        <f t="shared" si="64"/>
        <v>0.998095068948198-0.0534189689513889i</v>
      </c>
      <c r="AP116" s="22" t="str">
        <f t="shared" si="65"/>
        <v>0.165714564234438-0.0177893501390012i</v>
      </c>
      <c r="AQ116" s="22" t="str">
        <f t="shared" si="66"/>
        <v>0.834285435765562+0.0177893501390012i</v>
      </c>
      <c r="AR116" s="22" t="str">
        <f t="shared" si="67"/>
        <v>0.998005479988269-0.0212803294448762i</v>
      </c>
    </row>
    <row r="117" spans="7:44">
      <c r="G117" s="257">
        <v>6025.6</v>
      </c>
      <c r="H117" s="256">
        <f t="shared" si="59"/>
        <v>6.0256</v>
      </c>
      <c r="I117" s="298">
        <f t="shared" si="36"/>
        <v>5.9632553882508</v>
      </c>
      <c r="J117" s="299">
        <f t="shared" si="37"/>
        <v>1.40230661502125</v>
      </c>
      <c r="K117" s="299">
        <f t="shared" si="38"/>
        <v>1.00000530061289</v>
      </c>
      <c r="L117" s="300">
        <f t="shared" si="39"/>
        <v>0.00325594516988856</v>
      </c>
      <c r="M117" s="299">
        <f t="shared" si="40"/>
        <v>1.00022814058696</v>
      </c>
      <c r="N117" s="300">
        <f t="shared" si="41"/>
        <v>-0.0213587088544915</v>
      </c>
      <c r="O117" s="298">
        <f t="shared" si="42"/>
        <v>10903.668912836</v>
      </c>
      <c r="P117" s="301">
        <f t="shared" si="43"/>
        <v>1.57070461454562</v>
      </c>
      <c r="Q117" s="320">
        <f t="shared" si="44"/>
        <v>4.65194841871739</v>
      </c>
      <c r="R117" s="321">
        <f t="shared" si="45"/>
        <v>1.35414167578902</v>
      </c>
      <c r="S117" s="298">
        <f t="shared" si="46"/>
        <v>1.00045857538965</v>
      </c>
      <c r="T117" s="301">
        <f t="shared" si="47"/>
        <v>0.030278712501469</v>
      </c>
      <c r="U117" s="316">
        <f t="shared" si="60"/>
        <v>0.997714154447818</v>
      </c>
      <c r="V117" s="317">
        <f t="shared" si="61"/>
        <v>-0.0756492030573775</v>
      </c>
      <c r="W117" s="318">
        <f t="shared" si="48"/>
        <v>13.9339014524224</v>
      </c>
      <c r="X117" s="319">
        <f t="shared" si="49"/>
        <v>-99.8608275785958</v>
      </c>
      <c r="Y117" s="332">
        <f t="shared" si="50"/>
        <v>80.1391724214042</v>
      </c>
      <c r="AA117" s="22">
        <f t="shared" si="51"/>
        <v>1000000000</v>
      </c>
      <c r="AB117" s="22">
        <f t="shared" si="52"/>
        <v>36307855.36</v>
      </c>
      <c r="AD117" s="331">
        <f t="shared" si="53"/>
        <v>27.8057121421858</v>
      </c>
      <c r="AE117" s="332">
        <f t="shared" si="54"/>
        <v>-14.142984841288</v>
      </c>
      <c r="AG117" s="331">
        <f t="shared" si="55"/>
        <v>11.555886924361</v>
      </c>
      <c r="AH117" s="332">
        <f t="shared" si="56"/>
        <v>-77.0490826099703</v>
      </c>
      <c r="AJ117" s="22">
        <f t="shared" si="57"/>
        <v>0</v>
      </c>
      <c r="AK117" s="22">
        <f t="shared" si="68"/>
        <v>0</v>
      </c>
      <c r="AM117" s="22" t="str">
        <f t="shared" si="62"/>
        <v>0.00584481449875796+0.107960488795629i</v>
      </c>
      <c r="AN117" s="22" t="str">
        <f t="shared" si="63"/>
        <v>0.1081713181248i</v>
      </c>
      <c r="AO117" s="22" t="str">
        <f t="shared" si="64"/>
        <v>0.998050968289692-0.0540329414495499i</v>
      </c>
      <c r="AP117" s="22" t="str">
        <f t="shared" si="65"/>
        <v>0.165692530916874-0.0179934147992715i</v>
      </c>
      <c r="AQ117" s="22" t="str">
        <f t="shared" si="66"/>
        <v>0.834307469083126+0.0179934147992715i</v>
      </c>
      <c r="AR117" s="22" t="str">
        <f t="shared" si="67"/>
        <v>0.99796868323663-0.0215230776896837i</v>
      </c>
    </row>
    <row r="118" spans="7:44">
      <c r="G118" s="257">
        <v>6095.8</v>
      </c>
      <c r="H118" s="256">
        <f t="shared" si="59"/>
        <v>6.0958</v>
      </c>
      <c r="I118" s="298">
        <f t="shared" si="36"/>
        <v>6.03078631202833</v>
      </c>
      <c r="J118" s="299">
        <f t="shared" si="37"/>
        <v>1.40421106337624</v>
      </c>
      <c r="K118" s="299">
        <f t="shared" si="38"/>
        <v>1.00000542483938</v>
      </c>
      <c r="L118" s="300">
        <f t="shared" si="39"/>
        <v>0.00329387760934716</v>
      </c>
      <c r="M118" s="299">
        <f t="shared" si="40"/>
        <v>1.00023348673722</v>
      </c>
      <c r="N118" s="300">
        <f t="shared" si="41"/>
        <v>-0.0216074670529681</v>
      </c>
      <c r="O118" s="298">
        <f t="shared" si="42"/>
        <v>11030.6998394292</v>
      </c>
      <c r="P118" s="301">
        <f t="shared" si="43"/>
        <v>1.57070567071542</v>
      </c>
      <c r="Q118" s="320">
        <f t="shared" si="44"/>
        <v>4.70365434816493</v>
      </c>
      <c r="R118" s="321">
        <f t="shared" si="45"/>
        <v>1.35656063396389</v>
      </c>
      <c r="S118" s="298">
        <f t="shared" si="46"/>
        <v>1.00046932018544</v>
      </c>
      <c r="T118" s="301">
        <f t="shared" si="47"/>
        <v>0.0306312490022945</v>
      </c>
      <c r="U118" s="316">
        <f t="shared" si="60"/>
        <v>0.997670078289783</v>
      </c>
      <c r="V118" s="317">
        <f t="shared" si="61"/>
        <v>-0.076528865536236</v>
      </c>
      <c r="W118" s="318">
        <f t="shared" si="48"/>
        <v>13.8310632813807</v>
      </c>
      <c r="X118" s="319">
        <f t="shared" si="49"/>
        <v>-99.9140880787921</v>
      </c>
      <c r="Y118" s="332">
        <f t="shared" si="50"/>
        <v>80.0859119212079</v>
      </c>
      <c r="AA118" s="22">
        <f t="shared" si="51"/>
        <v>1000000000</v>
      </c>
      <c r="AB118" s="22">
        <f t="shared" si="52"/>
        <v>37158777.64</v>
      </c>
      <c r="AD118" s="331">
        <f t="shared" si="53"/>
        <v>27.8010208166792</v>
      </c>
      <c r="AE118" s="332">
        <f t="shared" si="54"/>
        <v>-14.0246481146078</v>
      </c>
      <c r="AG118" s="331">
        <f t="shared" si="55"/>
        <v>11.4585075313057</v>
      </c>
      <c r="AH118" s="332">
        <f t="shared" si="56"/>
        <v>-77.1198779418625</v>
      </c>
      <c r="AJ118" s="22">
        <f t="shared" si="57"/>
        <v>0</v>
      </c>
      <c r="AK118" s="22">
        <f t="shared" si="68"/>
        <v>0</v>
      </c>
      <c r="AM118" s="22" t="str">
        <f t="shared" si="62"/>
        <v>0.00598165867963496+0.109213264389954i</v>
      </c>
      <c r="AN118" s="22" t="str">
        <f t="shared" si="63"/>
        <v>0.1094315455764i</v>
      </c>
      <c r="AO118" s="22" t="str">
        <f t="shared" si="64"/>
        <v>0.998005317522509-0.0546611915981653i</v>
      </c>
      <c r="AP118" s="22" t="str">
        <f t="shared" si="65"/>
        <v>0.165669723553394-0.018202210731659i</v>
      </c>
      <c r="AQ118" s="22" t="str">
        <f t="shared" si="66"/>
        <v>0.834330276446606+0.018202210731659i</v>
      </c>
      <c r="AR118" s="22" t="str">
        <f t="shared" si="67"/>
        <v>0.997930598694103-0.0217714058398589i</v>
      </c>
    </row>
    <row r="119" spans="7:44">
      <c r="G119" s="257">
        <v>6166</v>
      </c>
      <c r="H119" s="256">
        <f t="shared" si="59"/>
        <v>6.166</v>
      </c>
      <c r="I119" s="298">
        <f t="shared" si="36"/>
        <v>6.09833862452826</v>
      </c>
      <c r="J119" s="299">
        <f t="shared" si="37"/>
        <v>1.40607332657824</v>
      </c>
      <c r="K119" s="299">
        <f t="shared" si="38"/>
        <v>1.00000555050474</v>
      </c>
      <c r="L119" s="300">
        <f t="shared" si="39"/>
        <v>0.0033318100393268</v>
      </c>
      <c r="M119" s="299">
        <f t="shared" si="40"/>
        <v>1.0002388947819</v>
      </c>
      <c r="N119" s="300">
        <f t="shared" si="41"/>
        <v>-0.0218562225768894</v>
      </c>
      <c r="O119" s="298">
        <f t="shared" si="42"/>
        <v>11157.7307660344</v>
      </c>
      <c r="P119" s="301">
        <f t="shared" si="43"/>
        <v>1.5707067028362</v>
      </c>
      <c r="Q119" s="320">
        <f t="shared" si="44"/>
        <v>4.75538720177118</v>
      </c>
      <c r="R119" s="321">
        <f t="shared" si="45"/>
        <v>1.35892697506438</v>
      </c>
      <c r="S119" s="298">
        <f t="shared" si="46"/>
        <v>1.00048018931886</v>
      </c>
      <c r="T119" s="301">
        <f t="shared" si="47"/>
        <v>0.0309837778870779</v>
      </c>
      <c r="U119" s="316">
        <f t="shared" si="60"/>
        <v>0.997625497231107</v>
      </c>
      <c r="V119" s="317">
        <f t="shared" si="61"/>
        <v>-0.0774084700692835</v>
      </c>
      <c r="W119" s="318">
        <f t="shared" si="48"/>
        <v>13.7294304058768</v>
      </c>
      <c r="X119" s="319">
        <f t="shared" si="49"/>
        <v>-99.9679409970345</v>
      </c>
      <c r="Y119" s="332">
        <f t="shared" si="50"/>
        <v>80.0320590029655</v>
      </c>
      <c r="AA119" s="22">
        <f t="shared" si="51"/>
        <v>1000000000</v>
      </c>
      <c r="AB119" s="22">
        <f t="shared" si="52"/>
        <v>38019556</v>
      </c>
      <c r="AD119" s="331">
        <f t="shared" si="53"/>
        <v>27.7964799355431</v>
      </c>
      <c r="AE119" s="332">
        <f t="shared" si="54"/>
        <v>-13.909324309949</v>
      </c>
      <c r="AG119" s="331">
        <f t="shared" si="55"/>
        <v>11.3621918152206</v>
      </c>
      <c r="AH119" s="332">
        <f t="shared" si="56"/>
        <v>-77.1882594098803</v>
      </c>
      <c r="AJ119" s="22">
        <f t="shared" si="57"/>
        <v>0</v>
      </c>
      <c r="AK119" s="22">
        <f t="shared" si="68"/>
        <v>0</v>
      </c>
      <c r="AM119" s="22" t="str">
        <f t="shared" si="62"/>
        <v>0.00612008153362198+0.110465866534719i</v>
      </c>
      <c r="AN119" s="22" t="str">
        <f t="shared" si="63"/>
        <v>0.110691773028i</v>
      </c>
      <c r="AO119" s="22" t="str">
        <f t="shared" si="64"/>
        <v>0.997959139264814-0.0552893983555027i</v>
      </c>
      <c r="AP119" s="22" t="str">
        <f t="shared" si="65"/>
        <v>0.16564665307773-0.0184109777557865i</v>
      </c>
      <c r="AQ119" s="22" t="str">
        <f t="shared" si="66"/>
        <v>0.83435334692227+0.0184109777557865i</v>
      </c>
      <c r="AR119" s="22" t="str">
        <f t="shared" si="67"/>
        <v>0.997892079872725-0.0220196502512788i</v>
      </c>
    </row>
    <row r="120" spans="7:44">
      <c r="G120" s="257">
        <v>6237.8</v>
      </c>
      <c r="H120" s="256">
        <f t="shared" si="59"/>
        <v>6.2378</v>
      </c>
      <c r="I120" s="298">
        <f t="shared" si="36"/>
        <v>6.16745198384124</v>
      </c>
      <c r="J120" s="299">
        <f t="shared" si="37"/>
        <v>1.40793582776172</v>
      </c>
      <c r="K120" s="299">
        <f t="shared" si="38"/>
        <v>1.00000568052272</v>
      </c>
      <c r="L120" s="300">
        <f t="shared" si="39"/>
        <v>0.00337060701619583</v>
      </c>
      <c r="M120" s="299">
        <f t="shared" si="40"/>
        <v>1.00024449011237</v>
      </c>
      <c r="N120" s="300">
        <f t="shared" si="41"/>
        <v>-0.0221106449436512</v>
      </c>
      <c r="O120" s="298">
        <f t="shared" si="42"/>
        <v>11287.6569844261</v>
      </c>
      <c r="P120" s="301">
        <f t="shared" si="43"/>
        <v>1.57070773444994</v>
      </c>
      <c r="Q120" s="320">
        <f t="shared" si="44"/>
        <v>4.80832609759102</v>
      </c>
      <c r="R120" s="321">
        <f t="shared" si="45"/>
        <v>1.3612945632584</v>
      </c>
      <c r="S120" s="298">
        <f t="shared" si="46"/>
        <v>1.00049143479838</v>
      </c>
      <c r="T120" s="301">
        <f t="shared" si="47"/>
        <v>0.0313443336487713</v>
      </c>
      <c r="U120" s="316">
        <f t="shared" si="60"/>
        <v>0.997579377987874</v>
      </c>
      <c r="V120" s="317">
        <f t="shared" si="61"/>
        <v>-0.0783080619423714</v>
      </c>
      <c r="W120" s="318">
        <f t="shared" si="48"/>
        <v>13.6266981895791</v>
      </c>
      <c r="X120" s="319">
        <f t="shared" si="49"/>
        <v>-100.023616316054</v>
      </c>
      <c r="Y120" s="332">
        <f t="shared" si="50"/>
        <v>79.9763836839463</v>
      </c>
      <c r="AA120" s="22">
        <f t="shared" si="51"/>
        <v>1000000000</v>
      </c>
      <c r="AB120" s="22">
        <f t="shared" si="52"/>
        <v>38910148.84</v>
      </c>
      <c r="AD120" s="331">
        <f t="shared" si="53"/>
        <v>27.7919843725768</v>
      </c>
      <c r="AE120" s="332">
        <f t="shared" si="54"/>
        <v>-13.7943889292129</v>
      </c>
      <c r="AG120" s="331">
        <f t="shared" si="55"/>
        <v>11.2647582606826</v>
      </c>
      <c r="AH120" s="332">
        <f t="shared" si="56"/>
        <v>-77.2557844742935</v>
      </c>
      <c r="AJ120" s="22">
        <f t="shared" si="57"/>
        <v>0</v>
      </c>
      <c r="AK120" s="22">
        <f t="shared" si="68"/>
        <v>0</v>
      </c>
      <c r="AM120" s="22" t="str">
        <f t="shared" si="62"/>
        <v>0.00626329215017996+0.111746836518095i</v>
      </c>
      <c r="AN120" s="22" t="str">
        <f t="shared" si="63"/>
        <v>0.1119807236124i</v>
      </c>
      <c r="AO120" s="22" t="str">
        <f t="shared" si="64"/>
        <v>0.997911362895684-0.0559318778101413i</v>
      </c>
      <c r="AP120" s="22" t="str">
        <f t="shared" si="65"/>
        <v>0.165622784641637-0.0186244727530158i</v>
      </c>
      <c r="AQ120" s="22" t="str">
        <f t="shared" si="66"/>
        <v>0.834377215358363+0.0186244727530158i</v>
      </c>
      <c r="AR120" s="22" t="str">
        <f t="shared" si="67"/>
        <v>0.997852234135416-0.0222734650516661i</v>
      </c>
    </row>
    <row r="121" spans="7:44">
      <c r="G121" s="257">
        <v>6309.6</v>
      </c>
      <c r="H121" s="256">
        <f t="shared" si="59"/>
        <v>6.3096</v>
      </c>
      <c r="I121" s="298">
        <f t="shared" si="36"/>
        <v>6.23658626327064</v>
      </c>
      <c r="J121" s="299">
        <f t="shared" si="37"/>
        <v>1.40975704246765</v>
      </c>
      <c r="K121" s="299">
        <f t="shared" si="38"/>
        <v>1.00000581204591</v>
      </c>
      <c r="L121" s="300">
        <f t="shared" si="39"/>
        <v>0.00340940398291792</v>
      </c>
      <c r="M121" s="299">
        <f t="shared" si="40"/>
        <v>1.00025015018867</v>
      </c>
      <c r="N121" s="300">
        <f t="shared" si="41"/>
        <v>-0.0223650644475019</v>
      </c>
      <c r="O121" s="298">
        <f t="shared" si="42"/>
        <v>11417.5832028295</v>
      </c>
      <c r="P121" s="301">
        <f t="shared" si="43"/>
        <v>1.57070874258522</v>
      </c>
      <c r="Q121" s="320">
        <f t="shared" si="44"/>
        <v>4.86129135924121</v>
      </c>
      <c r="R121" s="321">
        <f t="shared" si="45"/>
        <v>1.36361057299976</v>
      </c>
      <c r="S121" s="298">
        <f t="shared" si="46"/>
        <v>1.00050281033931</v>
      </c>
      <c r="T121" s="301">
        <f t="shared" si="47"/>
        <v>0.031704881258424</v>
      </c>
      <c r="U121" s="316">
        <f t="shared" si="60"/>
        <v>0.997532730977274</v>
      </c>
      <c r="V121" s="317">
        <f t="shared" si="61"/>
        <v>-0.0792075918086454</v>
      </c>
      <c r="W121" s="318">
        <f t="shared" si="48"/>
        <v>13.5251675415929</v>
      </c>
      <c r="X121" s="319">
        <f t="shared" si="49"/>
        <v>-100.079875793336</v>
      </c>
      <c r="Y121" s="332">
        <f t="shared" si="50"/>
        <v>79.920124206664</v>
      </c>
      <c r="AA121" s="22">
        <f t="shared" si="51"/>
        <v>1000000000</v>
      </c>
      <c r="AB121" s="22">
        <f t="shared" si="52"/>
        <v>39811052.16</v>
      </c>
      <c r="AD121" s="331">
        <f t="shared" si="53"/>
        <v>27.7876327307157</v>
      </c>
      <c r="AE121" s="332">
        <f t="shared" si="54"/>
        <v>-13.6824069638366</v>
      </c>
      <c r="AG121" s="331">
        <f t="shared" si="55"/>
        <v>11.1683915814122</v>
      </c>
      <c r="AH121" s="332">
        <f t="shared" si="56"/>
        <v>-77.3209473870669</v>
      </c>
      <c r="AJ121" s="22">
        <f t="shared" si="57"/>
        <v>0</v>
      </c>
      <c r="AK121" s="22">
        <f t="shared" si="68"/>
        <v>0</v>
      </c>
      <c r="AM121" s="22" t="str">
        <f t="shared" si="62"/>
        <v>0.00640815375432502+0.113027620846017i</v>
      </c>
      <c r="AN121" s="22" t="str">
        <f t="shared" si="63"/>
        <v>0.1132696741968i</v>
      </c>
      <c r="AO121" s="22" t="str">
        <f t="shared" si="64"/>
        <v>0.997863034810514-0.0565743108185444i</v>
      </c>
      <c r="AP121" s="22" t="str">
        <f t="shared" si="65"/>
        <v>0.165598641040946-0.0188379368076695i</v>
      </c>
      <c r="AQ121" s="22" t="str">
        <f t="shared" si="66"/>
        <v>0.834401358959054+0.0188379368076695i</v>
      </c>
      <c r="AR121" s="22" t="str">
        <f t="shared" si="67"/>
        <v>0.997811934597062-0.0225271902640805i</v>
      </c>
    </row>
    <row r="122" spans="7:44">
      <c r="G122" s="257">
        <v>6383.05</v>
      </c>
      <c r="H122" s="256">
        <f t="shared" si="59"/>
        <v>6.38305</v>
      </c>
      <c r="I122" s="298">
        <f t="shared" si="36"/>
        <v>6.30733021261648</v>
      </c>
      <c r="J122" s="299">
        <f t="shared" si="37"/>
        <v>1.41157879219408</v>
      </c>
      <c r="K122" s="299">
        <f t="shared" si="38"/>
        <v>1.00000594814906</v>
      </c>
      <c r="L122" s="300">
        <f t="shared" si="39"/>
        <v>0.00344909251276663</v>
      </c>
      <c r="M122" s="299">
        <f t="shared" si="40"/>
        <v>1.00025600733</v>
      </c>
      <c r="N122" s="300">
        <f t="shared" si="41"/>
        <v>-0.0226253276424705</v>
      </c>
      <c r="O122" s="298">
        <f t="shared" si="42"/>
        <v>11550.4951908877</v>
      </c>
      <c r="P122" s="301">
        <f t="shared" si="43"/>
        <v>1.57070975042006</v>
      </c>
      <c r="Q122" s="320">
        <f t="shared" si="44"/>
        <v>4.91550018215339</v>
      </c>
      <c r="R122" s="321">
        <f t="shared" si="45"/>
        <v>1.36592814873492</v>
      </c>
      <c r="S122" s="298">
        <f t="shared" si="46"/>
        <v>1.00051458187032</v>
      </c>
      <c r="T122" s="301">
        <f t="shared" si="47"/>
        <v>0.0320737059002765</v>
      </c>
      <c r="U122" s="316">
        <f t="shared" si="60"/>
        <v>0.997484466116022</v>
      </c>
      <c r="V122" s="317">
        <f t="shared" si="61"/>
        <v>-0.0801277284297144</v>
      </c>
      <c r="W122" s="318">
        <f t="shared" si="48"/>
        <v>13.4225173641627</v>
      </c>
      <c r="X122" s="319">
        <f t="shared" si="49"/>
        <v>-100.138014838112</v>
      </c>
      <c r="Y122" s="332">
        <f t="shared" si="50"/>
        <v>79.8619851618877</v>
      </c>
      <c r="AA122" s="22">
        <f t="shared" si="51"/>
        <v>1000000000</v>
      </c>
      <c r="AB122" s="22">
        <f t="shared" si="52"/>
        <v>40743327.3025</v>
      </c>
      <c r="AD122" s="331">
        <f t="shared" si="53"/>
        <v>27.7833234748102</v>
      </c>
      <c r="AE122" s="332">
        <f t="shared" si="54"/>
        <v>-13.5708094954241</v>
      </c>
      <c r="AG122" s="331">
        <f t="shared" si="55"/>
        <v>11.0708912005284</v>
      </c>
      <c r="AH122" s="332">
        <f t="shared" si="56"/>
        <v>-77.3852440102101</v>
      </c>
      <c r="AJ122" s="22">
        <f t="shared" si="57"/>
        <v>0</v>
      </c>
      <c r="AK122" s="22">
        <f t="shared" si="68"/>
        <v>0</v>
      </c>
      <c r="AM122" s="22" t="str">
        <f t="shared" si="62"/>
        <v>0.00655805243412699+0.114337643917148i</v>
      </c>
      <c r="AN122" s="22" t="str">
        <f t="shared" si="63"/>
        <v>0.1145882455119i</v>
      </c>
      <c r="AO122" s="22" t="str">
        <f t="shared" si="64"/>
        <v>0.997813025292145-0.0572314586442109i</v>
      </c>
      <c r="AP122" s="22" t="str">
        <f t="shared" si="65"/>
        <v>0.165573657927646-0.0190562739861913i</v>
      </c>
      <c r="AQ122" s="22" t="str">
        <f t="shared" si="66"/>
        <v>0.834426342072354+0.0190562739861913i</v>
      </c>
      <c r="AR122" s="22" t="str">
        <f t="shared" si="67"/>
        <v>0.997770239659161-0.0227866524623261i</v>
      </c>
    </row>
    <row r="123" spans="7:44">
      <c r="G123" s="257">
        <v>6456.5</v>
      </c>
      <c r="H123" s="256">
        <f t="shared" si="59"/>
        <v>6.4565</v>
      </c>
      <c r="I123" s="298">
        <f t="shared" si="36"/>
        <v>6.37809463015736</v>
      </c>
      <c r="J123" s="299">
        <f t="shared" si="37"/>
        <v>1.41336012340693</v>
      </c>
      <c r="K123" s="299">
        <f t="shared" si="38"/>
        <v>1.00000608582741</v>
      </c>
      <c r="L123" s="300">
        <f t="shared" si="39"/>
        <v>0.00348878103174942</v>
      </c>
      <c r="M123" s="299">
        <f t="shared" si="40"/>
        <v>1.0002619322248</v>
      </c>
      <c r="N123" s="300">
        <f t="shared" si="41"/>
        <v>-0.0228855877718116</v>
      </c>
      <c r="O123" s="298">
        <f t="shared" si="42"/>
        <v>11683.4071789573</v>
      </c>
      <c r="P123" s="301">
        <f t="shared" si="43"/>
        <v>1.57071073532437</v>
      </c>
      <c r="Q123" s="320">
        <f t="shared" si="44"/>
        <v>4.96973483093526</v>
      </c>
      <c r="R123" s="321">
        <f t="shared" si="45"/>
        <v>1.36819515308095</v>
      </c>
      <c r="S123" s="298">
        <f t="shared" si="46"/>
        <v>1.00052648949973</v>
      </c>
      <c r="T123" s="301">
        <f t="shared" si="47"/>
        <v>0.0324425218132664</v>
      </c>
      <c r="U123" s="316">
        <f t="shared" si="60"/>
        <v>0.997435649401791</v>
      </c>
      <c r="V123" s="317">
        <f t="shared" si="61"/>
        <v>-0.0810477986756099</v>
      </c>
      <c r="W123" s="318">
        <f t="shared" si="48"/>
        <v>13.3210655667071</v>
      </c>
      <c r="X123" s="319">
        <f t="shared" si="49"/>
        <v>-100.196729807816</v>
      </c>
      <c r="Y123" s="332">
        <f t="shared" si="50"/>
        <v>79.8032701921836</v>
      </c>
      <c r="AA123" s="22">
        <f t="shared" si="51"/>
        <v>1000000000</v>
      </c>
      <c r="AB123" s="22">
        <f t="shared" si="52"/>
        <v>41686392.25</v>
      </c>
      <c r="AD123" s="331">
        <f t="shared" si="53"/>
        <v>27.7791519265946</v>
      </c>
      <c r="AE123" s="332">
        <f t="shared" si="54"/>
        <v>-13.4621077402265</v>
      </c>
      <c r="AG123" s="331">
        <f t="shared" si="55"/>
        <v>10.9744611439133</v>
      </c>
      <c r="AH123" s="332">
        <f t="shared" si="56"/>
        <v>-77.4472284511007</v>
      </c>
      <c r="AJ123" s="22">
        <f t="shared" si="57"/>
        <v>0</v>
      </c>
      <c r="AK123" s="22">
        <f t="shared" si="68"/>
        <v>0</v>
      </c>
      <c r="AM123" s="22" t="str">
        <f t="shared" si="62"/>
        <v>0.00670967834196201+0.115647468197414i</v>
      </c>
      <c r="AN123" s="22" t="str">
        <f t="shared" si="63"/>
        <v>0.115906816827i</v>
      </c>
      <c r="AO123" s="22" t="str">
        <f t="shared" si="64"/>
        <v>0.997762438511506-0.0578885567358539i</v>
      </c>
      <c r="AP123" s="22" t="str">
        <f t="shared" si="65"/>
        <v>0.165548386943006-0.0192745780329023i</v>
      </c>
      <c r="AQ123" s="22" t="str">
        <f t="shared" si="66"/>
        <v>0.834451613056994+0.0192745780329023i</v>
      </c>
      <c r="AR123" s="22" t="str">
        <f t="shared" si="67"/>
        <v>0.997728070370158-0.0230460187829407i</v>
      </c>
    </row>
    <row r="124" spans="7:44">
      <c r="G124" s="257">
        <v>6531.7</v>
      </c>
      <c r="H124" s="256">
        <f t="shared" si="59"/>
        <v>6.5317</v>
      </c>
      <c r="I124" s="298">
        <f t="shared" si="36"/>
        <v>6.45056556380607</v>
      </c>
      <c r="J124" s="299">
        <f t="shared" si="37"/>
        <v>1.41514339911455</v>
      </c>
      <c r="K124" s="299">
        <f t="shared" si="38"/>
        <v>1.00000622841797</v>
      </c>
      <c r="L124" s="300">
        <f t="shared" si="39"/>
        <v>0.00352941514735275</v>
      </c>
      <c r="M124" s="299">
        <f t="shared" si="40"/>
        <v>1.00026806847741</v>
      </c>
      <c r="N124" s="300">
        <f t="shared" si="41"/>
        <v>-0.0231520455763708</v>
      </c>
      <c r="O124" s="298">
        <f t="shared" si="42"/>
        <v>11819.4858924179</v>
      </c>
      <c r="P124" s="301">
        <f t="shared" si="43"/>
        <v>1.57071172074601</v>
      </c>
      <c r="Q124" s="320">
        <f t="shared" si="44"/>
        <v>5.02528754292468</v>
      </c>
      <c r="R124" s="321">
        <f t="shared" si="45"/>
        <v>1.37046546324781</v>
      </c>
      <c r="S124" s="298">
        <f t="shared" si="46"/>
        <v>1.00053882183305</v>
      </c>
      <c r="T124" s="301">
        <f t="shared" si="47"/>
        <v>0.0328201158875328</v>
      </c>
      <c r="U124" s="316">
        <f t="shared" si="60"/>
        <v>0.997385098103082</v>
      </c>
      <c r="V124" s="317">
        <f t="shared" si="61"/>
        <v>-0.0819897207184113</v>
      </c>
      <c r="W124" s="318">
        <f t="shared" si="48"/>
        <v>13.2184086194325</v>
      </c>
      <c r="X124" s="319">
        <f t="shared" si="49"/>
        <v>-100.257422698194</v>
      </c>
      <c r="Y124" s="332">
        <f t="shared" si="50"/>
        <v>79.7425773018064</v>
      </c>
      <c r="AA124" s="22">
        <f t="shared" si="51"/>
        <v>1000000000</v>
      </c>
      <c r="AB124" s="22">
        <f t="shared" si="52"/>
        <v>42663104.89</v>
      </c>
      <c r="AD124" s="331">
        <f t="shared" si="53"/>
        <v>27.7750173852729</v>
      </c>
      <c r="AE124" s="332">
        <f t="shared" si="54"/>
        <v>-13.3537195566815</v>
      </c>
      <c r="AG124" s="331">
        <f t="shared" si="55"/>
        <v>10.87681918399</v>
      </c>
      <c r="AH124" s="332">
        <f t="shared" si="56"/>
        <v>-77.5083732095338</v>
      </c>
      <c r="AJ124" s="22">
        <f t="shared" si="57"/>
        <v>0</v>
      </c>
      <c r="AK124" s="22">
        <f t="shared" si="68"/>
        <v>0</v>
      </c>
      <c r="AM124" s="22" t="str">
        <f t="shared" si="62"/>
        <v>0.00686670601969097+0.11698829166981i</v>
      </c>
      <c r="AN124" s="22" t="str">
        <f t="shared" si="63"/>
        <v>0.1172568040686i</v>
      </c>
      <c r="AO124" s="22" t="str">
        <f t="shared" si="64"/>
        <v>0.997710048462237-0.0585612585490021i</v>
      </c>
      <c r="AP124" s="22" t="str">
        <f t="shared" si="65"/>
        <v>0.165522215663385-0.019498048611635i</v>
      </c>
      <c r="AQ124" s="22" t="str">
        <f t="shared" si="66"/>
        <v>0.834477784336615+0.019498048611635i</v>
      </c>
      <c r="AR124" s="22" t="str">
        <f t="shared" si="67"/>
        <v>0.997684405222133-0.023311464244139i</v>
      </c>
    </row>
    <row r="125" spans="7:44">
      <c r="G125" s="257">
        <v>6606.9</v>
      </c>
      <c r="H125" s="256">
        <f t="shared" si="59"/>
        <v>6.6069</v>
      </c>
      <c r="I125" s="298">
        <f t="shared" si="36"/>
        <v>6.52305655487845</v>
      </c>
      <c r="J125" s="299">
        <f t="shared" si="37"/>
        <v>1.41688704503485</v>
      </c>
      <c r="K125" s="299">
        <f t="shared" si="38"/>
        <v>1.00000637265967</v>
      </c>
      <c r="L125" s="300">
        <f t="shared" si="39"/>
        <v>0.00357004925130098</v>
      </c>
      <c r="M125" s="299">
        <f t="shared" si="40"/>
        <v>1.00027427574795</v>
      </c>
      <c r="N125" s="300">
        <f t="shared" si="41"/>
        <v>-0.0234185000928037</v>
      </c>
      <c r="O125" s="298">
        <f t="shared" si="42"/>
        <v>11955.5646058897</v>
      </c>
      <c r="P125" s="301">
        <f t="shared" si="43"/>
        <v>1.57071268373544</v>
      </c>
      <c r="Q125" s="320">
        <f t="shared" si="44"/>
        <v>5.08086559031096</v>
      </c>
      <c r="R125" s="321">
        <f t="shared" si="45"/>
        <v>1.37268611618448</v>
      </c>
      <c r="S125" s="298">
        <f t="shared" si="46"/>
        <v>1.00055129681695</v>
      </c>
      <c r="T125" s="301">
        <f t="shared" si="47"/>
        <v>0.0331977005998639</v>
      </c>
      <c r="U125" s="316">
        <f t="shared" si="60"/>
        <v>0.997333968834932</v>
      </c>
      <c r="V125" s="317">
        <f t="shared" si="61"/>
        <v>-0.0829315715935685</v>
      </c>
      <c r="W125" s="318">
        <f t="shared" si="48"/>
        <v>13.116948902807</v>
      </c>
      <c r="X125" s="319">
        <f t="shared" si="49"/>
        <v>-100.318684031723</v>
      </c>
      <c r="Y125" s="332">
        <f t="shared" si="50"/>
        <v>79.6813159682768</v>
      </c>
      <c r="AA125" s="22">
        <f t="shared" si="51"/>
        <v>1000000000</v>
      </c>
      <c r="AB125" s="22">
        <f t="shared" si="52"/>
        <v>43651127.61</v>
      </c>
      <c r="AD125" s="331">
        <f t="shared" si="53"/>
        <v>27.7710147955074</v>
      </c>
      <c r="AE125" s="332">
        <f t="shared" si="54"/>
        <v>-13.2481747011817</v>
      </c>
      <c r="AG125" s="331">
        <f t="shared" si="55"/>
        <v>10.7802526149792</v>
      </c>
      <c r="AH125" s="332">
        <f t="shared" si="56"/>
        <v>-77.5672512382855</v>
      </c>
      <c r="AJ125" s="22">
        <f t="shared" si="57"/>
        <v>0</v>
      </c>
      <c r="AK125" s="22">
        <f t="shared" si="68"/>
        <v>0</v>
      </c>
      <c r="AM125" s="22" t="str">
        <f t="shared" si="62"/>
        <v>0.00702554364836205+0.118328901935107i</v>
      </c>
      <c r="AN125" s="22" t="str">
        <f t="shared" si="63"/>
        <v>0.1186067913102i</v>
      </c>
      <c r="AO125" s="22" t="str">
        <f t="shared" si="64"/>
        <v>0.997657053428195-0.0592339070196047i</v>
      </c>
      <c r="AP125" s="22" t="str">
        <f t="shared" si="65"/>
        <v>0.165495742725273-0.0197214836558512i</v>
      </c>
      <c r="AQ125" s="22" t="str">
        <f t="shared" si="66"/>
        <v>0.834504257274727+0.0197214836558512i</v>
      </c>
      <c r="AR125" s="22" t="str">
        <f t="shared" si="67"/>
        <v>0.997640243449835-0.023576806929504i</v>
      </c>
    </row>
    <row r="126" spans="7:44">
      <c r="G126" s="257">
        <v>6683.85</v>
      </c>
      <c r="H126" s="256">
        <f t="shared" si="59"/>
        <v>6.68385</v>
      </c>
      <c r="I126" s="298">
        <f t="shared" si="36"/>
        <v>6.59725457710716</v>
      </c>
      <c r="J126" s="299">
        <f t="shared" si="37"/>
        <v>1.41863159588373</v>
      </c>
      <c r="K126" s="299">
        <f t="shared" si="38"/>
        <v>1.00000652196728</v>
      </c>
      <c r="L126" s="300">
        <f t="shared" si="39"/>
        <v>0.00361162895051634</v>
      </c>
      <c r="M126" s="299">
        <f t="shared" si="40"/>
        <v>1.00028070098439</v>
      </c>
      <c r="N126" s="300">
        <f t="shared" si="41"/>
        <v>-0.0236911519027876</v>
      </c>
      <c r="O126" s="298">
        <f t="shared" si="42"/>
        <v>12094.8100447527</v>
      </c>
      <c r="P126" s="301">
        <f t="shared" si="43"/>
        <v>1.5707136467034</v>
      </c>
      <c r="Q126" s="320">
        <f t="shared" si="44"/>
        <v>5.1377623787192</v>
      </c>
      <c r="R126" s="321">
        <f t="shared" si="45"/>
        <v>1.3749087011647</v>
      </c>
      <c r="S126" s="298">
        <f t="shared" si="46"/>
        <v>1.00056420977278</v>
      </c>
      <c r="T126" s="301">
        <f t="shared" si="47"/>
        <v>0.0335840623872585</v>
      </c>
      <c r="U126" s="316">
        <f t="shared" si="60"/>
        <v>0.997281051687123</v>
      </c>
      <c r="V126" s="317">
        <f t="shared" si="61"/>
        <v>-0.0838952660304357</v>
      </c>
      <c r="W126" s="318">
        <f t="shared" si="48"/>
        <v>13.0143379733104</v>
      </c>
      <c r="X126" s="319">
        <f t="shared" si="49"/>
        <v>-100.381941848072</v>
      </c>
      <c r="Y126" s="332">
        <f t="shared" si="50"/>
        <v>79.6180581519278</v>
      </c>
      <c r="AA126" s="22">
        <f t="shared" si="51"/>
        <v>1000000000</v>
      </c>
      <c r="AB126" s="22">
        <f t="shared" si="52"/>
        <v>44673850.8225</v>
      </c>
      <c r="AD126" s="331">
        <f t="shared" si="53"/>
        <v>27.7670496338744</v>
      </c>
      <c r="AE126" s="332">
        <f t="shared" si="54"/>
        <v>-13.1430220358684</v>
      </c>
      <c r="AG126" s="331">
        <f t="shared" si="55"/>
        <v>10.6825285939214</v>
      </c>
      <c r="AH126" s="332">
        <f t="shared" si="56"/>
        <v>-77.625230471876</v>
      </c>
      <c r="AJ126" s="22">
        <f t="shared" si="57"/>
        <v>0</v>
      </c>
      <c r="AK126" s="22">
        <f t="shared" si="68"/>
        <v>0</v>
      </c>
      <c r="AM126" s="22" t="str">
        <f t="shared" si="62"/>
        <v>0.00718995095025698+0.119700486656683i</v>
      </c>
      <c r="AN126" s="22" t="str">
        <f t="shared" si="63"/>
        <v>0.1199881944783i</v>
      </c>
      <c r="AO126" s="22" t="str">
        <f t="shared" si="64"/>
        <v>0.997602198925753-0.0599221530211232i</v>
      </c>
      <c r="AP126" s="22" t="str">
        <f t="shared" si="65"/>
        <v>0.165468341508291-0.0199500811094472i</v>
      </c>
      <c r="AQ126" s="22" t="str">
        <f t="shared" si="66"/>
        <v>0.834531658491709+0.0199500811094472i</v>
      </c>
      <c r="AR126" s="22" t="str">
        <f t="shared" si="67"/>
        <v>0.997594540204066-0.0238482168877606i</v>
      </c>
    </row>
    <row r="127" spans="7:44">
      <c r="G127" s="257">
        <v>6760.8</v>
      </c>
      <c r="H127" s="256">
        <f t="shared" si="59"/>
        <v>6.7608</v>
      </c>
      <c r="I127" s="298">
        <f t="shared" si="36"/>
        <v>6.67147223115292</v>
      </c>
      <c r="J127" s="299">
        <f t="shared" si="37"/>
        <v>1.42033733686591</v>
      </c>
      <c r="K127" s="299">
        <f t="shared" si="38"/>
        <v>1.00000667300378</v>
      </c>
      <c r="L127" s="300">
        <f t="shared" si="39"/>
        <v>0.00365320863724356</v>
      </c>
      <c r="M127" s="299">
        <f t="shared" si="40"/>
        <v>1.00028720057974</v>
      </c>
      <c r="N127" s="300">
        <f t="shared" si="41"/>
        <v>-0.0239638001898045</v>
      </c>
      <c r="O127" s="298">
        <f t="shared" si="42"/>
        <v>12234.0554836266</v>
      </c>
      <c r="P127" s="301">
        <f t="shared" si="43"/>
        <v>1.57071458775076</v>
      </c>
      <c r="Q127" s="320">
        <f t="shared" si="44"/>
        <v>5.19468399103792</v>
      </c>
      <c r="R127" s="321">
        <f t="shared" si="45"/>
        <v>1.37708258800056</v>
      </c>
      <c r="S127" s="298">
        <f t="shared" si="46"/>
        <v>1.0005772720844</v>
      </c>
      <c r="T127" s="301">
        <f t="shared" si="47"/>
        <v>0.0339704141445919</v>
      </c>
      <c r="U127" s="316">
        <f t="shared" si="60"/>
        <v>0.997227529897378</v>
      </c>
      <c r="V127" s="317">
        <f t="shared" si="61"/>
        <v>-0.0848588842447788</v>
      </c>
      <c r="W127" s="318">
        <f t="shared" si="48"/>
        <v>12.9129218762255</v>
      </c>
      <c r="X127" s="319">
        <f t="shared" si="49"/>
        <v>-100.445759821996</v>
      </c>
      <c r="Y127" s="332">
        <f t="shared" si="50"/>
        <v>79.5542401780041</v>
      </c>
      <c r="AA127" s="22">
        <f t="shared" si="51"/>
        <v>1000000000</v>
      </c>
      <c r="AB127" s="22">
        <f t="shared" si="52"/>
        <v>45708416.64</v>
      </c>
      <c r="AD127" s="331">
        <f t="shared" si="53"/>
        <v>27.7632107421169</v>
      </c>
      <c r="AE127" s="332">
        <f t="shared" si="54"/>
        <v>-13.0406577380623</v>
      </c>
      <c r="AG127" s="331">
        <f t="shared" si="55"/>
        <v>10.5858837172153</v>
      </c>
      <c r="AH127" s="332">
        <f t="shared" si="56"/>
        <v>-77.680990229992</v>
      </c>
      <c r="AJ127" s="22">
        <f t="shared" si="57"/>
        <v>0</v>
      </c>
      <c r="AK127" s="22">
        <f t="shared" si="68"/>
        <v>0</v>
      </c>
      <c r="AM127" s="22" t="str">
        <f t="shared" si="62"/>
        <v>0.00735625280616203+0.121071842956884i</v>
      </c>
      <c r="AN127" s="22" t="str">
        <f t="shared" si="63"/>
        <v>0.1213695976464i</v>
      </c>
      <c r="AO127" s="22" t="str">
        <f t="shared" si="64"/>
        <v>0.997546711076826-0.0606103418715603i</v>
      </c>
      <c r="AP127" s="22" t="str">
        <f t="shared" si="65"/>
        <v>0.165440624532306-0.020178640492814i</v>
      </c>
      <c r="AQ127" s="22" t="str">
        <f t="shared" si="66"/>
        <v>0.834559375467694+0.020178640492814i</v>
      </c>
      <c r="AR127" s="22" t="str">
        <f t="shared" si="67"/>
        <v>0.997548317607879-0.0241195167976398i</v>
      </c>
    </row>
    <row r="128" spans="7:44">
      <c r="G128" s="257">
        <v>6839.55</v>
      </c>
      <c r="H128" s="256">
        <f t="shared" si="59"/>
        <v>6.83955</v>
      </c>
      <c r="I128" s="298">
        <f t="shared" si="36"/>
        <v>6.747445620746</v>
      </c>
      <c r="J128" s="299">
        <f t="shared" si="37"/>
        <v>1.42204412208216</v>
      </c>
      <c r="K128" s="299">
        <f t="shared" si="38"/>
        <v>1.00000682936331</v>
      </c>
      <c r="L128" s="300">
        <f t="shared" si="39"/>
        <v>0.00369576093514196</v>
      </c>
      <c r="M128" s="299">
        <f t="shared" si="40"/>
        <v>1.00029392919924</v>
      </c>
      <c r="N128" s="300">
        <f t="shared" si="41"/>
        <v>-0.0242428225247613</v>
      </c>
      <c r="O128" s="298">
        <f t="shared" si="42"/>
        <v>12376.5581257601</v>
      </c>
      <c r="P128" s="301">
        <f t="shared" si="43"/>
        <v>1.5707155288872</v>
      </c>
      <c r="Q128" s="320">
        <f t="shared" si="44"/>
        <v>5.2529619627406</v>
      </c>
      <c r="R128" s="321">
        <f t="shared" si="45"/>
        <v>1.37925853658829</v>
      </c>
      <c r="S128" s="298">
        <f t="shared" si="46"/>
        <v>1.00059079457826</v>
      </c>
      <c r="T128" s="301">
        <f t="shared" si="47"/>
        <v>0.0343657928652588</v>
      </c>
      <c r="U128" s="316">
        <f t="shared" si="60"/>
        <v>0.997172130403165</v>
      </c>
      <c r="V128" s="317">
        <f t="shared" si="61"/>
        <v>-0.0858449634198407</v>
      </c>
      <c r="W128" s="318">
        <f t="shared" si="48"/>
        <v>12.810341176528</v>
      </c>
      <c r="X128" s="319">
        <f t="shared" si="49"/>
        <v>-100.511633106234</v>
      </c>
      <c r="Y128" s="332">
        <f t="shared" si="50"/>
        <v>79.4883668937658</v>
      </c>
      <c r="AA128" s="22">
        <f t="shared" si="51"/>
        <v>1000000000</v>
      </c>
      <c r="AB128" s="22">
        <f t="shared" si="52"/>
        <v>46779444.2025</v>
      </c>
      <c r="AD128" s="331">
        <f t="shared" si="53"/>
        <v>27.7594070117795</v>
      </c>
      <c r="AE128" s="332">
        <f t="shared" si="54"/>
        <v>-12.9386925225809</v>
      </c>
      <c r="AG128" s="331">
        <f t="shared" si="55"/>
        <v>10.4880718380575</v>
      </c>
      <c r="AH128" s="332">
        <f t="shared" si="56"/>
        <v>-77.7358323795891</v>
      </c>
      <c r="AJ128" s="22">
        <f t="shared" si="57"/>
        <v>0</v>
      </c>
      <c r="AK128" s="22">
        <f t="shared" si="68"/>
        <v>0</v>
      </c>
      <c r="AM128" s="22" t="str">
        <f t="shared" si="62"/>
        <v>0.00752840598072202+0.122475038537791i</v>
      </c>
      <c r="AN128" s="22" t="str">
        <f t="shared" si="63"/>
        <v>0.1227833143389i</v>
      </c>
      <c r="AO128" s="22" t="str">
        <f t="shared" si="64"/>
        <v>0.997489269590344-0.0613145688504752i</v>
      </c>
      <c r="AP128" s="22" t="str">
        <f t="shared" si="65"/>
        <v>0.165411932336546-0.0204125064229652i</v>
      </c>
      <c r="AQ128" s="22" t="str">
        <f t="shared" si="66"/>
        <v>0.834588067663454+0.0204125064229652i</v>
      </c>
      <c r="AR128" s="22" t="str">
        <f t="shared" si="67"/>
        <v>0.997500476418493-0.0243970476822274i</v>
      </c>
    </row>
    <row r="129" spans="7:44">
      <c r="G129" s="257">
        <v>6918.3</v>
      </c>
      <c r="H129" s="256">
        <f t="shared" si="59"/>
        <v>6.9183</v>
      </c>
      <c r="I129" s="298">
        <f t="shared" si="36"/>
        <v>6.8234382286875</v>
      </c>
      <c r="J129" s="299">
        <f t="shared" si="37"/>
        <v>1.42371289514781</v>
      </c>
      <c r="K129" s="299">
        <f t="shared" si="38"/>
        <v>1.00000698753355</v>
      </c>
      <c r="L129" s="300">
        <f t="shared" si="39"/>
        <v>0.0037383132196565</v>
      </c>
      <c r="M129" s="299">
        <f t="shared" si="40"/>
        <v>1.00030073569404</v>
      </c>
      <c r="N129" s="300">
        <f t="shared" si="41"/>
        <v>-0.0245218410842542</v>
      </c>
      <c r="O129" s="298">
        <f t="shared" si="42"/>
        <v>12519.0607679042</v>
      </c>
      <c r="P129" s="301">
        <f t="shared" si="43"/>
        <v>1.57071644859799</v>
      </c>
      <c r="Q129" s="320">
        <f t="shared" si="44"/>
        <v>5.31126426004333</v>
      </c>
      <c r="R129" s="321">
        <f t="shared" si="45"/>
        <v>1.38138672384339</v>
      </c>
      <c r="S129" s="298">
        <f t="shared" si="46"/>
        <v>1.00060447348457</v>
      </c>
      <c r="T129" s="301">
        <f t="shared" si="47"/>
        <v>0.0347611608375675</v>
      </c>
      <c r="U129" s="316">
        <f t="shared" si="60"/>
        <v>0.997116098241292</v>
      </c>
      <c r="V129" s="317">
        <f t="shared" si="61"/>
        <v>-0.08683096094075</v>
      </c>
      <c r="W129" s="318">
        <f t="shared" si="48"/>
        <v>12.7089532521402</v>
      </c>
      <c r="X129" s="319">
        <f t="shared" si="49"/>
        <v>-100.578058240033</v>
      </c>
      <c r="Y129" s="332">
        <f t="shared" si="50"/>
        <v>79.4219417599673</v>
      </c>
      <c r="AA129" s="22">
        <f t="shared" si="51"/>
        <v>1000000000</v>
      </c>
      <c r="AB129" s="22">
        <f t="shared" si="52"/>
        <v>47862874.89</v>
      </c>
      <c r="AD129" s="331">
        <f t="shared" si="53"/>
        <v>27.7557241168554</v>
      </c>
      <c r="AE129" s="332">
        <f t="shared" si="54"/>
        <v>-12.8394619864516</v>
      </c>
      <c r="AG129" s="331">
        <f t="shared" si="55"/>
        <v>10.3913429747614</v>
      </c>
      <c r="AH129" s="332">
        <f t="shared" si="56"/>
        <v>-77.7885010562711</v>
      </c>
      <c r="AJ129" s="22">
        <f t="shared" si="57"/>
        <v>0</v>
      </c>
      <c r="AK129" s="22">
        <f t="shared" si="68"/>
        <v>0</v>
      </c>
      <c r="AM129" s="22" t="str">
        <f t="shared" si="62"/>
        <v>0.00770254270360404+0.123877989340753i</v>
      </c>
      <c r="AN129" s="22" t="str">
        <f t="shared" si="63"/>
        <v>0.1241970310314i</v>
      </c>
      <c r="AO129" s="22" t="str">
        <f t="shared" si="64"/>
        <v>0.997431164915961-0.0620187345835719i</v>
      </c>
      <c r="AP129" s="22" t="str">
        <f t="shared" si="65"/>
        <v>0.165382909549399-0.0206463315567922i</v>
      </c>
      <c r="AQ129" s="22" t="str">
        <f t="shared" si="66"/>
        <v>0.834617090450601+0.0206463315567922i</v>
      </c>
      <c r="AR129" s="22" t="str">
        <f t="shared" si="67"/>
        <v>0.997452092017195-0.0246744607071066i</v>
      </c>
    </row>
    <row r="130" spans="7:44">
      <c r="G130" s="257">
        <v>6998.9</v>
      </c>
      <c r="H130" s="256">
        <f t="shared" si="59"/>
        <v>6.9989</v>
      </c>
      <c r="I130" s="298">
        <f t="shared" si="36"/>
        <v>6.90123529810795</v>
      </c>
      <c r="J130" s="299">
        <f t="shared" si="37"/>
        <v>1.42538280996932</v>
      </c>
      <c r="K130" s="299">
        <f t="shared" si="38"/>
        <v>1.00000715129455</v>
      </c>
      <c r="L130" s="300">
        <f t="shared" si="39"/>
        <v>0.00378186513112058</v>
      </c>
      <c r="M130" s="299">
        <f t="shared" si="40"/>
        <v>1.00030778272675</v>
      </c>
      <c r="N130" s="300">
        <f t="shared" si="41"/>
        <v>-0.0248074104106582</v>
      </c>
      <c r="O130" s="298">
        <f t="shared" si="42"/>
        <v>12664.9110911761</v>
      </c>
      <c r="P130" s="301">
        <f t="shared" si="43"/>
        <v>1.57071736848292</v>
      </c>
      <c r="Q130" s="320">
        <f t="shared" si="44"/>
        <v>5.37096056138736</v>
      </c>
      <c r="R130" s="321">
        <f t="shared" si="45"/>
        <v>1.38351705250625</v>
      </c>
      <c r="S130" s="298">
        <f t="shared" si="46"/>
        <v>1.0006186356972</v>
      </c>
      <c r="T130" s="301">
        <f t="shared" si="47"/>
        <v>0.0351658055607748</v>
      </c>
      <c r="U130" s="316">
        <f t="shared" si="60"/>
        <v>0.997058094950025</v>
      </c>
      <c r="V130" s="317">
        <f t="shared" si="61"/>
        <v>-0.0878400360622161</v>
      </c>
      <c r="W130" s="318">
        <f t="shared" si="48"/>
        <v>12.6063893432158</v>
      </c>
      <c r="X130" s="319">
        <f t="shared" si="49"/>
        <v>-100.646597932655</v>
      </c>
      <c r="Y130" s="332">
        <f t="shared" si="50"/>
        <v>79.3534020673453</v>
      </c>
      <c r="AA130" s="22">
        <f t="shared" si="51"/>
        <v>1000000000</v>
      </c>
      <c r="AB130" s="22">
        <f t="shared" si="52"/>
        <v>48984601.21</v>
      </c>
      <c r="AD130" s="331">
        <f t="shared" si="53"/>
        <v>27.752074289287</v>
      </c>
      <c r="AE130" s="332">
        <f t="shared" si="54"/>
        <v>-12.7406402853474</v>
      </c>
      <c r="AG130" s="331">
        <f t="shared" si="55"/>
        <v>10.2934394574543</v>
      </c>
      <c r="AH130" s="332">
        <f t="shared" si="56"/>
        <v>-77.8402309585221</v>
      </c>
      <c r="AJ130" s="22">
        <f t="shared" si="57"/>
        <v>0</v>
      </c>
      <c r="AK130" s="22">
        <f t="shared" si="68"/>
        <v>0</v>
      </c>
      <c r="AM130" s="22" t="str">
        <f t="shared" si="62"/>
        <v>0.007882823886326+0.125313641955815i</v>
      </c>
      <c r="AN130" s="22" t="str">
        <f t="shared" si="63"/>
        <v>0.1256439588462i</v>
      </c>
      <c r="AO130" s="22" t="str">
        <f t="shared" si="64"/>
        <v>0.997371008575197-0.0627393784684492i</v>
      </c>
      <c r="AP130" s="22" t="str">
        <f t="shared" si="65"/>
        <v>0.165352862685612-0.0208856069926358i</v>
      </c>
      <c r="AQ130" s="22" t="str">
        <f t="shared" si="66"/>
        <v>0.834647137314388+0.0208856069926358i</v>
      </c>
      <c r="AR130" s="22" t="str">
        <f t="shared" si="67"/>
        <v>0.997402008849134-0.0249582673194288i</v>
      </c>
    </row>
    <row r="131" spans="7:44">
      <c r="G131" s="257">
        <v>7079.5</v>
      </c>
      <c r="H131" s="256">
        <f t="shared" si="59"/>
        <v>7.0795</v>
      </c>
      <c r="I131" s="298">
        <f t="shared" si="36"/>
        <v>6.97905118333493</v>
      </c>
      <c r="J131" s="299">
        <f t="shared" si="37"/>
        <v>1.42701549041526</v>
      </c>
      <c r="K131" s="299">
        <f t="shared" si="38"/>
        <v>1.00000731695233</v>
      </c>
      <c r="L131" s="300">
        <f t="shared" si="39"/>
        <v>0.00382541702823795</v>
      </c>
      <c r="M131" s="299">
        <f t="shared" si="40"/>
        <v>1.00031491133325</v>
      </c>
      <c r="N131" s="300">
        <f t="shared" si="41"/>
        <v>-0.0250929756902087</v>
      </c>
      <c r="O131" s="298">
        <f t="shared" si="42"/>
        <v>12810.7614144585</v>
      </c>
      <c r="P131" s="301">
        <f t="shared" si="43"/>
        <v>1.5707182674221</v>
      </c>
      <c r="Q131" s="320">
        <f t="shared" si="44"/>
        <v>5.43068070181818</v>
      </c>
      <c r="R131" s="321">
        <f t="shared" si="45"/>
        <v>1.38560053683136</v>
      </c>
      <c r="S131" s="298">
        <f t="shared" si="46"/>
        <v>1.00063296174383</v>
      </c>
      <c r="T131" s="301">
        <f t="shared" si="47"/>
        <v>0.0355704387636496</v>
      </c>
      <c r="U131" s="316">
        <f t="shared" si="60"/>
        <v>0.996999429565994</v>
      </c>
      <c r="V131" s="317">
        <f t="shared" si="61"/>
        <v>-0.088849023695237</v>
      </c>
      <c r="W131" s="318">
        <f t="shared" si="48"/>
        <v>12.5050164366276</v>
      </c>
      <c r="X131" s="319">
        <f t="shared" si="49"/>
        <v>-100.715681131618</v>
      </c>
      <c r="Y131" s="332">
        <f t="shared" si="50"/>
        <v>79.2843188683821</v>
      </c>
      <c r="AA131" s="22">
        <f t="shared" si="51"/>
        <v>1000000000</v>
      </c>
      <c r="AB131" s="22">
        <f t="shared" si="52"/>
        <v>50119320.25</v>
      </c>
      <c r="AD131" s="331">
        <f t="shared" si="53"/>
        <v>27.748540092993</v>
      </c>
      <c r="AE131" s="332">
        <f t="shared" si="54"/>
        <v>-12.6445007069235</v>
      </c>
      <c r="AG131" s="331">
        <f t="shared" si="55"/>
        <v>10.1966229063409</v>
      </c>
      <c r="AH131" s="332">
        <f t="shared" si="56"/>
        <v>-77.8898322698708</v>
      </c>
      <c r="AJ131" s="22">
        <f t="shared" si="57"/>
        <v>0</v>
      </c>
      <c r="AK131" s="22">
        <f t="shared" si="68"/>
        <v>0</v>
      </c>
      <c r="AM131" s="22" t="str">
        <f t="shared" si="62"/>
        <v>0.00806518216530705+0.126749032214269i</v>
      </c>
      <c r="AN131" s="22" t="str">
        <f t="shared" si="63"/>
        <v>0.127090886661i</v>
      </c>
      <c r="AO131" s="22" t="str">
        <f t="shared" si="64"/>
        <v>0.99731015766974-0.0634599567065731i</v>
      </c>
      <c r="AP131" s="22" t="str">
        <f t="shared" si="65"/>
        <v>0.165322469639115-0.0211248387023782i</v>
      </c>
      <c r="AQ131" s="22" t="str">
        <f t="shared" si="66"/>
        <v>0.834677530360885+0.0211248387023782i</v>
      </c>
      <c r="AR131" s="22" t="str">
        <f t="shared" si="67"/>
        <v>0.99735135743583-0.0252419476852581i</v>
      </c>
    </row>
    <row r="132" spans="7:44">
      <c r="G132" s="257">
        <v>7161.95</v>
      </c>
      <c r="H132" s="256">
        <f t="shared" si="59"/>
        <v>7.16195</v>
      </c>
      <c r="I132" s="298">
        <f t="shared" si="36"/>
        <v>7.05867198495986</v>
      </c>
      <c r="J132" s="299">
        <f t="shared" si="37"/>
        <v>1.42864839438099</v>
      </c>
      <c r="K132" s="299">
        <f t="shared" si="38"/>
        <v>1.00000748837502</v>
      </c>
      <c r="L132" s="300">
        <f t="shared" si="39"/>
        <v>0.00386996855065708</v>
      </c>
      <c r="M132" s="299">
        <f t="shared" si="40"/>
        <v>1.00032228796359</v>
      </c>
      <c r="N132" s="300">
        <f t="shared" si="41"/>
        <v>-0.0253850912720957</v>
      </c>
      <c r="O132" s="298">
        <f t="shared" si="42"/>
        <v>12959.9594188688</v>
      </c>
      <c r="P132" s="301">
        <f t="shared" si="43"/>
        <v>1.57071916605938</v>
      </c>
      <c r="Q132" s="320">
        <f t="shared" si="44"/>
        <v>5.49179544516951</v>
      </c>
      <c r="R132" s="321">
        <f t="shared" si="45"/>
        <v>1.38768494836096</v>
      </c>
      <c r="S132" s="298">
        <f t="shared" si="46"/>
        <v>1.0006477861246</v>
      </c>
      <c r="T132" s="301">
        <f t="shared" si="47"/>
        <v>0.0359843473955608</v>
      </c>
      <c r="U132" s="316">
        <f t="shared" si="60"/>
        <v>0.996938732929629</v>
      </c>
      <c r="V132" s="317">
        <f t="shared" si="61"/>
        <v>-0.0898810789212699</v>
      </c>
      <c r="W132" s="318">
        <f t="shared" si="48"/>
        <v>12.4025198391042</v>
      </c>
      <c r="X132" s="319">
        <f t="shared" si="49"/>
        <v>-100.78689514415</v>
      </c>
      <c r="Y132" s="332">
        <f t="shared" si="50"/>
        <v>79.21310485585</v>
      </c>
      <c r="AA132" s="22">
        <f t="shared" si="51"/>
        <v>1000000000</v>
      </c>
      <c r="AB132" s="22">
        <f t="shared" si="52"/>
        <v>51293527.8025</v>
      </c>
      <c r="AD132" s="331">
        <f t="shared" si="53"/>
        <v>27.7450391093801</v>
      </c>
      <c r="AE132" s="332">
        <f t="shared" si="54"/>
        <v>-12.5488394292358</v>
      </c>
      <c r="AG132" s="331">
        <f t="shared" si="55"/>
        <v>10.0986849065429</v>
      </c>
      <c r="AH132" s="332">
        <f t="shared" si="56"/>
        <v>-77.9384427426034</v>
      </c>
      <c r="AJ132" s="22">
        <f t="shared" si="57"/>
        <v>0</v>
      </c>
      <c r="AK132" s="22">
        <f t="shared" si="68"/>
        <v>0</v>
      </c>
      <c r="AM132" s="22" t="str">
        <f t="shared" si="62"/>
        <v>0.00825387484541695+0.128217094183541i</v>
      </c>
      <c r="AN132" s="22" t="str">
        <f t="shared" si="63"/>
        <v>0.1285710255981i</v>
      </c>
      <c r="AO132" s="22" t="str">
        <f t="shared" si="64"/>
        <v>0.997247191481031-0.0641970055618731i</v>
      </c>
      <c r="AP132" s="22" t="str">
        <f t="shared" si="65"/>
        <v>0.165291020859097-0.0213695156972568i</v>
      </c>
      <c r="AQ132" s="22" t="str">
        <f t="shared" si="66"/>
        <v>0.834708979140903+0.0213695156972568i</v>
      </c>
      <c r="AR132" s="22" t="str">
        <f t="shared" si="67"/>
        <v>0.997298955891706-0.0255320072328922i</v>
      </c>
    </row>
    <row r="133" spans="7:44">
      <c r="G133" s="257">
        <v>7244.4</v>
      </c>
      <c r="H133" s="256">
        <f t="shared" si="59"/>
        <v>7.2444</v>
      </c>
      <c r="I133" s="298">
        <f t="shared" si="36"/>
        <v>7.13831118776413</v>
      </c>
      <c r="J133" s="299">
        <f t="shared" si="37"/>
        <v>1.43024486724846</v>
      </c>
      <c r="K133" s="299">
        <f t="shared" si="38"/>
        <v>1.00000766178256</v>
      </c>
      <c r="L133" s="300">
        <f t="shared" si="39"/>
        <v>0.00391452005771362</v>
      </c>
      <c r="M133" s="299">
        <f t="shared" si="40"/>
        <v>1.00032974995168</v>
      </c>
      <c r="N133" s="300">
        <f t="shared" si="41"/>
        <v>-0.0256772025208197</v>
      </c>
      <c r="O133" s="298">
        <f t="shared" si="42"/>
        <v>13109.1574232894</v>
      </c>
      <c r="P133" s="301">
        <f t="shared" si="43"/>
        <v>1.57072004424151</v>
      </c>
      <c r="Q133" s="320">
        <f t="shared" si="44"/>
        <v>5.55293352384489</v>
      </c>
      <c r="R133" s="321">
        <f t="shared" si="45"/>
        <v>1.38972346963316</v>
      </c>
      <c r="S133" s="298">
        <f t="shared" si="46"/>
        <v>1.00066278193162</v>
      </c>
      <c r="T133" s="301">
        <f t="shared" si="47"/>
        <v>0.0363982436928134</v>
      </c>
      <c r="U133" s="316">
        <f t="shared" si="60"/>
        <v>0.996877344168703</v>
      </c>
      <c r="V133" s="317">
        <f t="shared" si="61"/>
        <v>-0.0909130405085947</v>
      </c>
      <c r="W133" s="318">
        <f t="shared" si="48"/>
        <v>12.3012112783212</v>
      </c>
      <c r="X133" s="319">
        <f t="shared" si="49"/>
        <v>-100.858643635367</v>
      </c>
      <c r="Y133" s="332">
        <f t="shared" si="50"/>
        <v>79.141356364633</v>
      </c>
      <c r="AA133" s="22">
        <f t="shared" si="51"/>
        <v>1000000000</v>
      </c>
      <c r="AB133" s="22">
        <f t="shared" si="52"/>
        <v>52481331.36</v>
      </c>
      <c r="AD133" s="331">
        <f t="shared" si="53"/>
        <v>27.7416486371418</v>
      </c>
      <c r="AE133" s="332">
        <f t="shared" si="54"/>
        <v>-12.4558055909031</v>
      </c>
      <c r="AG133" s="331">
        <f t="shared" si="55"/>
        <v>10.001836557597</v>
      </c>
      <c r="AH133" s="332">
        <f t="shared" si="56"/>
        <v>-77.9849709848713</v>
      </c>
      <c r="AJ133" s="22">
        <f t="shared" si="57"/>
        <v>0</v>
      </c>
      <c r="AK133" s="22">
        <f t="shared" si="68"/>
        <v>0</v>
      </c>
      <c r="AM133" s="22" t="str">
        <f t="shared" si="62"/>
        <v>0.00844474025372199+0.129684875253408i</v>
      </c>
      <c r="AN133" s="22" t="str">
        <f t="shared" si="63"/>
        <v>0.1300511645352i</v>
      </c>
      <c r="AO133" s="22" t="str">
        <f t="shared" si="64"/>
        <v>0.997183498639931-0.0649339841277339i</v>
      </c>
      <c r="AP133" s="22" t="str">
        <f t="shared" si="65"/>
        <v>0.165259209957713-0.021614145875568i</v>
      </c>
      <c r="AQ133" s="22" t="str">
        <f t="shared" si="66"/>
        <v>0.834740790042287+0.021614145875568i</v>
      </c>
      <c r="AR133" s="22" t="str">
        <f t="shared" si="67"/>
        <v>0.997245960580559-0.0258219316977636i</v>
      </c>
    </row>
    <row r="134" spans="7:44">
      <c r="G134" s="257">
        <v>7328.75</v>
      </c>
      <c r="H134" s="256">
        <f t="shared" si="59"/>
        <v>7.32875</v>
      </c>
      <c r="I134" s="298">
        <f t="shared" si="36"/>
        <v>7.21980402494591</v>
      </c>
      <c r="J134" s="299">
        <f t="shared" si="37"/>
        <v>1.43184167841355</v>
      </c>
      <c r="K134" s="299">
        <f t="shared" si="38"/>
        <v>1.00000784124014</v>
      </c>
      <c r="L134" s="300">
        <f t="shared" si="39"/>
        <v>0.00396009820561233</v>
      </c>
      <c r="M134" s="299">
        <f t="shared" si="40"/>
        <v>1.00033747222477</v>
      </c>
      <c r="N134" s="300">
        <f t="shared" si="41"/>
        <v>-0.0259760407238342</v>
      </c>
      <c r="O134" s="298">
        <f t="shared" si="42"/>
        <v>13261.7935867063</v>
      </c>
      <c r="P134" s="301">
        <f t="shared" si="43"/>
        <v>1.57072092221297</v>
      </c>
      <c r="Q134" s="320">
        <f t="shared" si="44"/>
        <v>5.61550383821564</v>
      </c>
      <c r="R134" s="321">
        <f t="shared" si="45"/>
        <v>1.39176302405933</v>
      </c>
      <c r="S134" s="298">
        <f t="shared" si="46"/>
        <v>1.00067830069535</v>
      </c>
      <c r="T134" s="301">
        <f t="shared" si="47"/>
        <v>0.0368216650161903</v>
      </c>
      <c r="U134" s="316">
        <f t="shared" si="60"/>
        <v>0.996813824897133</v>
      </c>
      <c r="V134" s="317">
        <f t="shared" si="61"/>
        <v>-0.0919686848964984</v>
      </c>
      <c r="W134" s="318">
        <f t="shared" si="48"/>
        <v>12.1987684429556</v>
      </c>
      <c r="X134" s="319">
        <f t="shared" si="49"/>
        <v>-100.932581574399</v>
      </c>
      <c r="Y134" s="332">
        <f t="shared" si="50"/>
        <v>79.0674184256007</v>
      </c>
      <c r="AA134" s="22">
        <f t="shared" si="51"/>
        <v>1000000000</v>
      </c>
      <c r="AB134" s="22">
        <f t="shared" si="52"/>
        <v>53710576.5625</v>
      </c>
      <c r="AD134" s="331">
        <f t="shared" si="53"/>
        <v>27.7382893082208</v>
      </c>
      <c r="AE134" s="332">
        <f t="shared" si="54"/>
        <v>-12.3632582889349</v>
      </c>
      <c r="AG134" s="331">
        <f t="shared" si="55"/>
        <v>9.90385998564958</v>
      </c>
      <c r="AH134" s="332">
        <f t="shared" si="56"/>
        <v>-78.0304882895461</v>
      </c>
      <c r="AJ134" s="22">
        <f t="shared" si="57"/>
        <v>0</v>
      </c>
      <c r="AK134" s="22">
        <f t="shared" si="68"/>
        <v>0</v>
      </c>
      <c r="AM134" s="22" t="str">
        <f t="shared" si="62"/>
        <v>0.00864225198831603+0.13118618622859i</v>
      </c>
      <c r="AN134" s="22" t="str">
        <f t="shared" si="63"/>
        <v>0.1315654121925i</v>
      </c>
      <c r="AO134" s="22" t="str">
        <f t="shared" si="64"/>
        <v>0.997117586168049-0.0656878722476931i</v>
      </c>
      <c r="AP134" s="22" t="str">
        <f t="shared" si="65"/>
        <v>0.165226291335281-0.0218643643714317i</v>
      </c>
      <c r="AQ134" s="22" t="str">
        <f t="shared" si="66"/>
        <v>0.834773708664719+0.0218643643714317i</v>
      </c>
      <c r="AR134" s="22" t="str">
        <f t="shared" si="67"/>
        <v>0.997191130044851-0.0261183959065215i</v>
      </c>
    </row>
    <row r="135" spans="7:44">
      <c r="G135" s="257">
        <v>7413.1</v>
      </c>
      <c r="H135" s="256">
        <f t="shared" si="59"/>
        <v>7.4131</v>
      </c>
      <c r="I135" s="298">
        <f t="shared" si="36"/>
        <v>7.30131486025722</v>
      </c>
      <c r="J135" s="299">
        <f t="shared" si="37"/>
        <v>1.43340284034242</v>
      </c>
      <c r="K135" s="299">
        <f t="shared" si="38"/>
        <v>1.0000080227751</v>
      </c>
      <c r="L135" s="300">
        <f t="shared" si="39"/>
        <v>0.0040056763370578</v>
      </c>
      <c r="M135" s="299">
        <f t="shared" si="40"/>
        <v>1.00034528383089</v>
      </c>
      <c r="N135" s="300">
        <f t="shared" si="41"/>
        <v>-0.0262748742863342</v>
      </c>
      <c r="O135" s="298">
        <f t="shared" si="42"/>
        <v>13414.4297501331</v>
      </c>
      <c r="P135" s="301">
        <f t="shared" si="43"/>
        <v>1.57072178020443</v>
      </c>
      <c r="Q135" s="320">
        <f t="shared" si="44"/>
        <v>5.67809699698435</v>
      </c>
      <c r="R135" s="321">
        <f t="shared" si="45"/>
        <v>1.39375762010278</v>
      </c>
      <c r="S135" s="298">
        <f t="shared" si="46"/>
        <v>1.00069399886073</v>
      </c>
      <c r="T135" s="301">
        <f t="shared" si="47"/>
        <v>0.0372450731308199</v>
      </c>
      <c r="U135" s="316">
        <f t="shared" si="60"/>
        <v>0.996749582012523</v>
      </c>
      <c r="V135" s="317">
        <f t="shared" si="61"/>
        <v>-0.0930242290480602</v>
      </c>
      <c r="W135" s="318">
        <f t="shared" si="48"/>
        <v>12.0975109651907</v>
      </c>
      <c r="X135" s="319">
        <f t="shared" si="49"/>
        <v>-101.007044978604</v>
      </c>
      <c r="Y135" s="332">
        <f t="shared" si="50"/>
        <v>78.9929550213963</v>
      </c>
      <c r="AA135" s="22">
        <f t="shared" si="51"/>
        <v>1000000000</v>
      </c>
      <c r="AB135" s="22">
        <f t="shared" si="52"/>
        <v>54954051.61</v>
      </c>
      <c r="AD135" s="331">
        <f t="shared" si="53"/>
        <v>27.7350355955875</v>
      </c>
      <c r="AE135" s="332">
        <f t="shared" si="54"/>
        <v>-12.2732850109785</v>
      </c>
      <c r="AG135" s="331">
        <f t="shared" si="55"/>
        <v>9.80697583698768</v>
      </c>
      <c r="AH135" s="332">
        <f t="shared" si="56"/>
        <v>-78.0739685216206</v>
      </c>
      <c r="AJ135" s="22">
        <f t="shared" si="57"/>
        <v>0</v>
      </c>
      <c r="AK135" s="22">
        <f t="shared" si="68"/>
        <v>0</v>
      </c>
      <c r="AM135" s="22" t="str">
        <f t="shared" si="62"/>
        <v>0.00884203685222595+0.132687196400993i</v>
      </c>
      <c r="AN135" s="22" t="str">
        <f t="shared" si="63"/>
        <v>0.1330796598498i</v>
      </c>
      <c r="AO135" s="22" t="str">
        <f t="shared" si="64"/>
        <v>0.997050913345811-0.0664416850945178i</v>
      </c>
      <c r="AP135" s="22" t="str">
        <f t="shared" si="65"/>
        <v>0.165192993857962-0.0221145327334988i</v>
      </c>
      <c r="AQ135" s="22" t="str">
        <f t="shared" si="66"/>
        <v>0.834807006142038+0.0221145327334988i</v>
      </c>
      <c r="AR135" s="22" t="str">
        <f t="shared" si="67"/>
        <v>0.997135679005687-0.0264147155580519i</v>
      </c>
    </row>
    <row r="136" spans="7:44">
      <c r="G136" s="257">
        <v>7499.45</v>
      </c>
      <c r="H136" s="256">
        <f t="shared" si="59"/>
        <v>7.49945</v>
      </c>
      <c r="I136" s="298">
        <f t="shared" si="36"/>
        <v>7.38477639799868</v>
      </c>
      <c r="J136" s="299">
        <f t="shared" si="37"/>
        <v>1.4349653160229</v>
      </c>
      <c r="K136" s="299">
        <f t="shared" si="38"/>
        <v>1.00000821076623</v>
      </c>
      <c r="L136" s="300">
        <f t="shared" si="39"/>
        <v>0.00405233514199035</v>
      </c>
      <c r="M136" s="299">
        <f t="shared" si="40"/>
        <v>1.00035337318906</v>
      </c>
      <c r="N136" s="300">
        <f t="shared" si="41"/>
        <v>-0.0265807885480098</v>
      </c>
      <c r="O136" s="298">
        <f t="shared" si="42"/>
        <v>13570.6850282926</v>
      </c>
      <c r="P136" s="301">
        <f t="shared" si="43"/>
        <v>1.57072263854712</v>
      </c>
      <c r="Q136" s="320">
        <f t="shared" si="44"/>
        <v>5.7421971685425</v>
      </c>
      <c r="R136" s="321">
        <f t="shared" si="45"/>
        <v>1.39575445812043</v>
      </c>
      <c r="S136" s="298">
        <f t="shared" si="46"/>
        <v>1.00071025506493</v>
      </c>
      <c r="T136" s="301">
        <f t="shared" si="47"/>
        <v>0.0376785067204679</v>
      </c>
      <c r="U136" s="316">
        <f t="shared" si="60"/>
        <v>0.996683066747363</v>
      </c>
      <c r="V136" s="317">
        <f t="shared" si="61"/>
        <v>-0.0941046959143575</v>
      </c>
      <c r="W136" s="318">
        <f t="shared" si="48"/>
        <v>11.9950513997009</v>
      </c>
      <c r="X136" s="319">
        <f t="shared" si="49"/>
        <v>-101.083801379621</v>
      </c>
      <c r="Y136" s="332">
        <f t="shared" si="50"/>
        <v>78.9161986203787</v>
      </c>
      <c r="AA136" s="22">
        <f t="shared" si="51"/>
        <v>1000000000</v>
      </c>
      <c r="AB136" s="22">
        <f t="shared" si="52"/>
        <v>56241750.3025</v>
      </c>
      <c r="AD136" s="331">
        <f t="shared" si="53"/>
        <v>27.7318092597132</v>
      </c>
      <c r="AE136" s="332">
        <f t="shared" si="54"/>
        <v>-12.1837577148928</v>
      </c>
      <c r="AG136" s="331">
        <f t="shared" si="55"/>
        <v>9.70890190262707</v>
      </c>
      <c r="AH136" s="332">
        <f t="shared" si="56"/>
        <v>-78.116439835897</v>
      </c>
      <c r="AJ136" s="22">
        <f t="shared" si="57"/>
        <v>0</v>
      </c>
      <c r="AK136" s="22">
        <f t="shared" si="68"/>
        <v>0</v>
      </c>
      <c r="AM136" s="22" t="str">
        <f t="shared" si="62"/>
        <v>0.00904891289724497+0.13422348143998i</v>
      </c>
      <c r="AN136" s="22" t="str">
        <f t="shared" si="63"/>
        <v>0.1346298114231i</v>
      </c>
      <c r="AO136" s="22" t="str">
        <f t="shared" si="64"/>
        <v>0.99698187215131-0.0672132925211269i</v>
      </c>
      <c r="AP136" s="22" t="str">
        <f t="shared" si="65"/>
        <v>0.165158514517126-0.0223705802399967i</v>
      </c>
      <c r="AQ136" s="22" t="str">
        <f t="shared" si="66"/>
        <v>0.834841485482874+0.0223705802399967i</v>
      </c>
      <c r="AR136" s="22" t="str">
        <f t="shared" si="67"/>
        <v>0.997078270942182-0.0267179097511761i</v>
      </c>
    </row>
    <row r="137" spans="7:44">
      <c r="G137" s="257">
        <v>7585.8</v>
      </c>
      <c r="H137" s="256">
        <f t="shared" si="59"/>
        <v>7.5858</v>
      </c>
      <c r="I137" s="298">
        <f t="shared" si="36"/>
        <v>7.46825556143361</v>
      </c>
      <c r="J137" s="299">
        <f t="shared" si="37"/>
        <v>1.43649286507444</v>
      </c>
      <c r="K137" s="299">
        <f t="shared" si="38"/>
        <v>1.00000840093443</v>
      </c>
      <c r="L137" s="300">
        <f t="shared" si="39"/>
        <v>0.00409899392927859</v>
      </c>
      <c r="M137" s="299">
        <f t="shared" si="40"/>
        <v>1.00036155616231</v>
      </c>
      <c r="N137" s="300">
        <f t="shared" si="41"/>
        <v>-0.0268866978335461</v>
      </c>
      <c r="O137" s="298">
        <f t="shared" si="42"/>
        <v>13726.9403064618</v>
      </c>
      <c r="P137" s="301">
        <f t="shared" si="43"/>
        <v>1.57072347734858</v>
      </c>
      <c r="Q137" s="320">
        <f t="shared" si="44"/>
        <v>5.80631973073137</v>
      </c>
      <c r="R137" s="321">
        <f t="shared" si="45"/>
        <v>1.39770719929697</v>
      </c>
      <c r="S137" s="298">
        <f t="shared" si="46"/>
        <v>1.0007266992611</v>
      </c>
      <c r="T137" s="301">
        <f t="shared" si="47"/>
        <v>0.0381119261469554</v>
      </c>
      <c r="U137" s="316">
        <f t="shared" si="60"/>
        <v>0.996615794000578</v>
      </c>
      <c r="V137" s="317">
        <f t="shared" si="61"/>
        <v>-0.095185055344312</v>
      </c>
      <c r="W137" s="318">
        <f t="shared" si="48"/>
        <v>11.8937761039138</v>
      </c>
      <c r="X137" s="319">
        <f t="shared" si="49"/>
        <v>-101.161074824225</v>
      </c>
      <c r="Y137" s="332">
        <f t="shared" si="50"/>
        <v>78.838925175775</v>
      </c>
      <c r="AA137" s="22">
        <f t="shared" si="51"/>
        <v>1000000000</v>
      </c>
      <c r="AB137" s="22">
        <f t="shared" si="52"/>
        <v>57544361.64</v>
      </c>
      <c r="AD137" s="331">
        <f t="shared" si="53"/>
        <v>27.7286839695152</v>
      </c>
      <c r="AE137" s="332">
        <f t="shared" si="54"/>
        <v>-12.0967550505767</v>
      </c>
      <c r="AG137" s="331">
        <f t="shared" si="55"/>
        <v>9.61192447314465</v>
      </c>
      <c r="AH137" s="332">
        <f t="shared" si="56"/>
        <v>-78.1569158732884</v>
      </c>
      <c r="AJ137" s="22">
        <f t="shared" si="57"/>
        <v>0</v>
      </c>
      <c r="AK137" s="22">
        <f t="shared" si="68"/>
        <v>0</v>
      </c>
      <c r="AM137" s="22" t="str">
        <f t="shared" si="62"/>
        <v>0.00925817016742303+0.135759443944045i</v>
      </c>
      <c r="AN137" s="22" t="str">
        <f t="shared" si="63"/>
        <v>0.1361799629964i</v>
      </c>
      <c r="AO137" s="22" t="str">
        <f t="shared" si="64"/>
        <v>0.996912034317661-0.067984819232678i</v>
      </c>
      <c r="AP137" s="22" t="str">
        <f t="shared" si="65"/>
        <v>0.16512363830543-0.0226265739906742i</v>
      </c>
      <c r="AQ137" s="22" t="str">
        <f t="shared" si="66"/>
        <v>0.83487636169457+0.0226265739906742i</v>
      </c>
      <c r="AR137" s="22" t="str">
        <f t="shared" si="67"/>
        <v>0.997020213636731-0.0270209490519775i</v>
      </c>
    </row>
    <row r="138" spans="7:44">
      <c r="G138" s="257">
        <v>7674.15</v>
      </c>
      <c r="H138" s="256">
        <f t="shared" si="59"/>
        <v>7.67415</v>
      </c>
      <c r="I138" s="298">
        <f t="shared" si="36"/>
        <v>7.55368586511984</v>
      </c>
      <c r="J138" s="299">
        <f t="shared" si="37"/>
        <v>1.43802084555737</v>
      </c>
      <c r="K138" s="299">
        <f t="shared" si="38"/>
        <v>1.0000085977605</v>
      </c>
      <c r="L138" s="300">
        <f t="shared" si="39"/>
        <v>0.00414673338801271</v>
      </c>
      <c r="M138" s="299">
        <f t="shared" si="40"/>
        <v>1.00037002555613</v>
      </c>
      <c r="N138" s="300">
        <f t="shared" si="41"/>
        <v>-0.0271996872429079</v>
      </c>
      <c r="O138" s="298">
        <f t="shared" si="42"/>
        <v>13886.8146993639</v>
      </c>
      <c r="P138" s="301">
        <f t="shared" si="43"/>
        <v>1.57072431604063</v>
      </c>
      <c r="Q138" s="320">
        <f t="shared" si="44"/>
        <v>5.87194988043542</v>
      </c>
      <c r="R138" s="321">
        <f t="shared" si="45"/>
        <v>1.39966101977446</v>
      </c>
      <c r="S138" s="298">
        <f t="shared" si="46"/>
        <v>1.0007437188944</v>
      </c>
      <c r="T138" s="301">
        <f t="shared" si="47"/>
        <v>0.0385553694118231</v>
      </c>
      <c r="U138" s="316">
        <f t="shared" si="60"/>
        <v>0.996546179568634</v>
      </c>
      <c r="V138" s="317">
        <f t="shared" si="61"/>
        <v>-0.0962903251177994</v>
      </c>
      <c r="W138" s="318">
        <f t="shared" si="48"/>
        <v>11.79135186568</v>
      </c>
      <c r="X138" s="319">
        <f t="shared" si="49"/>
        <v>-101.240656466856</v>
      </c>
      <c r="Y138" s="332">
        <f t="shared" si="50"/>
        <v>78.7593435331438</v>
      </c>
      <c r="AA138" s="22">
        <f t="shared" si="51"/>
        <v>1000000000</v>
      </c>
      <c r="AB138" s="22">
        <f t="shared" si="52"/>
        <v>58892578.2225</v>
      </c>
      <c r="AD138" s="331">
        <f t="shared" si="53"/>
        <v>27.7255862004961</v>
      </c>
      <c r="AE138" s="332">
        <f t="shared" si="54"/>
        <v>-12.0102648642364</v>
      </c>
      <c r="AG138" s="331">
        <f t="shared" si="55"/>
        <v>9.51381147936526</v>
      </c>
      <c r="AH138" s="332">
        <f t="shared" si="56"/>
        <v>-78.1963331156265</v>
      </c>
      <c r="AJ138" s="22">
        <f t="shared" si="57"/>
        <v>0</v>
      </c>
      <c r="AK138" s="22">
        <f t="shared" si="68"/>
        <v>0</v>
      </c>
      <c r="AM138" s="22" t="str">
        <f t="shared" si="62"/>
        <v>0.00947473822938705+0.13733064404662i</v>
      </c>
      <c r="AN138" s="22" t="str">
        <f t="shared" si="63"/>
        <v>0.1377660184857i</v>
      </c>
      <c r="AO138" s="22" t="str">
        <f t="shared" si="64"/>
        <v>0.996839754506477-0.0687741311938293i</v>
      </c>
      <c r="AP138" s="22" t="str">
        <f t="shared" si="65"/>
        <v>0.165087543628436-0.0228884406744367i</v>
      </c>
      <c r="AQ138" s="22" t="str">
        <f t="shared" si="66"/>
        <v>0.834912456371564+0.0228884406744367i</v>
      </c>
      <c r="AR138" s="22" t="str">
        <f t="shared" si="67"/>
        <v>0.996960140217049-0.0273308451083653i</v>
      </c>
    </row>
    <row r="139" spans="7:44">
      <c r="G139" s="257">
        <v>7762.5</v>
      </c>
      <c r="H139" s="256">
        <f t="shared" si="59"/>
        <v>7.7625</v>
      </c>
      <c r="I139" s="298">
        <f t="shared" si="36"/>
        <v>7.63913341010634</v>
      </c>
      <c r="J139" s="299">
        <f t="shared" si="37"/>
        <v>1.43951464700453</v>
      </c>
      <c r="K139" s="299">
        <f t="shared" si="38"/>
        <v>1.00000879686564</v>
      </c>
      <c r="L139" s="300">
        <f t="shared" si="39"/>
        <v>0.00419447282784545</v>
      </c>
      <c r="M139" s="299">
        <f t="shared" si="40"/>
        <v>1.00037859294691</v>
      </c>
      <c r="N139" s="300">
        <f t="shared" si="41"/>
        <v>-0.0275126713219545</v>
      </c>
      <c r="O139" s="298">
        <f t="shared" si="42"/>
        <v>14046.6890922756</v>
      </c>
      <c r="P139" s="301">
        <f t="shared" si="43"/>
        <v>1.57072513564129</v>
      </c>
      <c r="Q139" s="320">
        <f t="shared" si="44"/>
        <v>5.937601950222</v>
      </c>
      <c r="R139" s="321">
        <f t="shared" si="45"/>
        <v>1.40157164062244</v>
      </c>
      <c r="S139" s="298">
        <f t="shared" si="46"/>
        <v>1.00076093530916</v>
      </c>
      <c r="T139" s="301">
        <f t="shared" si="47"/>
        <v>0.0389987975064884</v>
      </c>
      <c r="U139" s="316">
        <f t="shared" si="60"/>
        <v>0.996475773094022</v>
      </c>
      <c r="V139" s="317">
        <f t="shared" si="61"/>
        <v>-0.0973954798637493</v>
      </c>
      <c r="W139" s="318">
        <f t="shared" si="48"/>
        <v>11.6901095796904</v>
      </c>
      <c r="X139" s="319">
        <f t="shared" si="49"/>
        <v>-101.320746093479</v>
      </c>
      <c r="Y139" s="332">
        <f t="shared" si="50"/>
        <v>78.6792539065207</v>
      </c>
      <c r="AA139" s="22">
        <f t="shared" si="51"/>
        <v>1000000000</v>
      </c>
      <c r="AB139" s="22">
        <f t="shared" si="52"/>
        <v>60256406.25</v>
      </c>
      <c r="AD139" s="331">
        <f t="shared" si="53"/>
        <v>27.7225849766093</v>
      </c>
      <c r="AE139" s="332">
        <f t="shared" si="54"/>
        <v>-11.9262478713019</v>
      </c>
      <c r="AG139" s="331">
        <f t="shared" si="55"/>
        <v>9.41679778531574</v>
      </c>
      <c r="AH139" s="332">
        <f t="shared" si="56"/>
        <v>-78.2337983297358</v>
      </c>
      <c r="AJ139" s="22">
        <f t="shared" si="57"/>
        <v>0</v>
      </c>
      <c r="AK139" s="22">
        <f t="shared" si="68"/>
        <v>0</v>
      </c>
      <c r="AM139" s="22" t="str">
        <f t="shared" si="62"/>
        <v>0.00969379802845904+0.138901498684143i</v>
      </c>
      <c r="AN139" s="22" t="str">
        <f t="shared" si="63"/>
        <v>0.139352073975i</v>
      </c>
      <c r="AO139" s="22" t="str">
        <f t="shared" si="64"/>
        <v>0.99676664094043-0.0695633566974979i</v>
      </c>
      <c r="AP139" s="22" t="str">
        <f t="shared" si="65"/>
        <v>0.165051033661924-0.0231502497806905i</v>
      </c>
      <c r="AQ139" s="22" t="str">
        <f t="shared" si="66"/>
        <v>0.834948966338076+0.0231502497806905i</v>
      </c>
      <c r="AR139" s="22" t="str">
        <f t="shared" si="67"/>
        <v>0.996899388266068-0.0276405753824629i</v>
      </c>
    </row>
    <row r="140" spans="7:44">
      <c r="G140" s="257">
        <v>7852.9</v>
      </c>
      <c r="H140" s="256">
        <f t="shared" si="59"/>
        <v>7.8529</v>
      </c>
      <c r="I140" s="298">
        <f t="shared" si="36"/>
        <v>7.72658085830629</v>
      </c>
      <c r="J140" s="299">
        <f t="shared" si="37"/>
        <v>1.44100890751264</v>
      </c>
      <c r="K140" s="299">
        <f t="shared" si="38"/>
        <v>1.00000900294966</v>
      </c>
      <c r="L140" s="300">
        <f t="shared" si="39"/>
        <v>0.0042433199541875</v>
      </c>
      <c r="M140" s="299">
        <f t="shared" si="40"/>
        <v>1.00038746055977</v>
      </c>
      <c r="N140" s="300">
        <f t="shared" si="41"/>
        <v>-0.0278329120424606</v>
      </c>
      <c r="O140" s="298">
        <f t="shared" si="42"/>
        <v>14210.2730777884</v>
      </c>
      <c r="P140" s="301">
        <f t="shared" si="43"/>
        <v>1.57072595517041</v>
      </c>
      <c r="Q140" s="320">
        <f t="shared" si="44"/>
        <v>6.00479929505057</v>
      </c>
      <c r="R140" s="321">
        <f t="shared" si="45"/>
        <v>1.40348334279267</v>
      </c>
      <c r="S140" s="298">
        <f t="shared" si="46"/>
        <v>1.00077875487207</v>
      </c>
      <c r="T140" s="301">
        <f t="shared" si="47"/>
        <v>0.0394524986549151</v>
      </c>
      <c r="U140" s="316">
        <f t="shared" si="60"/>
        <v>0.996402913644282</v>
      </c>
      <c r="V140" s="317">
        <f t="shared" si="61"/>
        <v>-0.0985261572932337</v>
      </c>
      <c r="W140" s="318">
        <f t="shared" si="48"/>
        <v>11.5877126595533</v>
      </c>
      <c r="X140" s="319">
        <f t="shared" si="49"/>
        <v>-101.403203316899</v>
      </c>
      <c r="Y140" s="332">
        <f t="shared" si="50"/>
        <v>78.5967966831014</v>
      </c>
      <c r="AA140" s="22">
        <f t="shared" si="51"/>
        <v>1000000000</v>
      </c>
      <c r="AB140" s="22">
        <f t="shared" si="52"/>
        <v>61668038.41</v>
      </c>
      <c r="AD140" s="331">
        <f t="shared" si="53"/>
        <v>27.7196095674542</v>
      </c>
      <c r="AE140" s="332">
        <f t="shared" si="54"/>
        <v>-11.8427575216915</v>
      </c>
      <c r="AG140" s="331">
        <f t="shared" si="55"/>
        <v>9.31864649543453</v>
      </c>
      <c r="AH140" s="332">
        <f t="shared" si="56"/>
        <v>-78.2701798132175</v>
      </c>
      <c r="AJ140" s="22">
        <f t="shared" si="57"/>
        <v>0</v>
      </c>
      <c r="AK140" s="22">
        <f t="shared" si="68"/>
        <v>0</v>
      </c>
      <c r="AM140" s="22" t="str">
        <f t="shared" si="62"/>
        <v>0.00992051926644+0.14050844042393i</v>
      </c>
      <c r="AN140" s="22" t="str">
        <f t="shared" si="63"/>
        <v>0.1409749309782i</v>
      </c>
      <c r="AO140" s="22" t="str">
        <f t="shared" si="64"/>
        <v>0.996690968025073-0.0703708042103889i</v>
      </c>
      <c r="AP140" s="22" t="str">
        <f t="shared" si="65"/>
        <v>0.165013246788927-0.0234180734039883i</v>
      </c>
      <c r="AQ140" s="22" t="str">
        <f t="shared" si="66"/>
        <v>0.834986753211073+0.0234180734039883i</v>
      </c>
      <c r="AR140" s="22" t="str">
        <f t="shared" si="67"/>
        <v>0.996836524955119-0.0279573188717098i</v>
      </c>
    </row>
    <row r="141" spans="7:44">
      <c r="G141" s="257">
        <v>7943.3</v>
      </c>
      <c r="H141" s="256">
        <f t="shared" si="59"/>
        <v>7.9433</v>
      </c>
      <c r="I141" s="298">
        <f t="shared" ref="I141:I204" si="69">SQRT(1+(G141/pole1)^2)</f>
        <v>7.81404517236877</v>
      </c>
      <c r="J141" s="299">
        <f t="shared" ref="J141:J204" si="70">ATAN(G141/pole1)</f>
        <v>1.44246972005353</v>
      </c>
      <c r="K141" s="299">
        <f t="shared" ref="K141:K204" si="71">SQRT(1+(G141/Zero1)^2)</f>
        <v>1.00000921141974</v>
      </c>
      <c r="L141" s="300">
        <f t="shared" ref="L141:L204" si="72">ATAN(G141/Zero1)</f>
        <v>0.00429216706027996</v>
      </c>
      <c r="M141" s="299">
        <f t="shared" ref="M141:M204" si="73">SQRT(1+(G141/z_RHP)^2)</f>
        <v>1.00039643076466</v>
      </c>
      <c r="N141" s="300">
        <f t="shared" ref="N141:N204" si="74">-ATAN(G141/z_RHP)</f>
        <v>-0.0281531470528346</v>
      </c>
      <c r="O141" s="298">
        <f t="shared" ref="O141:O204" si="75">SQRT(1+(G141/Pole2)^2)</f>
        <v>14373.8570633105</v>
      </c>
      <c r="P141" s="301">
        <f t="shared" ref="P141:P204" si="76">ATAN(G141/Pole2)</f>
        <v>1.57072675604597</v>
      </c>
      <c r="Q141" s="320">
        <f t="shared" ref="Q141:Q147" si="77">SQRT(1+(G141/Zero2)^2)</f>
        <v>6.07201809928134</v>
      </c>
      <c r="R141" s="321">
        <f t="shared" ref="R141:R147" si="78">ATAN(G141/Zero2)</f>
        <v>1.4053527255985</v>
      </c>
      <c r="S141" s="298">
        <f t="shared" ref="S141:S204" si="79">SQRT(1+(G141/pole4)^2)</f>
        <v>1.00079678043265</v>
      </c>
      <c r="T141" s="301">
        <f t="shared" ref="T141:T204" si="80">ATAN(G141/pole4)</f>
        <v>0.0399061835533147</v>
      </c>
      <c r="U141" s="316">
        <f t="shared" si="60"/>
        <v>0.996329225992524</v>
      </c>
      <c r="V141" s="317">
        <f t="shared" si="61"/>
        <v>-0.0996567115610603</v>
      </c>
      <c r="W141" s="318">
        <f t="shared" ref="W141:W204" si="81">20*LOG10(((K141*Q141*M141*U141)/(I141*O141*S141))*Adc)</f>
        <v>11.4864955247837</v>
      </c>
      <c r="X141" s="319">
        <f t="shared" ref="X141:X204" si="82">((L141+R141+N141+V141)-(J141+P141+T141))*radconv</f>
        <v>-101.486159451458</v>
      </c>
      <c r="Y141" s="332">
        <f t="shared" ref="Y141:Y204" si="83">IF(X141&gt;0,X141,X141+180)</f>
        <v>78.5138405485424</v>
      </c>
      <c r="AA141" s="22">
        <f t="shared" ref="AA141:AA204" si="84">IF(W141&lt;0,G141,1000000000)</f>
        <v>1000000000</v>
      </c>
      <c r="AB141" s="22">
        <f t="shared" ref="AB141:AB204" si="85">G141^2</f>
        <v>63096014.89</v>
      </c>
      <c r="AD141" s="331">
        <f t="shared" ref="AD141:AD204" si="86">20*LOG10((Q141/(O141*S141))*Aea)</f>
        <v>27.716726389158</v>
      </c>
      <c r="AE141" s="332">
        <f t="shared" ref="AE141:AE204" si="87">(R141-(P141+T141))*radconv</f>
        <v>-11.7616898932271</v>
      </c>
      <c r="AG141" s="331">
        <f t="shared" ref="AG141:AG204" si="88">20*LOG10((K141*M141/(I141*U141))*Acs*Am)</f>
        <v>9.22159729329092</v>
      </c>
      <c r="AH141" s="332">
        <f t="shared" ref="AH141:AH204" si="89">(L141+N141-(J141+V141))*radconv</f>
        <v>-78.3046515999789</v>
      </c>
      <c r="AJ141" s="22">
        <f t="shared" ref="AJ141:AJ204" si="90">SUM((W142&lt;0)*(W141&gt;0))*G141</f>
        <v>0</v>
      </c>
      <c r="AK141" s="22">
        <f t="shared" si="68"/>
        <v>0</v>
      </c>
      <c r="AM141" s="22" t="str">
        <f t="shared" si="62"/>
        <v>0.01014984804138+0.142115012111656i</v>
      </c>
      <c r="AN141" s="22" t="str">
        <f t="shared" si="63"/>
        <v>0.1425977879814i</v>
      </c>
      <c r="AO141" s="22" t="str">
        <f t="shared" si="64"/>
        <v>0.996614422449478-0.0711781591079373i</v>
      </c>
      <c r="AP141" s="22" t="str">
        <f t="shared" si="65"/>
        <v>0.164975025326437-0.0236858353519427i</v>
      </c>
      <c r="AQ141" s="22" t="str">
        <f t="shared" si="66"/>
        <v>0.835024974673563+0.0236858353519427i</v>
      </c>
      <c r="AR141" s="22" t="str">
        <f t="shared" si="67"/>
        <v>0.996772952500606-0.0282738849163509i</v>
      </c>
    </row>
    <row r="142" spans="7:44">
      <c r="G142" s="257">
        <v>8035.8</v>
      </c>
      <c r="H142" s="256">
        <f t="shared" ref="H142:H205" si="91">G142/1000</f>
        <v>8.0358</v>
      </c>
      <c r="I142" s="298">
        <f t="shared" si="69"/>
        <v>7.90355816420724</v>
      </c>
      <c r="J142" s="299">
        <f t="shared" si="70"/>
        <v>1.44393099685954</v>
      </c>
      <c r="K142" s="299">
        <f t="shared" si="71"/>
        <v>1.00000942720245</v>
      </c>
      <c r="L142" s="300">
        <f t="shared" si="72"/>
        <v>0.00434214886776591</v>
      </c>
      <c r="M142" s="299">
        <f t="shared" si="73"/>
        <v>1.00040571553987</v>
      </c>
      <c r="N142" s="300">
        <f t="shared" si="74"/>
        <v>-0.0284808151718437</v>
      </c>
      <c r="O142" s="298">
        <f t="shared" si="75"/>
        <v>14541.2411193021</v>
      </c>
      <c r="P142" s="301">
        <f t="shared" si="76"/>
        <v>1.57072755687405</v>
      </c>
      <c r="Q142" s="320">
        <f t="shared" si="77"/>
        <v>6.1408198801375</v>
      </c>
      <c r="R142" s="321">
        <f t="shared" si="78"/>
        <v>1.40722316517633</v>
      </c>
      <c r="S142" s="298">
        <f t="shared" si="79"/>
        <v>1.00081543794826</v>
      </c>
      <c r="T142" s="301">
        <f t="shared" si="80"/>
        <v>0.0403703905775096</v>
      </c>
      <c r="U142" s="316">
        <f t="shared" ref="U142:U205" si="92">IMABS(IMPRODUCT(AO142,AR142))</f>
        <v>0.996252969834328</v>
      </c>
      <c r="V142" s="317">
        <f t="shared" ref="V142:V205" si="93">IMARGUMENT(IMPRODUCT(AO142,AR142))</f>
        <v>-0.100813399777594</v>
      </c>
      <c r="W142" s="318">
        <f t="shared" si="81"/>
        <v>11.3841194956862</v>
      </c>
      <c r="X142" s="319">
        <f t="shared" si="82"/>
        <v>-101.571542745671</v>
      </c>
      <c r="Y142" s="332">
        <f t="shared" si="83"/>
        <v>78.4284572543294</v>
      </c>
      <c r="AA142" s="22">
        <f t="shared" si="84"/>
        <v>1000000000</v>
      </c>
      <c r="AB142" s="22">
        <f t="shared" si="85"/>
        <v>64574081.64</v>
      </c>
      <c r="AD142" s="331">
        <f t="shared" si="86"/>
        <v>27.7138674139606</v>
      </c>
      <c r="AE142" s="332">
        <f t="shared" si="87"/>
        <v>-11.6811645868671</v>
      </c>
      <c r="AG142" s="331">
        <f t="shared" si="88"/>
        <v>9.12340987603226</v>
      </c>
      <c r="AH142" s="332">
        <f t="shared" si="89"/>
        <v>-78.3380134943607</v>
      </c>
      <c r="AJ142" s="22">
        <f t="shared" si="90"/>
        <v>0</v>
      </c>
      <c r="AK142" s="22">
        <f t="shared" si="68"/>
        <v>0</v>
      </c>
      <c r="AM142" s="22" t="str">
        <f t="shared" ref="AM142:AM205" si="94">IMSUB(1,IMEXP(COMPLEX(0,-2*Pi*G142*Tsw)))</f>
        <v>0.01038720261448+0.143758517141787i</v>
      </c>
      <c r="AN142" s="22" t="str">
        <f t="shared" ref="AN142:AN205" si="95">COMPLEX(0,2*Pi*G142*Tsw)</f>
        <v>0.1442583440964i</v>
      </c>
      <c r="AO142" s="22" t="str">
        <f t="shared" ref="AO142:AO205" si="96">IMDIV(AM142,AN142)</f>
        <v>0.996535195535871-0.0720041719565199i</v>
      </c>
      <c r="AP142" s="22" t="str">
        <f t="shared" ref="AP142:AP205" si="97">IMDIV(IMEXP(COMPLEX(0,-2*Pi*G142*Tsw)),6)</f>
        <v>0.16493546623092-0.0239597528569645i</v>
      </c>
      <c r="AQ142" s="22" t="str">
        <f t="shared" ref="AQ142:AQ205" si="98">IMSUB(1,AP142)</f>
        <v>0.83506453376908+0.0239597528569645i</v>
      </c>
      <c r="AR142" s="22" t="str">
        <f t="shared" ref="AR142:AR205" si="99">IMDIV(0.833,AQ142)</f>
        <v>0.996707169872716-0.0285976191003204i</v>
      </c>
    </row>
    <row r="143" spans="7:44">
      <c r="G143" s="257">
        <v>8128.3</v>
      </c>
      <c r="H143" s="256">
        <f t="shared" si="91"/>
        <v>8.1283</v>
      </c>
      <c r="I143" s="298">
        <f t="shared" si="69"/>
        <v>7.99308765473139</v>
      </c>
      <c r="J143" s="299">
        <f t="shared" si="70"/>
        <v>1.44535954153272</v>
      </c>
      <c r="K143" s="299">
        <f t="shared" si="71"/>
        <v>1.00000964548337</v>
      </c>
      <c r="L143" s="300">
        <f t="shared" si="72"/>
        <v>0.00439213065355677</v>
      </c>
      <c r="M143" s="299">
        <f t="shared" si="73"/>
        <v>1.00041510772303</v>
      </c>
      <c r="N143" s="300">
        <f t="shared" si="74"/>
        <v>-0.0288084771735481</v>
      </c>
      <c r="O143" s="298">
        <f t="shared" si="75"/>
        <v>14708.6251753028</v>
      </c>
      <c r="P143" s="301">
        <f t="shared" si="76"/>
        <v>1.57072833947529</v>
      </c>
      <c r="Q143" s="320">
        <f t="shared" si="77"/>
        <v>6.2096426688037</v>
      </c>
      <c r="R143" s="321">
        <f t="shared" si="78"/>
        <v>1.40905215007701</v>
      </c>
      <c r="S143" s="298">
        <f t="shared" si="79"/>
        <v>1.00083431111968</v>
      </c>
      <c r="T143" s="301">
        <f t="shared" si="80"/>
        <v>0.0408345801942179</v>
      </c>
      <c r="U143" s="316">
        <f t="shared" si="92"/>
        <v>0.996175847668808</v>
      </c>
      <c r="V143" s="317">
        <f t="shared" si="93"/>
        <v>-0.101969956119971</v>
      </c>
      <c r="W143" s="318">
        <f t="shared" si="81"/>
        <v>11.2829211966577</v>
      </c>
      <c r="X143" s="319">
        <f t="shared" si="82"/>
        <v>-101.657415858078</v>
      </c>
      <c r="Y143" s="332">
        <f t="shared" si="83"/>
        <v>78.3425841419216</v>
      </c>
      <c r="AA143" s="22">
        <f t="shared" si="84"/>
        <v>1000000000</v>
      </c>
      <c r="AB143" s="22">
        <f t="shared" si="85"/>
        <v>66069260.89</v>
      </c>
      <c r="AD143" s="331">
        <f t="shared" si="86"/>
        <v>27.7110965308714</v>
      </c>
      <c r="AE143" s="332">
        <f t="shared" si="87"/>
        <v>-11.6030124168548</v>
      </c>
      <c r="AG143" s="331">
        <f t="shared" si="88"/>
        <v>9.02632730034582</v>
      </c>
      <c r="AH143" s="332">
        <f t="shared" si="89"/>
        <v>-78.3695071822546</v>
      </c>
      <c r="AJ143" s="22">
        <f t="shared" si="90"/>
        <v>0</v>
      </c>
      <c r="AK143" s="22">
        <f t="shared" si="68"/>
        <v>0</v>
      </c>
      <c r="AM143" s="22" t="str">
        <f t="shared" si="94"/>
        <v>0.0106272859914071+0.145401625765574i</v>
      </c>
      <c r="AN143" s="22" t="str">
        <f t="shared" si="95"/>
        <v>0.1459189002114i</v>
      </c>
      <c r="AO143" s="22" t="str">
        <f t="shared" si="96"/>
        <v>0.996455055204798-0.0728300855887128i</v>
      </c>
      <c r="AP143" s="22" t="str">
        <f t="shared" si="97"/>
        <v>0.164895452334765-0.0242336042942623i</v>
      </c>
      <c r="AQ143" s="22" t="str">
        <f t="shared" si="98"/>
        <v>0.835104547665235+0.0242336042942623i</v>
      </c>
      <c r="AR143" s="22" t="str">
        <f t="shared" si="99"/>
        <v>0.996640646130399-0.0289211633554459i</v>
      </c>
    </row>
    <row r="144" spans="7:44">
      <c r="G144" s="257">
        <v>8222.95</v>
      </c>
      <c r="H144" s="256">
        <f t="shared" si="91"/>
        <v>8.22295</v>
      </c>
      <c r="I144" s="298">
        <f t="shared" si="69"/>
        <v>8.08471460757815</v>
      </c>
      <c r="J144" s="299">
        <f t="shared" si="70"/>
        <v>1.44678853640919</v>
      </c>
      <c r="K144" s="299">
        <f t="shared" si="71"/>
        <v>1.00000987142381</v>
      </c>
      <c r="L144" s="300">
        <f t="shared" si="72"/>
        <v>0.00444327415543469</v>
      </c>
      <c r="M144" s="299">
        <f t="shared" si="73"/>
        <v>1.00042482938957</v>
      </c>
      <c r="N144" s="300">
        <f t="shared" si="74"/>
        <v>-0.029143748697411</v>
      </c>
      <c r="O144" s="298">
        <f t="shared" si="75"/>
        <v>14879.8997796413</v>
      </c>
      <c r="P144" s="301">
        <f t="shared" si="76"/>
        <v>1.57072912204113</v>
      </c>
      <c r="Q144" s="320">
        <f t="shared" si="77"/>
        <v>6.28008614773283</v>
      </c>
      <c r="R144" s="321">
        <f t="shared" si="78"/>
        <v>1.41088214448967</v>
      </c>
      <c r="S144" s="298">
        <f t="shared" si="79"/>
        <v>1.00085384618497</v>
      </c>
      <c r="T144" s="301">
        <f t="shared" si="80"/>
        <v>0.0413095408563611</v>
      </c>
      <c r="U144" s="316">
        <f t="shared" si="92"/>
        <v>0.996096037100144</v>
      </c>
      <c r="V144" s="317">
        <f t="shared" si="93"/>
        <v>-0.103153256534783</v>
      </c>
      <c r="W144" s="318">
        <f t="shared" si="81"/>
        <v>11.1805610770825</v>
      </c>
      <c r="X144" s="319">
        <f t="shared" si="82"/>
        <v>-101.74577581243</v>
      </c>
      <c r="Y144" s="332">
        <f t="shared" si="83"/>
        <v>78.2542241875697</v>
      </c>
      <c r="AA144" s="22">
        <f t="shared" si="84"/>
        <v>1000000000</v>
      </c>
      <c r="AB144" s="22">
        <f t="shared" si="85"/>
        <v>67616906.7025</v>
      </c>
      <c r="AD144" s="331">
        <f t="shared" si="86"/>
        <v>27.7083483218675</v>
      </c>
      <c r="AE144" s="332">
        <f t="shared" si="87"/>
        <v>-11.5254195394838</v>
      </c>
      <c r="AG144" s="331">
        <f t="shared" si="88"/>
        <v>8.92810721946812</v>
      </c>
      <c r="AH144" s="332">
        <f t="shared" si="89"/>
        <v>-78.3998637744932</v>
      </c>
      <c r="AJ144" s="22">
        <f t="shared" si="90"/>
        <v>0</v>
      </c>
      <c r="AK144" s="22">
        <f t="shared" si="68"/>
        <v>0</v>
      </c>
      <c r="AM144" s="22" t="str">
        <f t="shared" si="94"/>
        <v>0.010875773674352+0.147082510502398i</v>
      </c>
      <c r="AN144" s="22" t="str">
        <f t="shared" si="95"/>
        <v>0.1476180530361i</v>
      </c>
      <c r="AO144" s="22" t="str">
        <f t="shared" si="96"/>
        <v>0.996372106780388-0.073675092244255i</v>
      </c>
      <c r="AP144" s="22" t="str">
        <f t="shared" si="97"/>
        <v>0.164854037720941-0.0245137517503997i</v>
      </c>
      <c r="AQ144" s="22" t="str">
        <f t="shared" si="98"/>
        <v>0.835145962279059+0.0245137517503997i</v>
      </c>
      <c r="AR144" s="22" t="str">
        <f t="shared" si="99"/>
        <v>0.996571809735573-0.0292520290448837i</v>
      </c>
    </row>
    <row r="145" spans="7:44">
      <c r="G145" s="257">
        <v>8270.275</v>
      </c>
      <c r="H145" s="256">
        <f t="shared" si="91"/>
        <v>8.270275</v>
      </c>
      <c r="I145" s="298">
        <f t="shared" si="69"/>
        <v>8.130534170295</v>
      </c>
      <c r="J145" s="299">
        <f t="shared" si="70"/>
        <v>1.4474909551014</v>
      </c>
      <c r="K145" s="299">
        <f t="shared" si="71"/>
        <v>1.00000998537492</v>
      </c>
      <c r="L145" s="300">
        <f t="shared" si="72"/>
        <v>0.00446884589767375</v>
      </c>
      <c r="M145" s="299">
        <f t="shared" si="73"/>
        <v>1.00042973239276</v>
      </c>
      <c r="N145" s="300">
        <f t="shared" si="74"/>
        <v>-0.0293113820064225</v>
      </c>
      <c r="O145" s="298">
        <f t="shared" si="75"/>
        <v>14965.5370818139</v>
      </c>
      <c r="P145" s="301">
        <f t="shared" si="76"/>
        <v>1.57072950660694</v>
      </c>
      <c r="Q145" s="320">
        <f t="shared" si="77"/>
        <v>6.31531564195255</v>
      </c>
      <c r="R145" s="321">
        <f t="shared" si="78"/>
        <v>1.41178183084133</v>
      </c>
      <c r="S145" s="298">
        <f t="shared" si="79"/>
        <v>1.00086369838272</v>
      </c>
      <c r="T145" s="301">
        <f t="shared" si="80"/>
        <v>0.0415470142078617</v>
      </c>
      <c r="U145" s="316">
        <f t="shared" si="92"/>
        <v>0.996055792211659</v>
      </c>
      <c r="V145" s="317">
        <f t="shared" si="93"/>
        <v>-0.10374485388999</v>
      </c>
      <c r="W145" s="318">
        <f t="shared" si="81"/>
        <v>11.1298236655983</v>
      </c>
      <c r="X145" s="319">
        <f t="shared" si="82"/>
        <v>-101.790137022777</v>
      </c>
      <c r="Y145" s="332">
        <f t="shared" si="83"/>
        <v>78.2098629772228</v>
      </c>
      <c r="AA145" s="22">
        <f t="shared" si="84"/>
        <v>1000000000</v>
      </c>
      <c r="AB145" s="22">
        <f t="shared" si="85"/>
        <v>68397448.575625</v>
      </c>
      <c r="AD145" s="331">
        <f t="shared" si="86"/>
        <v>27.7070060028181</v>
      </c>
      <c r="AE145" s="332">
        <f t="shared" si="87"/>
        <v>-11.4874995633902</v>
      </c>
      <c r="AG145" s="331">
        <f t="shared" si="88"/>
        <v>8.87941400658843</v>
      </c>
      <c r="AH145" s="332">
        <f t="shared" si="89"/>
        <v>-78.4143528976071</v>
      </c>
      <c r="AJ145" s="22">
        <f t="shared" si="90"/>
        <v>0</v>
      </c>
      <c r="AK145" s="22">
        <f t="shared" si="68"/>
        <v>0</v>
      </c>
      <c r="AM145" s="22" t="str">
        <f t="shared" si="94"/>
        <v>0.011001088455972+0.147922793932269i</v>
      </c>
      <c r="AN145" s="22" t="str">
        <f t="shared" si="95"/>
        <v>0.14846762944845i</v>
      </c>
      <c r="AO145" s="22" t="str">
        <f t="shared" si="96"/>
        <v>0.996330274025355-0.0740975557893698i</v>
      </c>
      <c r="AP145" s="22" t="str">
        <f t="shared" si="97"/>
        <v>0.164833151924005-0.0246537989887115i</v>
      </c>
      <c r="AQ145" s="22" t="str">
        <f t="shared" si="98"/>
        <v>0.835166848075995+0.0246537989887115i</v>
      </c>
      <c r="AR145" s="22" t="str">
        <f t="shared" si="99"/>
        <v>0.996537101060873-0.0294173857965594i</v>
      </c>
    </row>
    <row r="146" spans="7:44">
      <c r="G146" s="257">
        <v>8317.6</v>
      </c>
      <c r="H146" s="256">
        <f t="shared" si="91"/>
        <v>8.3176</v>
      </c>
      <c r="I146" s="298">
        <f t="shared" si="69"/>
        <v>8.17635769959076</v>
      </c>
      <c r="J146" s="299">
        <f t="shared" si="70"/>
        <v>1.44818550087101</v>
      </c>
      <c r="K146" s="299">
        <f t="shared" si="71"/>
        <v>1.00001009997994</v>
      </c>
      <c r="L146" s="300">
        <f t="shared" si="72"/>
        <v>0.0044944176340683</v>
      </c>
      <c r="M146" s="299">
        <f t="shared" si="73"/>
        <v>1.00043466350867</v>
      </c>
      <c r="N146" s="300">
        <f t="shared" si="74"/>
        <v>-0.0294790136676242</v>
      </c>
      <c r="O146" s="298">
        <f t="shared" si="75"/>
        <v>15051.1743839886</v>
      </c>
      <c r="P146" s="301">
        <f t="shared" si="76"/>
        <v>1.57072988679658</v>
      </c>
      <c r="Q146" s="320">
        <f t="shared" si="77"/>
        <v>6.35055019129516</v>
      </c>
      <c r="R146" s="321">
        <f t="shared" si="78"/>
        <v>1.41267153450594</v>
      </c>
      <c r="S146" s="298">
        <f t="shared" si="79"/>
        <v>1.00087360702166</v>
      </c>
      <c r="T146" s="301">
        <f t="shared" si="80"/>
        <v>0.041784482870786</v>
      </c>
      <c r="U146" s="316">
        <f t="shared" si="92"/>
        <v>0.996015321025022</v>
      </c>
      <c r="V146" s="317">
        <f t="shared" si="93"/>
        <v>-0.104336415747142</v>
      </c>
      <c r="W146" s="318">
        <f t="shared" si="81"/>
        <v>11.0793767080898</v>
      </c>
      <c r="X146" s="319">
        <f t="shared" si="82"/>
        <v>-101.834616466385</v>
      </c>
      <c r="Y146" s="332">
        <f t="shared" si="83"/>
        <v>78.165383533615</v>
      </c>
      <c r="AA146" s="22">
        <f t="shared" si="84"/>
        <v>1000000000</v>
      </c>
      <c r="AB146" s="22">
        <f t="shared" si="85"/>
        <v>69182469.76</v>
      </c>
      <c r="AD146" s="331">
        <f t="shared" si="86"/>
        <v>27.7056842320255</v>
      </c>
      <c r="AE146" s="332">
        <f t="shared" si="87"/>
        <v>-11.4501510337618</v>
      </c>
      <c r="AG146" s="331">
        <f t="shared" si="88"/>
        <v>8.8309946747154</v>
      </c>
      <c r="AH146" s="332">
        <f t="shared" si="89"/>
        <v>-78.4283928752941</v>
      </c>
      <c r="AJ146" s="22">
        <f t="shared" si="90"/>
        <v>0</v>
      </c>
      <c r="AK146" s="22">
        <f t="shared" si="68"/>
        <v>0</v>
      </c>
      <c r="AM146" s="22" t="str">
        <f t="shared" si="94"/>
        <v>0.011127117077264+0.148762970594419i</v>
      </c>
      <c r="AN146" s="22" t="str">
        <f t="shared" si="95"/>
        <v>0.1493172058608i</v>
      </c>
      <c r="AO146" s="22" t="str">
        <f t="shared" si="96"/>
        <v>0.996288202265868-0.074519992609808i</v>
      </c>
      <c r="AP146" s="22" t="str">
        <f t="shared" si="97"/>
        <v>0.164812147153789-0.0247938284324032i</v>
      </c>
      <c r="AQ146" s="22" t="str">
        <f t="shared" si="98"/>
        <v>0.835187852846211+0.0247938284324032i</v>
      </c>
      <c r="AR146" s="22" t="str">
        <f t="shared" si="99"/>
        <v>0.996502198861534-0.0295826914470641i</v>
      </c>
    </row>
    <row r="147" spans="7:44">
      <c r="G147" s="257">
        <v>8366.05</v>
      </c>
      <c r="H147" s="256">
        <f t="shared" si="91"/>
        <v>8.36605</v>
      </c>
      <c r="I147" s="298">
        <f t="shared" si="69"/>
        <v>8.22327457613983</v>
      </c>
      <c r="J147" s="299">
        <f t="shared" si="70"/>
        <v>1.44888853809074</v>
      </c>
      <c r="K147" s="299">
        <f t="shared" si="71"/>
        <v>1.00001021798676</v>
      </c>
      <c r="L147" s="300">
        <f t="shared" si="72"/>
        <v>0.00452059725034152</v>
      </c>
      <c r="M147" s="299">
        <f t="shared" si="73"/>
        <v>1.00043974096871</v>
      </c>
      <c r="N147" s="300">
        <f t="shared" si="74"/>
        <v>-0.0296506285167651</v>
      </c>
      <c r="O147" s="298">
        <f t="shared" si="75"/>
        <v>15138.8474381983</v>
      </c>
      <c r="P147" s="301">
        <f t="shared" si="76"/>
        <v>1.57073027156812</v>
      </c>
      <c r="Q147" s="320">
        <f t="shared" si="77"/>
        <v>6.3866274784191</v>
      </c>
      <c r="R147" s="321">
        <f t="shared" si="78"/>
        <v>1.41357221761027</v>
      </c>
      <c r="S147" s="298">
        <f t="shared" si="79"/>
        <v>1.00088380967463</v>
      </c>
      <c r="T147" s="301">
        <f t="shared" si="80"/>
        <v>0.0420275917041852</v>
      </c>
      <c r="U147" s="316">
        <f t="shared" si="92"/>
        <v>0.995973653416967</v>
      </c>
      <c r="V147" s="317">
        <f t="shared" si="93"/>
        <v>-0.1049420031091</v>
      </c>
      <c r="W147" s="318">
        <f t="shared" si="81"/>
        <v>11.0280278717951</v>
      </c>
      <c r="X147" s="319">
        <f t="shared" si="82"/>
        <v>-101.880273772315</v>
      </c>
      <c r="Y147" s="332">
        <f t="shared" si="83"/>
        <v>78.1197262276846</v>
      </c>
      <c r="AA147" s="22">
        <f t="shared" si="84"/>
        <v>1000000000</v>
      </c>
      <c r="AB147" s="22">
        <f t="shared" si="85"/>
        <v>69990792.6025</v>
      </c>
      <c r="AD147" s="331">
        <f t="shared" si="86"/>
        <v>27.7043518417151</v>
      </c>
      <c r="AE147" s="332">
        <f t="shared" si="87"/>
        <v>-11.4124968490634</v>
      </c>
      <c r="AG147" s="331">
        <f t="shared" si="88"/>
        <v>8.78170498023374</v>
      </c>
      <c r="AH147" s="332">
        <f t="shared" si="89"/>
        <v>-78.4423091659103</v>
      </c>
      <c r="AJ147" s="22">
        <f t="shared" si="90"/>
        <v>0</v>
      </c>
      <c r="AK147" s="22">
        <f t="shared" si="68"/>
        <v>0</v>
      </c>
      <c r="AM147" s="22" t="str">
        <f t="shared" si="94"/>
        <v>0.011256881024829+0.149623008522253i</v>
      </c>
      <c r="AN147" s="22" t="str">
        <f t="shared" si="95"/>
        <v>0.1501869782259i</v>
      </c>
      <c r="AO147" s="22" t="str">
        <f t="shared" si="96"/>
        <v>0.996244882810022-0.0749524436659032i</v>
      </c>
      <c r="AP147" s="22" t="str">
        <f t="shared" si="97"/>
        <v>0.164790519829195-0.0249371680870422i</v>
      </c>
      <c r="AQ147" s="22" t="str">
        <f t="shared" si="98"/>
        <v>0.835209480170805+0.0249371680870422i</v>
      </c>
      <c r="AR147" s="22" t="str">
        <f t="shared" si="99"/>
        <v>0.996466266594495-0.0297518734797557i</v>
      </c>
    </row>
    <row r="148" spans="7:44">
      <c r="G148" s="334">
        <v>8414.5</v>
      </c>
      <c r="H148" s="256">
        <f t="shared" si="91"/>
        <v>8.4145</v>
      </c>
      <c r="I148" s="298">
        <f t="shared" si="69"/>
        <v>8.27019547101913</v>
      </c>
      <c r="J148" s="299">
        <f t="shared" si="70"/>
        <v>1.4495835982975</v>
      </c>
      <c r="K148" s="299">
        <f t="shared" si="71"/>
        <v>1.00001033667895</v>
      </c>
      <c r="L148" s="300">
        <f t="shared" si="72"/>
        <v>0.00454677686041813</v>
      </c>
      <c r="M148" s="299">
        <f t="shared" si="73"/>
        <v>1.00044484789305</v>
      </c>
      <c r="N148" s="300">
        <f t="shared" si="74"/>
        <v>-0.0298222416188915</v>
      </c>
      <c r="O148" s="298">
        <f t="shared" si="75"/>
        <v>15226.5204924102</v>
      </c>
      <c r="P148" s="301">
        <f t="shared" si="76"/>
        <v>1.57073065190869</v>
      </c>
      <c r="Q148" s="320">
        <f t="shared" ref="Q148:Q157" si="100">SQRT(1+(G148/Zero2)^2)</f>
        <v>6.42270988835965</v>
      </c>
      <c r="R148" s="321">
        <f t="shared" ref="R148:R157" si="101">ATAN(G148/Zero2)</f>
        <v>1.41446278145989</v>
      </c>
      <c r="S148" s="298">
        <f t="shared" si="79"/>
        <v>1.00089407148054</v>
      </c>
      <c r="T148" s="301">
        <f t="shared" si="80"/>
        <v>0.0422706955669377</v>
      </c>
      <c r="U148" s="316">
        <f t="shared" si="92"/>
        <v>0.995931748791915</v>
      </c>
      <c r="V148" s="317">
        <f t="shared" si="93"/>
        <v>-0.105547552846783</v>
      </c>
      <c r="W148" s="318">
        <f t="shared" si="81"/>
        <v>10.9769763005827</v>
      </c>
      <c r="X148" s="319">
        <f t="shared" si="82"/>
        <v>-101.92605102553</v>
      </c>
      <c r="Y148" s="332">
        <f t="shared" si="83"/>
        <v>78.0739489744703</v>
      </c>
      <c r="AA148" s="22">
        <f t="shared" si="84"/>
        <v>1000000000</v>
      </c>
      <c r="AB148" s="22">
        <f t="shared" si="85"/>
        <v>70803810.25</v>
      </c>
      <c r="AD148" s="331">
        <f t="shared" si="86"/>
        <v>27.7030400158004</v>
      </c>
      <c r="AE148" s="332">
        <f t="shared" si="87"/>
        <v>-11.3754219162792</v>
      </c>
      <c r="AG148" s="331">
        <f t="shared" si="88"/>
        <v>8.73269615106928</v>
      </c>
      <c r="AH148" s="332">
        <f t="shared" si="89"/>
        <v>-78.4557704633203</v>
      </c>
      <c r="AJ148" s="22">
        <f t="shared" si="90"/>
        <v>0</v>
      </c>
      <c r="AK148" s="22">
        <f t="shared" si="68"/>
        <v>0</v>
      </c>
      <c r="AM148" s="22" t="str">
        <f t="shared" si="94"/>
        <v>0.011387392960439+0.150482933259694i</v>
      </c>
      <c r="AN148" s="22" t="str">
        <f t="shared" si="95"/>
        <v>0.151056750591i</v>
      </c>
      <c r="AO148" s="22" t="str">
        <f t="shared" si="96"/>
        <v>0.996201312890282-0.0753848663888674i</v>
      </c>
      <c r="AP148" s="22" t="str">
        <f t="shared" si="97"/>
        <v>0.164768767839927-0.0250804888766157i</v>
      </c>
      <c r="AQ148" s="22" t="str">
        <f t="shared" si="98"/>
        <v>0.835231232160073+0.0250804888766157i</v>
      </c>
      <c r="AR148" s="22" t="str">
        <f t="shared" si="99"/>
        <v>0.996430131696372-0.0299210013611488i</v>
      </c>
    </row>
    <row r="149" spans="7:44">
      <c r="G149" s="334">
        <v>8462.95</v>
      </c>
      <c r="H149" s="256">
        <f t="shared" si="91"/>
        <v>8.46295</v>
      </c>
      <c r="I149" s="298">
        <f t="shared" si="69"/>
        <v>8.31712031622061</v>
      </c>
      <c r="J149" s="299">
        <f t="shared" si="70"/>
        <v>1.45027081583186</v>
      </c>
      <c r="K149" s="299">
        <f t="shared" si="71"/>
        <v>1.00001045605652</v>
      </c>
      <c r="L149" s="300">
        <f t="shared" si="72"/>
        <v>0.00457295646426222</v>
      </c>
      <c r="M149" s="299">
        <f t="shared" si="73"/>
        <v>1.00044998428125</v>
      </c>
      <c r="N149" s="300">
        <f t="shared" si="74"/>
        <v>-0.029993852963922</v>
      </c>
      <c r="O149" s="298">
        <f t="shared" si="75"/>
        <v>15314.1935466243</v>
      </c>
      <c r="P149" s="301">
        <f t="shared" si="76"/>
        <v>1.57073102789439</v>
      </c>
      <c r="Q149" s="320">
        <f t="shared" si="100"/>
        <v>6.45879733526015</v>
      </c>
      <c r="R149" s="321">
        <f t="shared" si="101"/>
        <v>1.41534339424914</v>
      </c>
      <c r="S149" s="298">
        <f t="shared" si="79"/>
        <v>1.00090439243756</v>
      </c>
      <c r="T149" s="301">
        <f t="shared" si="80"/>
        <v>0.0425137944304621</v>
      </c>
      <c r="U149" s="316">
        <f t="shared" si="92"/>
        <v>0.995889607235577</v>
      </c>
      <c r="V149" s="317">
        <f t="shared" si="93"/>
        <v>-0.106153064748662</v>
      </c>
      <c r="W149" s="318">
        <f t="shared" si="81"/>
        <v>10.9262184668307</v>
      </c>
      <c r="X149" s="319">
        <f t="shared" si="82"/>
        <v>-101.971946276377</v>
      </c>
      <c r="Y149" s="332">
        <f t="shared" si="83"/>
        <v>78.028053723623</v>
      </c>
      <c r="AA149" s="22">
        <f t="shared" si="84"/>
        <v>1000000000</v>
      </c>
      <c r="AB149" s="22">
        <f t="shared" si="85"/>
        <v>71621522.7025</v>
      </c>
      <c r="AD149" s="331">
        <f t="shared" si="86"/>
        <v>27.7017482826776</v>
      </c>
      <c r="AE149" s="332">
        <f t="shared" si="87"/>
        <v>-11.3389166013068</v>
      </c>
      <c r="AG149" s="331">
        <f t="shared" si="88"/>
        <v>8.68396513023321</v>
      </c>
      <c r="AH149" s="332">
        <f t="shared" si="89"/>
        <v>-78.468784476216</v>
      </c>
      <c r="AJ149" s="22">
        <f t="shared" si="90"/>
        <v>0</v>
      </c>
      <c r="AK149" s="22">
        <f t="shared" si="68"/>
        <v>0</v>
      </c>
      <c r="AM149" s="22" t="str">
        <f t="shared" si="94"/>
        <v>0.01151865278536+0.151342744156207i</v>
      </c>
      <c r="AN149" s="22" t="str">
        <f t="shared" si="95"/>
        <v>0.1519265229561i</v>
      </c>
      <c r="AO149" s="22" t="str">
        <f t="shared" si="96"/>
        <v>0.996157492526425-0.0758172606154383i</v>
      </c>
      <c r="AP149" s="22" t="str">
        <f t="shared" si="97"/>
        <v>0.16474689120244-0.0252237906927012i</v>
      </c>
      <c r="AQ149" s="22" t="str">
        <f t="shared" si="98"/>
        <v>0.83525310879756+0.0252237906927012i</v>
      </c>
      <c r="AR149" s="22" t="str">
        <f t="shared" si="99"/>
        <v>0.996393794271075-0.0300900747922764i</v>
      </c>
    </row>
    <row r="150" spans="7:44">
      <c r="G150" s="334">
        <v>8511.4</v>
      </c>
      <c r="H150" s="256">
        <f t="shared" si="91"/>
        <v>8.5114</v>
      </c>
      <c r="I150" s="298">
        <f t="shared" si="69"/>
        <v>8.36404904525677</v>
      </c>
      <c r="J150" s="299">
        <f t="shared" si="70"/>
        <v>1.45095032204944</v>
      </c>
      <c r="K150" s="299">
        <f t="shared" si="71"/>
        <v>1.00001057611947</v>
      </c>
      <c r="L150" s="300">
        <f t="shared" si="72"/>
        <v>0.00459913606183792</v>
      </c>
      <c r="M150" s="299">
        <f t="shared" si="73"/>
        <v>1.00045515013286</v>
      </c>
      <c r="N150" s="300">
        <f t="shared" si="74"/>
        <v>-0.0301654625417755</v>
      </c>
      <c r="O150" s="298">
        <f t="shared" si="75"/>
        <v>15401.8666008406</v>
      </c>
      <c r="P150" s="301">
        <f t="shared" si="76"/>
        <v>1.5707313995996</v>
      </c>
      <c r="Q150" s="320">
        <f t="shared" si="100"/>
        <v>6.49488973516027</v>
      </c>
      <c r="R150" s="321">
        <f t="shared" si="101"/>
        <v>1.4162142204962</v>
      </c>
      <c r="S150" s="298">
        <f t="shared" si="79"/>
        <v>1.00091477254386</v>
      </c>
      <c r="T150" s="301">
        <f t="shared" si="80"/>
        <v>0.0427568882661808</v>
      </c>
      <c r="U150" s="316">
        <f t="shared" si="92"/>
        <v>0.995847228834117</v>
      </c>
      <c r="V150" s="317">
        <f t="shared" si="93"/>
        <v>-0.106758538603341</v>
      </c>
      <c r="W150" s="318">
        <f t="shared" si="81"/>
        <v>10.8757509052014</v>
      </c>
      <c r="X150" s="319">
        <f t="shared" si="82"/>
        <v>-102.017957614719</v>
      </c>
      <c r="Y150" s="332">
        <f t="shared" si="83"/>
        <v>77.9820423852806</v>
      </c>
      <c r="AA150" s="22">
        <f t="shared" si="84"/>
        <v>1000000000</v>
      </c>
      <c r="AB150" s="22">
        <f t="shared" si="85"/>
        <v>72443929.96</v>
      </c>
      <c r="AD150" s="331">
        <f t="shared" si="86"/>
        <v>27.7004761838104</v>
      </c>
      <c r="AE150" s="332">
        <f t="shared" si="87"/>
        <v>-11.3029714805719</v>
      </c>
      <c r="AG150" s="331">
        <f t="shared" si="88"/>
        <v>8.63550890994836</v>
      </c>
      <c r="AH150" s="332">
        <f t="shared" si="89"/>
        <v>-78.4813587422566</v>
      </c>
      <c r="AJ150" s="22">
        <f t="shared" si="90"/>
        <v>0</v>
      </c>
      <c r="AK150" s="22">
        <f t="shared" si="68"/>
        <v>0</v>
      </c>
      <c r="AM150" s="22" t="str">
        <f t="shared" si="94"/>
        <v>0.0116506604002961+0.15220244056134i</v>
      </c>
      <c r="AN150" s="22" t="str">
        <f t="shared" si="95"/>
        <v>0.1527962953212i</v>
      </c>
      <c r="AO150" s="22" t="str">
        <f t="shared" si="96"/>
        <v>0.996113421738324-0.0762496261823935i</v>
      </c>
      <c r="AP150" s="22" t="str">
        <f t="shared" si="97"/>
        <v>0.164724889933284-0.02536707342689i</v>
      </c>
      <c r="AQ150" s="22" t="str">
        <f t="shared" si="98"/>
        <v>0.835275110066716+0.02536707342689i</v>
      </c>
      <c r="AR150" s="22" t="str">
        <f t="shared" si="99"/>
        <v>0.996357254423073-0.0302590934744193i</v>
      </c>
    </row>
    <row r="151" spans="7:44">
      <c r="G151" s="334">
        <v>8560.95</v>
      </c>
      <c r="H151" s="256">
        <f t="shared" si="91"/>
        <v>8.56095</v>
      </c>
      <c r="I151" s="298">
        <f t="shared" si="69"/>
        <v>8.41204718499567</v>
      </c>
      <c r="J151" s="299">
        <f t="shared" si="70"/>
        <v>1.45163741358298</v>
      </c>
      <c r="K151" s="299">
        <f t="shared" si="71"/>
        <v>1.0000106996172</v>
      </c>
      <c r="L151" s="300">
        <f t="shared" si="72"/>
        <v>0.00462591002972109</v>
      </c>
      <c r="M151" s="299">
        <f t="shared" si="73"/>
        <v>1.00046046374294</v>
      </c>
      <c r="N151" s="300">
        <f t="shared" si="74"/>
        <v>-0.0303409664739951</v>
      </c>
      <c r="O151" s="298">
        <f t="shared" si="75"/>
        <v>15491.5301681578</v>
      </c>
      <c r="P151" s="301">
        <f t="shared" si="76"/>
        <v>1.5707317753923</v>
      </c>
      <c r="Q151" s="320">
        <f t="shared" si="100"/>
        <v>6.53180660774089</v>
      </c>
      <c r="R151" s="321">
        <f t="shared" si="101"/>
        <v>1.41709486317454</v>
      </c>
      <c r="S151" s="298">
        <f t="shared" si="79"/>
        <v>1.00092544949519</v>
      </c>
      <c r="T151" s="301">
        <f t="shared" si="80"/>
        <v>0.0430054960300869</v>
      </c>
      <c r="U151" s="316">
        <f t="shared" si="92"/>
        <v>0.995803643399328</v>
      </c>
      <c r="V151" s="317">
        <f t="shared" si="93"/>
        <v>-0.107377719453482</v>
      </c>
      <c r="W151" s="318">
        <f t="shared" si="81"/>
        <v>10.8244342219503</v>
      </c>
      <c r="X151" s="319">
        <f t="shared" si="82"/>
        <v>-102.06513170673</v>
      </c>
      <c r="Y151" s="332">
        <f t="shared" si="83"/>
        <v>77.93486829327</v>
      </c>
      <c r="AA151" s="22">
        <f t="shared" si="84"/>
        <v>1000000000</v>
      </c>
      <c r="AB151" s="22">
        <f t="shared" si="85"/>
        <v>73289864.9025</v>
      </c>
      <c r="AD151" s="331">
        <f t="shared" si="86"/>
        <v>27.6991950467992</v>
      </c>
      <c r="AE151" s="332">
        <f t="shared" si="87"/>
        <v>-11.2667800787646</v>
      </c>
      <c r="AG151" s="331">
        <f t="shared" si="88"/>
        <v>8.58623369431007</v>
      </c>
      <c r="AH151" s="332">
        <f t="shared" si="89"/>
        <v>-78.493771337057</v>
      </c>
      <c r="AJ151" s="22">
        <f t="shared" si="90"/>
        <v>0</v>
      </c>
      <c r="AK151" s="22">
        <f t="shared" si="68"/>
        <v>0</v>
      </c>
      <c r="AM151" s="22" t="str">
        <f t="shared" si="94"/>
        <v>0.0117864384373429+0.153081536259764i</v>
      </c>
      <c r="AN151" s="22" t="str">
        <f t="shared" si="95"/>
        <v>0.1536858148401i</v>
      </c>
      <c r="AO151" s="22" t="str">
        <f t="shared" si="96"/>
        <v>0.996068091378735-0.076691778285497i</v>
      </c>
      <c r="AP151" s="22" t="str">
        <f t="shared" si="97"/>
        <v>0.164702260260443-0.0255135893766273i</v>
      </c>
      <c r="AQ151" s="22" t="str">
        <f t="shared" si="98"/>
        <v>0.835297739739557+0.0255135893766273i</v>
      </c>
      <c r="AR151" s="22" t="str">
        <f t="shared" si="99"/>
        <v>0.996319675721925-0.0304318925873658i</v>
      </c>
    </row>
    <row r="152" spans="7:44">
      <c r="G152" s="334">
        <v>8610.5</v>
      </c>
      <c r="H152" s="256">
        <f t="shared" si="91"/>
        <v>8.6105</v>
      </c>
      <c r="I152" s="298">
        <f t="shared" si="69"/>
        <v>8.46004925095481</v>
      </c>
      <c r="J152" s="299">
        <f t="shared" si="70"/>
        <v>1.45231670836064</v>
      </c>
      <c r="K152" s="299">
        <f t="shared" si="71"/>
        <v>1.00001082383179</v>
      </c>
      <c r="L152" s="300">
        <f t="shared" si="72"/>
        <v>0.00465268399097209</v>
      </c>
      <c r="M152" s="299">
        <f t="shared" si="73"/>
        <v>1.0004658081685</v>
      </c>
      <c r="N152" s="300">
        <f t="shared" si="74"/>
        <v>-0.0305164685365584</v>
      </c>
      <c r="O152" s="298">
        <f t="shared" si="75"/>
        <v>15581.1937354772</v>
      </c>
      <c r="P152" s="301">
        <f t="shared" si="76"/>
        <v>1.57073214685993</v>
      </c>
      <c r="Q152" s="320">
        <f t="shared" si="100"/>
        <v>6.56872848900264</v>
      </c>
      <c r="R152" s="321">
        <f t="shared" si="101"/>
        <v>1.41796560658933</v>
      </c>
      <c r="S152" s="298">
        <f t="shared" si="79"/>
        <v>1.00093618830822</v>
      </c>
      <c r="T152" s="301">
        <f t="shared" si="80"/>
        <v>0.0432540984748473</v>
      </c>
      <c r="U152" s="316">
        <f t="shared" si="92"/>
        <v>0.995759810426548</v>
      </c>
      <c r="V152" s="317">
        <f t="shared" si="93"/>
        <v>-0.107996860062263</v>
      </c>
      <c r="W152" s="318">
        <f t="shared" si="81"/>
        <v>10.7734140029328</v>
      </c>
      <c r="X152" s="319">
        <f t="shared" si="82"/>
        <v>-102.11242329858</v>
      </c>
      <c r="Y152" s="332">
        <f t="shared" si="83"/>
        <v>77.8875767014197</v>
      </c>
      <c r="AA152" s="22">
        <f t="shared" si="84"/>
        <v>1000000000</v>
      </c>
      <c r="AB152" s="22">
        <f t="shared" si="85"/>
        <v>74140710.25</v>
      </c>
      <c r="AD152" s="331">
        <f t="shared" si="86"/>
        <v>27.6979335156349</v>
      </c>
      <c r="AE152" s="332">
        <f t="shared" si="87"/>
        <v>-11.2311553104063</v>
      </c>
      <c r="AG152" s="331">
        <f t="shared" si="88"/>
        <v>8.53723968882425</v>
      </c>
      <c r="AH152" s="332">
        <f t="shared" si="89"/>
        <v>-78.5057394095678</v>
      </c>
      <c r="AJ152" s="22">
        <f t="shared" si="90"/>
        <v>0</v>
      </c>
      <c r="AK152" s="22">
        <f t="shared" si="68"/>
        <v>0</v>
      </c>
      <c r="AM152" s="22" t="str">
        <f t="shared" si="94"/>
        <v>0.011922998393354+0.1539605108332i</v>
      </c>
      <c r="AN152" s="22" t="str">
        <f t="shared" si="95"/>
        <v>0.154575334359i</v>
      </c>
      <c r="AO152" s="22" t="str">
        <f t="shared" si="96"/>
        <v>0.996022499137074-0.077133900067542i</v>
      </c>
      <c r="AP152" s="22" t="str">
        <f t="shared" si="97"/>
        <v>0.164679500267774-0.0256600851388667i</v>
      </c>
      <c r="AQ152" s="22" t="str">
        <f t="shared" si="98"/>
        <v>0.835320499732226+0.0256600851388667i</v>
      </c>
      <c r="AR152" s="22" t="str">
        <f t="shared" si="99"/>
        <v>0.996281885524987-0.0306046338059187i</v>
      </c>
    </row>
    <row r="153" spans="7:44">
      <c r="G153" s="334">
        <v>8660.05</v>
      </c>
      <c r="H153" s="256">
        <f t="shared" si="91"/>
        <v>8.66005</v>
      </c>
      <c r="I153" s="298">
        <f t="shared" si="69"/>
        <v>8.50805517667951</v>
      </c>
      <c r="J153" s="299">
        <f t="shared" si="70"/>
        <v>1.45298833772759</v>
      </c>
      <c r="K153" s="299">
        <f t="shared" si="71"/>
        <v>1.00001094876323</v>
      </c>
      <c r="L153" s="300">
        <f t="shared" si="72"/>
        <v>0.00467945794555254</v>
      </c>
      <c r="M153" s="299">
        <f t="shared" si="73"/>
        <v>1.00047118340906</v>
      </c>
      <c r="N153" s="300">
        <f t="shared" si="74"/>
        <v>-0.0306919687186842</v>
      </c>
      <c r="O153" s="298">
        <f t="shared" si="75"/>
        <v>15670.8573027987</v>
      </c>
      <c r="P153" s="301">
        <f t="shared" si="76"/>
        <v>1.57073251407672</v>
      </c>
      <c r="Q153" s="320">
        <f t="shared" si="100"/>
        <v>6.60565529495842</v>
      </c>
      <c r="R153" s="321">
        <f t="shared" si="101"/>
        <v>1.418826615425</v>
      </c>
      <c r="S153" s="298">
        <f t="shared" si="79"/>
        <v>1.00094698898095</v>
      </c>
      <c r="T153" s="301">
        <f t="shared" si="80"/>
        <v>0.0435026955699049</v>
      </c>
      <c r="U153" s="316">
        <f t="shared" si="92"/>
        <v>0.995715730009458</v>
      </c>
      <c r="V153" s="317">
        <f t="shared" si="93"/>
        <v>-0.108615960203885</v>
      </c>
      <c r="W153" s="318">
        <f t="shared" si="81"/>
        <v>10.7226867341307</v>
      </c>
      <c r="X153" s="319">
        <f t="shared" si="82"/>
        <v>-102.159830469021</v>
      </c>
      <c r="Y153" s="332">
        <f t="shared" si="83"/>
        <v>77.8401695309792</v>
      </c>
      <c r="AA153" s="22">
        <f t="shared" si="84"/>
        <v>1000000000</v>
      </c>
      <c r="AB153" s="22">
        <f t="shared" si="85"/>
        <v>74996466.0025</v>
      </c>
      <c r="AD153" s="331">
        <f t="shared" si="86"/>
        <v>27.6966911394967</v>
      </c>
      <c r="AE153" s="332">
        <f t="shared" si="87"/>
        <v>-11.1960877422769</v>
      </c>
      <c r="AG153" s="331">
        <f t="shared" si="88"/>
        <v>8.48852382923208</v>
      </c>
      <c r="AH153" s="332">
        <f t="shared" si="89"/>
        <v>-78.5172704976346</v>
      </c>
      <c r="AJ153" s="22">
        <f t="shared" si="90"/>
        <v>0</v>
      </c>
      <c r="AK153" s="22">
        <f t="shared" si="68"/>
        <v>0</v>
      </c>
      <c r="AM153" s="22" t="str">
        <f t="shared" si="94"/>
        <v>0.012060340160275+0.154839363586163i</v>
      </c>
      <c r="AN153" s="22" t="str">
        <f t="shared" si="95"/>
        <v>0.1554648538779i</v>
      </c>
      <c r="AO153" s="22" t="str">
        <f t="shared" si="96"/>
        <v>0.995976645034972-0.0775759913539496i</v>
      </c>
      <c r="AP153" s="22" t="str">
        <f t="shared" si="97"/>
        <v>0.164656609973287-0.0258065605976938i</v>
      </c>
      <c r="AQ153" s="22" t="str">
        <f t="shared" si="98"/>
        <v>0.835343390026713+0.0258065605976938i</v>
      </c>
      <c r="AR153" s="22" t="str">
        <f t="shared" si="99"/>
        <v>0.996243883945811-0.0307773168113622i</v>
      </c>
    </row>
    <row r="154" spans="7:44">
      <c r="G154" s="334">
        <v>8709.6</v>
      </c>
      <c r="H154" s="256">
        <f t="shared" si="91"/>
        <v>8.7096</v>
      </c>
      <c r="I154" s="298">
        <f t="shared" si="69"/>
        <v>8.55606489720126</v>
      </c>
      <c r="J154" s="299">
        <f t="shared" si="70"/>
        <v>1.45365243010903</v>
      </c>
      <c r="K154" s="299">
        <f t="shared" si="71"/>
        <v>1.00001107441152</v>
      </c>
      <c r="L154" s="300">
        <f t="shared" si="72"/>
        <v>0.00470623189342405</v>
      </c>
      <c r="M154" s="299">
        <f t="shared" si="73"/>
        <v>1.00047658946411</v>
      </c>
      <c r="N154" s="300">
        <f t="shared" si="74"/>
        <v>-0.030867467009592</v>
      </c>
      <c r="O154" s="298">
        <f t="shared" si="75"/>
        <v>15760.5208701223</v>
      </c>
      <c r="P154" s="301">
        <f t="shared" si="76"/>
        <v>1.57073287711522</v>
      </c>
      <c r="Q154" s="320">
        <f t="shared" si="100"/>
        <v>6.64258694347765</v>
      </c>
      <c r="R154" s="321">
        <f t="shared" si="101"/>
        <v>1.41967805076199</v>
      </c>
      <c r="S154" s="298">
        <f t="shared" si="79"/>
        <v>1.00095785151139</v>
      </c>
      <c r="T154" s="301">
        <f t="shared" si="80"/>
        <v>0.0437512872847065</v>
      </c>
      <c r="U154" s="316">
        <f t="shared" si="92"/>
        <v>0.995671402242243</v>
      </c>
      <c r="V154" s="317">
        <f t="shared" si="93"/>
        <v>-0.109235019652686</v>
      </c>
      <c r="W154" s="318">
        <f t="shared" si="81"/>
        <v>10.6722489634719</v>
      </c>
      <c r="X154" s="319">
        <f t="shared" si="82"/>
        <v>-102.207351335905</v>
      </c>
      <c r="Y154" s="332">
        <f t="shared" si="83"/>
        <v>77.7926486640947</v>
      </c>
      <c r="AA154" s="22">
        <f t="shared" si="84"/>
        <v>1000000000</v>
      </c>
      <c r="AB154" s="22">
        <f t="shared" si="85"/>
        <v>75857132.16</v>
      </c>
      <c r="AD154" s="331">
        <f t="shared" si="86"/>
        <v>27.6954674800617</v>
      </c>
      <c r="AE154" s="332">
        <f t="shared" si="87"/>
        <v>-11.1615681475537</v>
      </c>
      <c r="AG154" s="331">
        <f t="shared" si="88"/>
        <v>8.44008310071792</v>
      </c>
      <c r="AH154" s="332">
        <f t="shared" si="89"/>
        <v>-78.5283719717934</v>
      </c>
      <c r="AJ154" s="22">
        <f t="shared" si="90"/>
        <v>0</v>
      </c>
      <c r="AK154" s="22">
        <f t="shared" ref="AK154:AK217" si="102">IF(AJ154&gt;0,Y154,0)</f>
        <v>0</v>
      </c>
      <c r="AM154" s="22" t="str">
        <f t="shared" si="94"/>
        <v>0.012198463629435+0.155718093823265i</v>
      </c>
      <c r="AN154" s="22" t="str">
        <f t="shared" si="95"/>
        <v>0.1563543733968i</v>
      </c>
      <c r="AO154" s="22" t="str">
        <f t="shared" si="96"/>
        <v>0.995930529094186-0.0780180519701706i</v>
      </c>
      <c r="AP154" s="22" t="str">
        <f t="shared" si="97"/>
        <v>0.164633589395094-0.0259530156372108i</v>
      </c>
      <c r="AQ154" s="22" t="str">
        <f t="shared" si="98"/>
        <v>0.835366410604906+0.0259530156372108i</v>
      </c>
      <c r="AR154" s="22" t="str">
        <f t="shared" si="99"/>
        <v>0.996205671098557-0.0309499412852584i</v>
      </c>
    </row>
    <row r="155" spans="7:44">
      <c r="G155" s="334">
        <v>8760.325</v>
      </c>
      <c r="H155" s="256">
        <f t="shared" si="91"/>
        <v>8.760325</v>
      </c>
      <c r="I155" s="298">
        <f t="shared" si="69"/>
        <v>8.60521695696073</v>
      </c>
      <c r="J155" s="299">
        <f t="shared" si="70"/>
        <v>1.45432459429534</v>
      </c>
      <c r="K155" s="299">
        <f t="shared" si="71"/>
        <v>1.00001120378191</v>
      </c>
      <c r="L155" s="300">
        <f t="shared" si="72"/>
        <v>0.00473364073619803</v>
      </c>
      <c r="M155" s="299">
        <f t="shared" si="73"/>
        <v>1.00048215563393</v>
      </c>
      <c r="N155" s="300">
        <f t="shared" si="74"/>
        <v>-0.0310471249950443</v>
      </c>
      <c r="O155" s="298">
        <f t="shared" si="75"/>
        <v>15852.3106673492</v>
      </c>
      <c r="P155" s="301">
        <f t="shared" si="76"/>
        <v>1.57073324450856</v>
      </c>
      <c r="Q155" s="320">
        <f t="shared" si="100"/>
        <v>6.68039930004284</v>
      </c>
      <c r="R155" s="321">
        <f t="shared" si="101"/>
        <v>1.42053992431427</v>
      </c>
      <c r="S155" s="298">
        <f t="shared" si="79"/>
        <v>1.00096903570286</v>
      </c>
      <c r="T155" s="301">
        <f t="shared" si="80"/>
        <v>0.0440057683544057</v>
      </c>
      <c r="U155" s="316">
        <f t="shared" si="92"/>
        <v>0.995625767192967</v>
      </c>
      <c r="V155" s="317">
        <f t="shared" si="93"/>
        <v>-0.109868716731506</v>
      </c>
      <c r="W155" s="318">
        <f t="shared" si="81"/>
        <v>10.6209114771889</v>
      </c>
      <c r="X155" s="319">
        <f t="shared" si="82"/>
        <v>-102.25611493272</v>
      </c>
      <c r="Y155" s="332">
        <f t="shared" si="83"/>
        <v>77.7438850672795</v>
      </c>
      <c r="AA155" s="22">
        <f t="shared" si="84"/>
        <v>1000000000</v>
      </c>
      <c r="AB155" s="22">
        <f t="shared" si="85"/>
        <v>76743294.105625</v>
      </c>
      <c r="AD155" s="331">
        <f t="shared" si="86"/>
        <v>27.6942337462612</v>
      </c>
      <c r="AE155" s="332">
        <f t="shared" si="87"/>
        <v>-11.1267881718415</v>
      </c>
      <c r="AG155" s="331">
        <f t="shared" si="88"/>
        <v>8.39077557495188</v>
      </c>
      <c r="AH155" s="332">
        <f t="shared" si="89"/>
        <v>-78.5392992080251</v>
      </c>
      <c r="AJ155" s="22">
        <f t="shared" si="90"/>
        <v>0</v>
      </c>
      <c r="AK155" s="22">
        <f t="shared" si="102"/>
        <v>0</v>
      </c>
      <c r="AM155" s="22" t="str">
        <f t="shared" si="94"/>
        <v>0.01234067209171+0.156617534126116i</v>
      </c>
      <c r="AN155" s="22" t="str">
        <f t="shared" si="95"/>
        <v>0.15726498646635i</v>
      </c>
      <c r="AO155" s="22" t="str">
        <f t="shared" si="96"/>
        <v>0.995883048383611-0.0784705634038288i</v>
      </c>
      <c r="AP155" s="22" t="str">
        <f t="shared" si="97"/>
        <v>0.164609887984715-0.0261029223543527i</v>
      </c>
      <c r="AQ155" s="22" t="str">
        <f t="shared" si="98"/>
        <v>0.835390112015285+0.0261029223543527i</v>
      </c>
      <c r="AR155" s="22" t="str">
        <f t="shared" si="99"/>
        <v>0.996166333371484-0.0311265983137951i</v>
      </c>
    </row>
    <row r="156" spans="7:44">
      <c r="G156" s="334">
        <v>8811.05</v>
      </c>
      <c r="H156" s="256">
        <f t="shared" si="91"/>
        <v>8.81105</v>
      </c>
      <c r="I156" s="298">
        <f t="shared" si="69"/>
        <v>8.6543728604346</v>
      </c>
      <c r="J156" s="299">
        <f t="shared" si="70"/>
        <v>1.45498912313904</v>
      </c>
      <c r="K156" s="299">
        <f t="shared" si="71"/>
        <v>1.00001133390356</v>
      </c>
      <c r="L156" s="300">
        <f t="shared" si="72"/>
        <v>0.00476104957185972</v>
      </c>
      <c r="M156" s="299">
        <f t="shared" si="73"/>
        <v>1.00048775409595</v>
      </c>
      <c r="N156" s="300">
        <f t="shared" si="74"/>
        <v>-0.0312267809756592</v>
      </c>
      <c r="O156" s="298">
        <f t="shared" si="75"/>
        <v>15944.1004645783</v>
      </c>
      <c r="P156" s="301">
        <f t="shared" si="76"/>
        <v>1.57073360767174</v>
      </c>
      <c r="Q156" s="320">
        <f t="shared" si="100"/>
        <v>6.71821656312053</v>
      </c>
      <c r="R156" s="321">
        <f t="shared" si="101"/>
        <v>1.4213920954129</v>
      </c>
      <c r="S156" s="298">
        <f t="shared" si="79"/>
        <v>1.00098028471625</v>
      </c>
      <c r="T156" s="301">
        <f t="shared" si="80"/>
        <v>0.0442602437208695</v>
      </c>
      <c r="U156" s="316">
        <f t="shared" si="92"/>
        <v>0.995579873124834</v>
      </c>
      <c r="V156" s="317">
        <f t="shared" si="93"/>
        <v>-0.11050237068649</v>
      </c>
      <c r="W156" s="318">
        <f t="shared" si="81"/>
        <v>10.5698702532371</v>
      </c>
      <c r="X156" s="319">
        <f t="shared" si="82"/>
        <v>-102.304993811858</v>
      </c>
      <c r="Y156" s="332">
        <f t="shared" si="83"/>
        <v>77.6950061881425</v>
      </c>
      <c r="AA156" s="22">
        <f t="shared" si="84"/>
        <v>1000000000</v>
      </c>
      <c r="AB156" s="22">
        <f t="shared" si="85"/>
        <v>77634602.1025</v>
      </c>
      <c r="AD156" s="331">
        <f t="shared" si="86"/>
        <v>27.6930187361203</v>
      </c>
      <c r="AE156" s="332">
        <f t="shared" si="87"/>
        <v>-11.0925635366339</v>
      </c>
      <c r="AG156" s="331">
        <f t="shared" si="88"/>
        <v>8.34175014394888</v>
      </c>
      <c r="AH156" s="332">
        <f t="shared" si="89"/>
        <v>-78.5497913277022</v>
      </c>
      <c r="AJ156" s="22">
        <f t="shared" si="90"/>
        <v>0</v>
      </c>
      <c r="AK156" s="22">
        <f t="shared" si="102"/>
        <v>0</v>
      </c>
      <c r="AM156" s="22" t="str">
        <f t="shared" si="94"/>
        <v>0.012483699537006+0.157516844559186i</v>
      </c>
      <c r="AN156" s="22" t="str">
        <f t="shared" si="95"/>
        <v>0.1581755995359i</v>
      </c>
      <c r="AO156" s="22" t="str">
        <f t="shared" si="96"/>
        <v>0.995835293315487-0.0789230423253282i</v>
      </c>
      <c r="AP156" s="22" t="str">
        <f t="shared" si="97"/>
        <v>0.164586050077166-0.026252807426531i</v>
      </c>
      <c r="AQ156" s="22" t="str">
        <f t="shared" si="98"/>
        <v>0.835413949922834+0.026252807426531i</v>
      </c>
      <c r="AR156" s="22" t="str">
        <f t="shared" si="99"/>
        <v>0.996126774481808-0.0313031933274491i</v>
      </c>
    </row>
    <row r="157" spans="7:44">
      <c r="G157" s="334">
        <v>8861.775</v>
      </c>
      <c r="H157" s="256">
        <f t="shared" si="91"/>
        <v>8.861775</v>
      </c>
      <c r="I157" s="298">
        <f t="shared" si="69"/>
        <v>8.70353254249715</v>
      </c>
      <c r="J157" s="299">
        <f t="shared" si="70"/>
        <v>1.45564614542703</v>
      </c>
      <c r="K157" s="299">
        <f t="shared" si="71"/>
        <v>1.00001146477646</v>
      </c>
      <c r="L157" s="300">
        <f t="shared" si="72"/>
        <v>0.00478845840036793</v>
      </c>
      <c r="M157" s="299">
        <f t="shared" si="73"/>
        <v>1.00049338484962</v>
      </c>
      <c r="N157" s="300">
        <f t="shared" si="74"/>
        <v>-0.0314064349398732</v>
      </c>
      <c r="O157" s="298">
        <f t="shared" si="75"/>
        <v>16035.8902618094</v>
      </c>
      <c r="P157" s="301">
        <f t="shared" si="76"/>
        <v>1.57073396667741</v>
      </c>
      <c r="Q157" s="320">
        <f t="shared" si="100"/>
        <v>6.75603865031738</v>
      </c>
      <c r="R157" s="321">
        <f t="shared" si="101"/>
        <v>1.42223472576038</v>
      </c>
      <c r="S157" s="298">
        <f t="shared" si="79"/>
        <v>1.00099159854937</v>
      </c>
      <c r="T157" s="301">
        <f t="shared" si="80"/>
        <v>0.0445147133513325</v>
      </c>
      <c r="U157" s="316">
        <f t="shared" si="92"/>
        <v>0.995533720140534</v>
      </c>
      <c r="V157" s="317">
        <f t="shared" si="93"/>
        <v>-0.111135981275942</v>
      </c>
      <c r="W157" s="318">
        <f t="shared" si="81"/>
        <v>10.5191217804716</v>
      </c>
      <c r="X157" s="319">
        <f t="shared" si="82"/>
        <v>-102.353986075168</v>
      </c>
      <c r="Y157" s="332">
        <f t="shared" si="83"/>
        <v>77.6460139248317</v>
      </c>
      <c r="AA157" s="22">
        <f t="shared" si="84"/>
        <v>1000000000</v>
      </c>
      <c r="AB157" s="22">
        <f t="shared" si="85"/>
        <v>78531056.150625</v>
      </c>
      <c r="AD157" s="331">
        <f t="shared" si="86"/>
        <v>27.69182201745</v>
      </c>
      <c r="AE157" s="332">
        <f t="shared" si="87"/>
        <v>-11.0588849793453</v>
      </c>
      <c r="AG157" s="331">
        <f t="shared" si="88"/>
        <v>8.29300372758933</v>
      </c>
      <c r="AH157" s="332">
        <f t="shared" si="89"/>
        <v>-78.5598557229585</v>
      </c>
      <c r="AJ157" s="22">
        <f t="shared" si="90"/>
        <v>0</v>
      </c>
      <c r="AK157" s="22">
        <f t="shared" si="102"/>
        <v>0</v>
      </c>
      <c r="AM157" s="22" t="str">
        <f t="shared" si="94"/>
        <v>0.012627545846723+0.158416024376751i</v>
      </c>
      <c r="AN157" s="22" t="str">
        <f t="shared" si="95"/>
        <v>0.15908621260545i</v>
      </c>
      <c r="AO157" s="22" t="str">
        <f t="shared" si="96"/>
        <v>0.995787263913554-0.079375488547462i</v>
      </c>
      <c r="AP157" s="22" t="str">
        <f t="shared" si="97"/>
        <v>0.164562075692213-0.0264026707294585i</v>
      </c>
      <c r="AQ157" s="22" t="str">
        <f t="shared" si="98"/>
        <v>0.835437924307787+0.0264026707294585i</v>
      </c>
      <c r="AR157" s="22" t="str">
        <f t="shared" si="99"/>
        <v>0.996086994553971-0.0314797259855005i</v>
      </c>
    </row>
    <row r="158" spans="7:44">
      <c r="G158" s="257">
        <v>8912.5</v>
      </c>
      <c r="H158" s="256">
        <f t="shared" si="91"/>
        <v>8.9125</v>
      </c>
      <c r="I158" s="298">
        <f t="shared" si="69"/>
        <v>8.75269593948084</v>
      </c>
      <c r="J158" s="299">
        <f t="shared" si="70"/>
        <v>1.45629578707894</v>
      </c>
      <c r="K158" s="299">
        <f t="shared" si="71"/>
        <v>1.00001159640061</v>
      </c>
      <c r="L158" s="300">
        <f t="shared" si="72"/>
        <v>0.0048158672216815</v>
      </c>
      <c r="M158" s="299">
        <f t="shared" si="73"/>
        <v>1.0004990478944</v>
      </c>
      <c r="N158" s="300">
        <f t="shared" si="74"/>
        <v>-0.0315860868761235</v>
      </c>
      <c r="O158" s="298">
        <f t="shared" si="75"/>
        <v>16127.6800590426</v>
      </c>
      <c r="P158" s="301">
        <f t="shared" si="76"/>
        <v>1.57073432159657</v>
      </c>
      <c r="Q158" s="320">
        <f t="shared" ref="Q158:Q214" si="103">SQRT(1+(G158/Zero2)^2)</f>
        <v>6.79386548106442</v>
      </c>
      <c r="R158" s="321">
        <f t="shared" ref="R158:R214" si="104">ATAN(G158/Zero2)</f>
        <v>1.42306797351277</v>
      </c>
      <c r="S158" s="298">
        <f t="shared" si="79"/>
        <v>1.00100297720003</v>
      </c>
      <c r="T158" s="301">
        <f t="shared" si="80"/>
        <v>0.0447691772130332</v>
      </c>
      <c r="U158" s="316">
        <f t="shared" si="92"/>
        <v>0.995487308343323</v>
      </c>
      <c r="V158" s="317">
        <f t="shared" si="93"/>
        <v>-0.111769548258295</v>
      </c>
      <c r="W158" s="318">
        <f t="shared" si="81"/>
        <v>10.468662609608</v>
      </c>
      <c r="X158" s="319">
        <f t="shared" si="82"/>
        <v>-102.403089863332</v>
      </c>
      <c r="Y158" s="332">
        <f t="shared" si="83"/>
        <v>77.5969101366685</v>
      </c>
      <c r="AA158" s="22">
        <f t="shared" si="84"/>
        <v>1000000000</v>
      </c>
      <c r="AB158" s="22">
        <f t="shared" si="85"/>
        <v>79432656.25</v>
      </c>
      <c r="AD158" s="331">
        <f t="shared" si="86"/>
        <v>27.6906431700596</v>
      </c>
      <c r="AE158" s="332">
        <f t="shared" si="87"/>
        <v>-11.0257434404902</v>
      </c>
      <c r="AG158" s="331">
        <f t="shared" si="88"/>
        <v>8.24453329560952</v>
      </c>
      <c r="AH158" s="332">
        <f t="shared" si="89"/>
        <v>-78.569499621638</v>
      </c>
      <c r="AJ158" s="22">
        <f t="shared" si="90"/>
        <v>0</v>
      </c>
      <c r="AK158" s="22">
        <f t="shared" si="102"/>
        <v>0</v>
      </c>
      <c r="AM158" s="22" t="str">
        <f t="shared" si="94"/>
        <v>0.012772210901581+0.159315072833197i</v>
      </c>
      <c r="AN158" s="22" t="str">
        <f t="shared" si="95"/>
        <v>0.159996825675i</v>
      </c>
      <c r="AO158" s="22" t="str">
        <f t="shared" si="96"/>
        <v>0.995738960201699-0.0798279018830353i</v>
      </c>
      <c r="AP158" s="22" t="str">
        <f t="shared" si="97"/>
        <v>0.164537964849737-0.0265525121388662i</v>
      </c>
      <c r="AQ158" s="22" t="str">
        <f t="shared" si="98"/>
        <v>0.835462035150263+0.0265525121388662i</v>
      </c>
      <c r="AR158" s="22" t="str">
        <f t="shared" si="99"/>
        <v>0.996046993713082-0.0316561959475406i</v>
      </c>
    </row>
    <row r="159" spans="7:44">
      <c r="G159" s="257">
        <v>8964.4</v>
      </c>
      <c r="H159" s="256">
        <f t="shared" si="91"/>
        <v>8.9644</v>
      </c>
      <c r="I159" s="298">
        <f t="shared" si="69"/>
        <v>8.80300194338302</v>
      </c>
      <c r="J159" s="299">
        <f t="shared" si="70"/>
        <v>1.45695296645332</v>
      </c>
      <c r="K159" s="299">
        <f t="shared" si="71"/>
        <v>1.00001173185128</v>
      </c>
      <c r="L159" s="300">
        <f t="shared" si="72"/>
        <v>0.00484391093673853</v>
      </c>
      <c r="M159" s="299">
        <f t="shared" si="73"/>
        <v>1.00050487553981</v>
      </c>
      <c r="N159" s="300">
        <f t="shared" si="74"/>
        <v>-0.0317698981803986</v>
      </c>
      <c r="O159" s="298">
        <f t="shared" si="75"/>
        <v>16221.5960861793</v>
      </c>
      <c r="P159" s="301">
        <f t="shared" si="76"/>
        <v>1.57073468057986</v>
      </c>
      <c r="Q159" s="320">
        <f t="shared" si="103"/>
        <v>6.83257336453816</v>
      </c>
      <c r="R159" s="321">
        <f t="shared" si="104"/>
        <v>1.42391097293315</v>
      </c>
      <c r="S159" s="298">
        <f t="shared" si="79"/>
        <v>1.0010146865119</v>
      </c>
      <c r="T159" s="301">
        <f t="shared" si="80"/>
        <v>0.0450295295013096</v>
      </c>
      <c r="U159" s="316">
        <f t="shared" si="92"/>
        <v>0.995439553690827</v>
      </c>
      <c r="V159" s="317">
        <f t="shared" si="93"/>
        <v>-0.112417745876622</v>
      </c>
      <c r="W159" s="318">
        <f t="shared" si="81"/>
        <v>10.4173304938395</v>
      </c>
      <c r="X159" s="319">
        <f t="shared" si="82"/>
        <v>-102.453444627804</v>
      </c>
      <c r="Y159" s="332">
        <f t="shared" si="83"/>
        <v>77.5465553721957</v>
      </c>
      <c r="AA159" s="22">
        <f t="shared" si="84"/>
        <v>1000000000</v>
      </c>
      <c r="AB159" s="22">
        <f t="shared" si="85"/>
        <v>80360467.36</v>
      </c>
      <c r="AD159" s="331">
        <f t="shared" si="86"/>
        <v>27.689455086648</v>
      </c>
      <c r="AE159" s="332">
        <f t="shared" si="87"/>
        <v>-10.9923807870641</v>
      </c>
      <c r="AG159" s="331">
        <f t="shared" si="88"/>
        <v>8.19522262714814</v>
      </c>
      <c r="AH159" s="332">
        <f t="shared" si="89"/>
        <v>-78.5789390638103</v>
      </c>
      <c r="AJ159" s="22">
        <f t="shared" si="90"/>
        <v>0</v>
      </c>
      <c r="AK159" s="22">
        <f t="shared" si="102"/>
        <v>0</v>
      </c>
      <c r="AM159" s="22" t="str">
        <f t="shared" si="94"/>
        <v>0.012921074283111+0.16023481021798i</v>
      </c>
      <c r="AN159" s="22" t="str">
        <f t="shared" si="95"/>
        <v>0.1609285322952i</v>
      </c>
      <c r="AO159" s="22" t="str">
        <f t="shared" si="96"/>
        <v>0.995689253687174-0.0802907607422229i</v>
      </c>
      <c r="AP159" s="22" t="str">
        <f t="shared" si="97"/>
        <v>0.164513154286148-0.0267058017029967i</v>
      </c>
      <c r="AQ159" s="22" t="str">
        <f t="shared" si="98"/>
        <v>0.835486845713852+0.0267058017029967i</v>
      </c>
      <c r="AR159" s="22" t="str">
        <f t="shared" si="99"/>
        <v>0.996005837770879-0.0318366884350041i</v>
      </c>
    </row>
    <row r="160" spans="7:44">
      <c r="G160" s="257">
        <v>9016.3</v>
      </c>
      <c r="H160" s="256">
        <f t="shared" si="91"/>
        <v>9.0163</v>
      </c>
      <c r="I160" s="298">
        <f t="shared" si="69"/>
        <v>8.8533117059605</v>
      </c>
      <c r="J160" s="299">
        <f t="shared" si="70"/>
        <v>1.4576026771405</v>
      </c>
      <c r="K160" s="299">
        <f t="shared" si="71"/>
        <v>1.0000118680884</v>
      </c>
      <c r="L160" s="300">
        <f t="shared" si="72"/>
        <v>0.00487195464417651</v>
      </c>
      <c r="M160" s="299">
        <f t="shared" si="73"/>
        <v>1.00051073698849</v>
      </c>
      <c r="N160" s="300">
        <f t="shared" si="74"/>
        <v>-0.0319537073371828</v>
      </c>
      <c r="O160" s="298">
        <f t="shared" si="75"/>
        <v>16315.512113318</v>
      </c>
      <c r="P160" s="301">
        <f t="shared" si="76"/>
        <v>1.57073503543035</v>
      </c>
      <c r="Q160" s="320">
        <f t="shared" si="103"/>
        <v>6.87128604885924</v>
      </c>
      <c r="R160" s="321">
        <f t="shared" si="104"/>
        <v>1.42474447405751</v>
      </c>
      <c r="S160" s="298">
        <f t="shared" si="79"/>
        <v>1.00102646367428</v>
      </c>
      <c r="T160" s="301">
        <f t="shared" si="80"/>
        <v>0.0452898756810986</v>
      </c>
      <c r="U160" s="316">
        <f t="shared" si="92"/>
        <v>0.995391528316664</v>
      </c>
      <c r="V160" s="317">
        <f t="shared" si="93"/>
        <v>-0.113065897333023</v>
      </c>
      <c r="W160" s="318">
        <f t="shared" si="81"/>
        <v>10.3662941246478</v>
      </c>
      <c r="X160" s="319">
        <f t="shared" si="82"/>
        <v>-102.503912326025</v>
      </c>
      <c r="Y160" s="332">
        <f t="shared" si="83"/>
        <v>77.4960876739751</v>
      </c>
      <c r="AA160" s="22">
        <f t="shared" si="84"/>
        <v>1000000000</v>
      </c>
      <c r="AB160" s="22">
        <f t="shared" si="85"/>
        <v>81293665.69</v>
      </c>
      <c r="AD160" s="331">
        <f t="shared" si="86"/>
        <v>27.6882848588695</v>
      </c>
      <c r="AE160" s="332">
        <f t="shared" si="87"/>
        <v>-10.9595617591316</v>
      </c>
      <c r="AG160" s="331">
        <f t="shared" si="88"/>
        <v>8.14619461430082</v>
      </c>
      <c r="AH160" s="332">
        <f t="shared" si="89"/>
        <v>-78.5879531040051</v>
      </c>
      <c r="AJ160" s="22">
        <f t="shared" si="90"/>
        <v>0</v>
      </c>
      <c r="AK160" s="22">
        <f t="shared" si="102"/>
        <v>0</v>
      </c>
      <c r="AM160" s="22" t="str">
        <f t="shared" si="94"/>
        <v>0.013070794525315+0.161154408506583i</v>
      </c>
      <c r="AN160" s="22" t="str">
        <f t="shared" si="95"/>
        <v>0.1618602389154i</v>
      </c>
      <c r="AO160" s="22" t="str">
        <f t="shared" si="96"/>
        <v>0.995639260058266-0.0807535847772148i</v>
      </c>
      <c r="AP160" s="22" t="str">
        <f t="shared" si="97"/>
        <v>0.164488200912448-0.0268590680844305i</v>
      </c>
      <c r="AQ160" s="22" t="str">
        <f t="shared" si="98"/>
        <v>0.835511799087552+0.0268590680844305i</v>
      </c>
      <c r="AR160" s="22" t="str">
        <f t="shared" si="99"/>
        <v>0.995964450829671-0.0320171145682449i</v>
      </c>
    </row>
    <row r="161" spans="7:44">
      <c r="G161" s="257">
        <v>9068.2</v>
      </c>
      <c r="H161" s="256">
        <f t="shared" si="91"/>
        <v>9.0682</v>
      </c>
      <c r="I161" s="298">
        <f t="shared" si="69"/>
        <v>8.90362516349832</v>
      </c>
      <c r="J161" s="299">
        <f t="shared" si="70"/>
        <v>1.45824504520158</v>
      </c>
      <c r="K161" s="299">
        <f t="shared" si="71"/>
        <v>1.00001200511199</v>
      </c>
      <c r="L161" s="300">
        <f t="shared" si="72"/>
        <v>0.00489999834395135</v>
      </c>
      <c r="M161" s="299">
        <f t="shared" si="73"/>
        <v>1.00051663223983</v>
      </c>
      <c r="N161" s="300">
        <f t="shared" si="74"/>
        <v>-0.0321375143340937</v>
      </c>
      <c r="O161" s="298">
        <f t="shared" si="75"/>
        <v>16409.4281404588</v>
      </c>
      <c r="P161" s="301">
        <f t="shared" si="76"/>
        <v>1.57073538621902</v>
      </c>
      <c r="Q161" s="320">
        <f t="shared" si="103"/>
        <v>6.9100034533387</v>
      </c>
      <c r="R161" s="321">
        <f t="shared" si="104"/>
        <v>1.42556863537746</v>
      </c>
      <c r="S161" s="298">
        <f t="shared" si="79"/>
        <v>1.00103830868476</v>
      </c>
      <c r="T161" s="301">
        <f t="shared" si="80"/>
        <v>0.045550215717324</v>
      </c>
      <c r="U161" s="316">
        <f t="shared" si="92"/>
        <v>0.99534323233323</v>
      </c>
      <c r="V161" s="317">
        <f t="shared" si="93"/>
        <v>-0.1137140023692</v>
      </c>
      <c r="W161" s="318">
        <f t="shared" si="81"/>
        <v>10.3155499992113</v>
      </c>
      <c r="X161" s="319">
        <f t="shared" si="82"/>
        <v>-102.554491086413</v>
      </c>
      <c r="Y161" s="332">
        <f t="shared" si="83"/>
        <v>77.4455089135871</v>
      </c>
      <c r="AA161" s="22">
        <f t="shared" si="84"/>
        <v>1000000000</v>
      </c>
      <c r="AB161" s="22">
        <f t="shared" si="85"/>
        <v>82232251.24</v>
      </c>
      <c r="AD161" s="331">
        <f t="shared" si="86"/>
        <v>27.6871320731207</v>
      </c>
      <c r="AE161" s="332">
        <f t="shared" si="87"/>
        <v>-10.9272772778483</v>
      </c>
      <c r="AG161" s="331">
        <f t="shared" si="88"/>
        <v>8.09744616657525</v>
      </c>
      <c r="AH161" s="332">
        <f t="shared" si="89"/>
        <v>-78.5965489790836</v>
      </c>
      <c r="AJ161" s="22">
        <f t="shared" si="90"/>
        <v>0</v>
      </c>
      <c r="AK161" s="22">
        <f t="shared" si="102"/>
        <v>0</v>
      </c>
      <c r="AM161" s="22" t="str">
        <f t="shared" si="94"/>
        <v>0.013221371498224+0.162073866900725i</v>
      </c>
      <c r="AN161" s="22" t="str">
        <f t="shared" si="95"/>
        <v>0.1627919455356i</v>
      </c>
      <c r="AO161" s="22" t="str">
        <f t="shared" si="96"/>
        <v>0.995588979341008-0.0812163737875637i</v>
      </c>
      <c r="AP161" s="22" t="str">
        <f t="shared" si="97"/>
        <v>0.164463104750296-0.0270123111501208i</v>
      </c>
      <c r="AQ161" s="22" t="str">
        <f t="shared" si="98"/>
        <v>0.835536895249704+0.0270123111501208i</v>
      </c>
      <c r="AR161" s="22" t="str">
        <f t="shared" si="99"/>
        <v>0.995922833025607-0.0321974739836685i</v>
      </c>
    </row>
    <row r="162" spans="7:44">
      <c r="G162" s="257">
        <v>9120.1</v>
      </c>
      <c r="H162" s="256">
        <f t="shared" si="91"/>
        <v>9.1201</v>
      </c>
      <c r="I162" s="298">
        <f t="shared" si="69"/>
        <v>8.95394225370896</v>
      </c>
      <c r="J162" s="299">
        <f t="shared" si="70"/>
        <v>1.45888019388858</v>
      </c>
      <c r="K162" s="299">
        <f t="shared" si="71"/>
        <v>1.00001214292203</v>
      </c>
      <c r="L162" s="300">
        <f t="shared" si="72"/>
        <v>0.00492804203601893</v>
      </c>
      <c r="M162" s="299">
        <f t="shared" si="73"/>
        <v>1.00052256129324</v>
      </c>
      <c r="N162" s="300">
        <f t="shared" si="74"/>
        <v>-0.0323213191587498</v>
      </c>
      <c r="O162" s="298">
        <f t="shared" si="75"/>
        <v>16503.3441676015</v>
      </c>
      <c r="P162" s="301">
        <f t="shared" si="76"/>
        <v>1.57073573301521</v>
      </c>
      <c r="Q162" s="320">
        <f t="shared" si="103"/>
        <v>6.9487254990762</v>
      </c>
      <c r="R162" s="321">
        <f t="shared" si="104"/>
        <v>1.42638361190319</v>
      </c>
      <c r="S162" s="298">
        <f t="shared" si="79"/>
        <v>1.00105022154095</v>
      </c>
      <c r="T162" s="301">
        <f t="shared" si="80"/>
        <v>0.0458105495749143</v>
      </c>
      <c r="U162" s="316">
        <f t="shared" si="92"/>
        <v>0.995294665853517</v>
      </c>
      <c r="V162" s="317">
        <f t="shared" si="93"/>
        <v>-0.114362060727014</v>
      </c>
      <c r="W162" s="318">
        <f t="shared" si="81"/>
        <v>10.2650946763553</v>
      </c>
      <c r="X162" s="319">
        <f t="shared" si="82"/>
        <v>-102.605179075825</v>
      </c>
      <c r="Y162" s="332">
        <f t="shared" si="83"/>
        <v>77.3948209241747</v>
      </c>
      <c r="AA162" s="22">
        <f t="shared" si="84"/>
        <v>1000000000</v>
      </c>
      <c r="AB162" s="22">
        <f t="shared" si="85"/>
        <v>83176224.01</v>
      </c>
      <c r="AD162" s="331">
        <f t="shared" si="86"/>
        <v>27.6859963272911</v>
      </c>
      <c r="AE162" s="332">
        <f t="shared" si="87"/>
        <v>-10.8955184637472</v>
      </c>
      <c r="AG162" s="331">
        <f t="shared" si="88"/>
        <v>8.04897424362679</v>
      </c>
      <c r="AH162" s="332">
        <f t="shared" si="89"/>
        <v>-78.6047337649499</v>
      </c>
      <c r="AJ162" s="22">
        <f t="shared" si="90"/>
        <v>0</v>
      </c>
      <c r="AK162" s="22">
        <f t="shared" si="102"/>
        <v>0</v>
      </c>
      <c r="AM162" s="22" t="str">
        <f t="shared" si="94"/>
        <v>0.013372805071126+0.162993184602244i</v>
      </c>
      <c r="AN162" s="22" t="str">
        <f t="shared" si="95"/>
        <v>0.1637236521558i</v>
      </c>
      <c r="AO162" s="22" t="str">
        <f t="shared" si="96"/>
        <v>0.995538411561569-0.0816791275728469i</v>
      </c>
      <c r="AP162" s="22" t="str">
        <f t="shared" si="97"/>
        <v>0.164437865821479-0.0271655307670407i</v>
      </c>
      <c r="AQ162" s="22" t="str">
        <f t="shared" si="98"/>
        <v>0.835562134178521+0.0271655307670407i</v>
      </c>
      <c r="AR162" s="22" t="str">
        <f t="shared" si="99"/>
        <v>0.995880984495563-0.0323777663180281i</v>
      </c>
    </row>
    <row r="163" spans="7:44">
      <c r="G163" s="257">
        <v>9173.2</v>
      </c>
      <c r="H163" s="256">
        <f t="shared" si="91"/>
        <v>9.1732</v>
      </c>
      <c r="I163" s="298">
        <f t="shared" si="69"/>
        <v>9.00542644097618</v>
      </c>
      <c r="J163" s="299">
        <f t="shared" si="70"/>
        <v>1.4595226820854</v>
      </c>
      <c r="K163" s="299">
        <f t="shared" si="71"/>
        <v>1.00001228473237</v>
      </c>
      <c r="L163" s="300">
        <f t="shared" si="72"/>
        <v>0.00495673412912903</v>
      </c>
      <c r="M163" s="299">
        <f t="shared" si="73"/>
        <v>1.00052866241739</v>
      </c>
      <c r="N163" s="300">
        <f t="shared" si="74"/>
        <v>-0.0325093715448553</v>
      </c>
      <c r="O163" s="298">
        <f t="shared" si="75"/>
        <v>16599.431663582</v>
      </c>
      <c r="P163" s="301">
        <f t="shared" si="76"/>
        <v>1.57073608376846</v>
      </c>
      <c r="Q163" s="320">
        <f t="shared" si="103"/>
        <v>6.98834757523402</v>
      </c>
      <c r="R163" s="321">
        <f t="shared" si="104"/>
        <v>1.42720808413149</v>
      </c>
      <c r="S163" s="298">
        <f t="shared" si="79"/>
        <v>1.00106248005323</v>
      </c>
      <c r="T163" s="301">
        <f t="shared" si="80"/>
        <v>0.0460768962813027</v>
      </c>
      <c r="U163" s="316">
        <f t="shared" si="92"/>
        <v>0.995244696617948</v>
      </c>
      <c r="V163" s="317">
        <f t="shared" si="93"/>
        <v>-0.115025054514287</v>
      </c>
      <c r="W163" s="318">
        <f t="shared" si="81"/>
        <v>10.2137681267462</v>
      </c>
      <c r="X163" s="319">
        <f t="shared" si="82"/>
        <v>-102.657150215851</v>
      </c>
      <c r="Y163" s="332">
        <f t="shared" si="83"/>
        <v>77.342849784149</v>
      </c>
      <c r="AA163" s="22">
        <f t="shared" si="84"/>
        <v>1000000000</v>
      </c>
      <c r="AB163" s="22">
        <f t="shared" si="85"/>
        <v>84147598.24</v>
      </c>
      <c r="AD163" s="331">
        <f t="shared" si="86"/>
        <v>27.6848515491792</v>
      </c>
      <c r="AE163" s="332">
        <f t="shared" si="87"/>
        <v>-10.8635603235474</v>
      </c>
      <c r="AG163" s="331">
        <f t="shared" si="88"/>
        <v>7.99966465235104</v>
      </c>
      <c r="AH163" s="332">
        <f t="shared" si="89"/>
        <v>-78.6126895533802</v>
      </c>
      <c r="AJ163" s="22">
        <f t="shared" si="90"/>
        <v>0</v>
      </c>
      <c r="AK163" s="22">
        <f t="shared" si="102"/>
        <v>0</v>
      </c>
      <c r="AM163" s="22" t="str">
        <f t="shared" si="94"/>
        <v>0.013528626398842+0.163933611762339i</v>
      </c>
      <c r="AN163" s="22" t="str">
        <f t="shared" si="95"/>
        <v>0.1646769011256i</v>
      </c>
      <c r="AO163" s="22" t="str">
        <f t="shared" si="96"/>
        <v>0.995486377517548-0.0821525442024418i</v>
      </c>
      <c r="AP163" s="22" t="str">
        <f t="shared" si="97"/>
        <v>0.164411895600193-0.0273222686270565i</v>
      </c>
      <c r="AQ163" s="22" t="str">
        <f t="shared" si="98"/>
        <v>0.835588104399807+0.0273222686270565i</v>
      </c>
      <c r="AR163" s="22" t="str">
        <f t="shared" si="99"/>
        <v>0.995837929723246-0.0325621574572964i</v>
      </c>
    </row>
    <row r="164" spans="7:44">
      <c r="G164" s="257">
        <v>9226.3</v>
      </c>
      <c r="H164" s="256">
        <f t="shared" si="91"/>
        <v>9.2263</v>
      </c>
      <c r="I164" s="298">
        <f t="shared" si="69"/>
        <v>9.05691430333945</v>
      </c>
      <c r="J164" s="299">
        <f t="shared" si="70"/>
        <v>1.46015786554981</v>
      </c>
      <c r="K164" s="299">
        <f t="shared" si="71"/>
        <v>1.00001242736597</v>
      </c>
      <c r="L164" s="300">
        <f t="shared" si="72"/>
        <v>0.00498542621407794</v>
      </c>
      <c r="M164" s="299">
        <f t="shared" si="73"/>
        <v>1.00053479892351</v>
      </c>
      <c r="N164" s="300">
        <f t="shared" si="74"/>
        <v>-0.0326974216308754</v>
      </c>
      <c r="O164" s="298">
        <f t="shared" si="75"/>
        <v>16695.5191595645</v>
      </c>
      <c r="P164" s="301">
        <f t="shared" si="76"/>
        <v>1.57073643048433</v>
      </c>
      <c r="Q164" s="320">
        <f t="shared" si="103"/>
        <v>7.02797434818754</v>
      </c>
      <c r="R164" s="321">
        <f t="shared" si="104"/>
        <v>1.42802325944342</v>
      </c>
      <c r="S164" s="298">
        <f t="shared" si="79"/>
        <v>1.00107480957971</v>
      </c>
      <c r="T164" s="301">
        <f t="shared" si="80"/>
        <v>0.0463432364457792</v>
      </c>
      <c r="U164" s="316">
        <f t="shared" si="92"/>
        <v>0.995194444474237</v>
      </c>
      <c r="V164" s="317">
        <f t="shared" si="93"/>
        <v>-0.115687998893521</v>
      </c>
      <c r="W164" s="318">
        <f t="shared" si="81"/>
        <v>10.162736792998</v>
      </c>
      <c r="X164" s="319">
        <f t="shared" si="82"/>
        <v>-102.709231931271</v>
      </c>
      <c r="Y164" s="332">
        <f t="shared" si="83"/>
        <v>77.2907680687287</v>
      </c>
      <c r="AA164" s="22">
        <f t="shared" si="84"/>
        <v>1000000000</v>
      </c>
      <c r="AB164" s="22">
        <f t="shared" si="85"/>
        <v>85124611.69</v>
      </c>
      <c r="AD164" s="331">
        <f t="shared" si="86"/>
        <v>27.683723791713</v>
      </c>
      <c r="AE164" s="332">
        <f t="shared" si="87"/>
        <v>-10.8321342512706</v>
      </c>
      <c r="AG164" s="331">
        <f t="shared" si="88"/>
        <v>7.95063823843077</v>
      </c>
      <c r="AH164" s="332">
        <f t="shared" si="89"/>
        <v>-78.620229511027</v>
      </c>
      <c r="AJ164" s="22">
        <f t="shared" si="90"/>
        <v>0</v>
      </c>
      <c r="AK164" s="22">
        <f t="shared" si="102"/>
        <v>0</v>
      </c>
      <c r="AM164" s="22" t="str">
        <f t="shared" si="94"/>
        <v>0.013685344116849+0.164873889958661i</v>
      </c>
      <c r="AN164" s="22" t="str">
        <f t="shared" si="95"/>
        <v>0.1656301500954i</v>
      </c>
      <c r="AO164" s="22" t="str">
        <f t="shared" si="96"/>
        <v>0.995434043039245-0.0826259235348545i</v>
      </c>
      <c r="AP164" s="22" t="str">
        <f t="shared" si="97"/>
        <v>0.164385775980525-0.0274789816597768i</v>
      </c>
      <c r="AQ164" s="22" t="str">
        <f t="shared" si="98"/>
        <v>0.835614224019475+0.0274789816597768i</v>
      </c>
      <c r="AR164" s="22" t="str">
        <f t="shared" si="99"/>
        <v>0.99579463372437-0.0327464776094792i</v>
      </c>
    </row>
    <row r="165" spans="7:44">
      <c r="G165" s="257">
        <v>9279.4</v>
      </c>
      <c r="H165" s="256">
        <f t="shared" si="91"/>
        <v>9.2794</v>
      </c>
      <c r="I165" s="298">
        <f t="shared" si="69"/>
        <v>9.10840577847519</v>
      </c>
      <c r="J165" s="299">
        <f t="shared" si="70"/>
        <v>1.46078586764983</v>
      </c>
      <c r="K165" s="299">
        <f t="shared" si="71"/>
        <v>1.0000125708228</v>
      </c>
      <c r="L165" s="300">
        <f t="shared" si="72"/>
        <v>0.00501411829081843</v>
      </c>
      <c r="M165" s="299">
        <f t="shared" si="73"/>
        <v>1.00054097081093</v>
      </c>
      <c r="N165" s="300">
        <f t="shared" si="74"/>
        <v>-0.0328854694035524</v>
      </c>
      <c r="O165" s="298">
        <f t="shared" si="75"/>
        <v>16791.6066555489</v>
      </c>
      <c r="P165" s="301">
        <f t="shared" si="76"/>
        <v>1.57073677323215</v>
      </c>
      <c r="Q165" s="320">
        <f t="shared" si="103"/>
        <v>7.06760573893451</v>
      </c>
      <c r="R165" s="321">
        <f t="shared" si="104"/>
        <v>1.42882929314293</v>
      </c>
      <c r="S165" s="298">
        <f t="shared" si="79"/>
        <v>1.00108721011777</v>
      </c>
      <c r="T165" s="301">
        <f t="shared" si="80"/>
        <v>0.0466095700307993</v>
      </c>
      <c r="U165" s="316">
        <f t="shared" si="92"/>
        <v>0.995143909545366</v>
      </c>
      <c r="V165" s="317">
        <f t="shared" si="93"/>
        <v>-0.116350893588739</v>
      </c>
      <c r="W165" s="318">
        <f t="shared" si="81"/>
        <v>10.1119971807576</v>
      </c>
      <c r="X165" s="319">
        <f t="shared" si="82"/>
        <v>-102.761422377544</v>
      </c>
      <c r="Y165" s="332">
        <f t="shared" si="83"/>
        <v>77.2385776224559</v>
      </c>
      <c r="AA165" s="22">
        <f t="shared" si="84"/>
        <v>1000000000</v>
      </c>
      <c r="AB165" s="22">
        <f t="shared" si="85"/>
        <v>86107264.36</v>
      </c>
      <c r="AD165" s="331">
        <f t="shared" si="86"/>
        <v>27.6826126591632</v>
      </c>
      <c r="AE165" s="332">
        <f t="shared" si="87"/>
        <v>-10.8012313504756</v>
      </c>
      <c r="AG165" s="331">
        <f t="shared" si="88"/>
        <v>7.90189190184766</v>
      </c>
      <c r="AH165" s="332">
        <f t="shared" si="89"/>
        <v>-78.6273607214126</v>
      </c>
      <c r="AJ165" s="22">
        <f t="shared" si="90"/>
        <v>0</v>
      </c>
      <c r="AK165" s="22">
        <f t="shared" si="102"/>
        <v>0</v>
      </c>
      <c r="AM165" s="22" t="str">
        <f t="shared" si="94"/>
        <v>0.0138429580827381+0.165814018336795i</v>
      </c>
      <c r="AN165" s="22" t="str">
        <f t="shared" si="95"/>
        <v>0.1665833990652i</v>
      </c>
      <c r="AO165" s="22" t="str">
        <f t="shared" si="96"/>
        <v>0.99538140815518-0.0830992653554874i</v>
      </c>
      <c r="AP165" s="22" t="str">
        <f t="shared" si="97"/>
        <v>0.16435950698621-0.0276356697227992i</v>
      </c>
      <c r="AQ165" s="22" t="str">
        <f t="shared" si="98"/>
        <v>0.83564049301379+0.0276356697227992i</v>
      </c>
      <c r="AR165" s="22" t="str">
        <f t="shared" si="99"/>
        <v>0.995751096647867-0.0329307263866896i</v>
      </c>
    </row>
    <row r="166" spans="7:44">
      <c r="G166" s="257">
        <v>9332.5</v>
      </c>
      <c r="H166" s="256">
        <f t="shared" si="91"/>
        <v>9.3325</v>
      </c>
      <c r="I166" s="298">
        <f t="shared" si="69"/>
        <v>9.15990080545686</v>
      </c>
      <c r="J166" s="299">
        <f t="shared" si="70"/>
        <v>1.4614068090022</v>
      </c>
      <c r="K166" s="299">
        <f t="shared" si="71"/>
        <v>1.00001271510289</v>
      </c>
      <c r="L166" s="300">
        <f t="shared" si="72"/>
        <v>0.00504281035930325</v>
      </c>
      <c r="M166" s="299">
        <f t="shared" si="73"/>
        <v>1.00054717807902</v>
      </c>
      <c r="N166" s="300">
        <f t="shared" si="74"/>
        <v>-0.0330735148496298</v>
      </c>
      <c r="O166" s="298">
        <f t="shared" si="75"/>
        <v>16887.6941515354</v>
      </c>
      <c r="P166" s="301">
        <f t="shared" si="76"/>
        <v>1.57073711207964</v>
      </c>
      <c r="Q166" s="320">
        <f t="shared" si="103"/>
        <v>7.10724167022575</v>
      </c>
      <c r="R166" s="321">
        <f t="shared" si="104"/>
        <v>1.42962633711768</v>
      </c>
      <c r="S166" s="298">
        <f t="shared" si="79"/>
        <v>1.00109968166476</v>
      </c>
      <c r="T166" s="301">
        <f t="shared" si="80"/>
        <v>0.0468758969988242</v>
      </c>
      <c r="U166" s="316">
        <f t="shared" si="92"/>
        <v>0.995093091954974</v>
      </c>
      <c r="V166" s="317">
        <f t="shared" si="93"/>
        <v>-0.117013738324147</v>
      </c>
      <c r="W166" s="318">
        <f t="shared" si="81"/>
        <v>10.0615458571032</v>
      </c>
      <c r="X166" s="319">
        <f t="shared" si="82"/>
        <v>-102.813719748148</v>
      </c>
      <c r="Y166" s="332">
        <f t="shared" si="83"/>
        <v>77.1862802518518</v>
      </c>
      <c r="AA166" s="22">
        <f t="shared" si="84"/>
        <v>1000000000</v>
      </c>
      <c r="AB166" s="22">
        <f t="shared" si="85"/>
        <v>87095556.25</v>
      </c>
      <c r="AD166" s="331">
        <f t="shared" si="86"/>
        <v>27.681517766805</v>
      </c>
      <c r="AE166" s="332">
        <f t="shared" si="87"/>
        <v>-10.7708429203708</v>
      </c>
      <c r="AG166" s="331">
        <f t="shared" si="88"/>
        <v>7.85342259300278</v>
      </c>
      <c r="AH166" s="332">
        <f t="shared" si="89"/>
        <v>-78.6340901104121</v>
      </c>
      <c r="AJ166" s="22">
        <f t="shared" si="90"/>
        <v>0</v>
      </c>
      <c r="AK166" s="22">
        <f t="shared" si="102"/>
        <v>0</v>
      </c>
      <c r="AM166" s="22" t="str">
        <f t="shared" si="94"/>
        <v>0.014001468153288+0.166753996042462i</v>
      </c>
      <c r="AN166" s="22" t="str">
        <f t="shared" si="95"/>
        <v>0.167536648035i</v>
      </c>
      <c r="AO166" s="22" t="str">
        <f t="shared" si="96"/>
        <v>0.995328472894035-0.0835725694497777i</v>
      </c>
      <c r="AP166" s="22" t="str">
        <f t="shared" si="97"/>
        <v>0.164333088641119-0.0277923326737437i</v>
      </c>
      <c r="AQ166" s="22" t="str">
        <f t="shared" si="98"/>
        <v>0.835666911358881+0.0277923326737437i</v>
      </c>
      <c r="AR166" s="22" t="str">
        <f t="shared" si="99"/>
        <v>0.995707318643454-0.0331149034014294i</v>
      </c>
    </row>
    <row r="167" spans="7:44">
      <c r="G167" s="257">
        <v>9386.85</v>
      </c>
      <c r="H167" s="256">
        <f t="shared" si="91"/>
        <v>9.38685</v>
      </c>
      <c r="I167" s="298">
        <f t="shared" si="69"/>
        <v>9.2126116666721</v>
      </c>
      <c r="J167" s="299">
        <f t="shared" si="70"/>
        <v>1.46203517867495</v>
      </c>
      <c r="K167" s="299">
        <f t="shared" si="71"/>
        <v>1.00001286363194</v>
      </c>
      <c r="L167" s="300">
        <f t="shared" si="72"/>
        <v>0.00507217784453028</v>
      </c>
      <c r="M167" s="299">
        <f t="shared" si="73"/>
        <v>1.00055356810832</v>
      </c>
      <c r="N167" s="300">
        <f t="shared" si="74"/>
        <v>-0.0332659845543497</v>
      </c>
      <c r="O167" s="298">
        <f t="shared" si="75"/>
        <v>16986.0435942278</v>
      </c>
      <c r="P167" s="301">
        <f t="shared" si="76"/>
        <v>1.57073745493371</v>
      </c>
      <c r="Q167" s="320">
        <f t="shared" si="103"/>
        <v>7.14781527404293</v>
      </c>
      <c r="R167" s="321">
        <f t="shared" si="104"/>
        <v>1.43043298928693</v>
      </c>
      <c r="S167" s="298">
        <f t="shared" si="79"/>
        <v>1.0011125203313</v>
      </c>
      <c r="T167" s="301">
        <f t="shared" si="80"/>
        <v>0.047148486542428</v>
      </c>
      <c r="U167" s="316">
        <f t="shared" si="92"/>
        <v>0.995040785502526</v>
      </c>
      <c r="V167" s="317">
        <f t="shared" si="93"/>
        <v>-0.117692134723758</v>
      </c>
      <c r="W167" s="318">
        <f t="shared" si="81"/>
        <v>10.010201912723</v>
      </c>
      <c r="X167" s="319">
        <f t="shared" si="82"/>
        <v>-102.867357107419</v>
      </c>
      <c r="Y167" s="332">
        <f t="shared" si="83"/>
        <v>77.1326428925811</v>
      </c>
      <c r="AA167" s="22">
        <f t="shared" si="84"/>
        <v>1000000000</v>
      </c>
      <c r="AB167" s="22">
        <f t="shared" si="85"/>
        <v>88112952.9225</v>
      </c>
      <c r="AD167" s="331">
        <f t="shared" si="86"/>
        <v>27.6804135279158</v>
      </c>
      <c r="AE167" s="332">
        <f t="shared" si="87"/>
        <v>-10.7402630299816</v>
      </c>
      <c r="AG167" s="331">
        <f t="shared" si="88"/>
        <v>7.80409604833698</v>
      </c>
      <c r="AH167" s="332">
        <f t="shared" si="89"/>
        <v>-78.6405688589137</v>
      </c>
      <c r="AJ167" s="22">
        <f t="shared" si="90"/>
        <v>0</v>
      </c>
      <c r="AK167" s="22">
        <f t="shared" si="102"/>
        <v>0</v>
      </c>
      <c r="AM167" s="22" t="str">
        <f t="shared" si="94"/>
        <v>0.014164637473242+0.167715944357522i</v>
      </c>
      <c r="AN167" s="22" t="str">
        <f t="shared" si="95"/>
        <v>0.1685123369523i</v>
      </c>
      <c r="AO167" s="22" t="str">
        <f t="shared" si="96"/>
        <v>0.995273980474181-0.0840569760613522i</v>
      </c>
      <c r="AP167" s="22" t="str">
        <f t="shared" si="97"/>
        <v>0.16430589375446-0.0279526573929203i</v>
      </c>
      <c r="AQ167" s="22" t="str">
        <f t="shared" si="98"/>
        <v>0.83569410624554+0.0279526573929203i</v>
      </c>
      <c r="AR167" s="22" t="str">
        <f t="shared" si="99"/>
        <v>0.99566226073846-0.0333033413129102i</v>
      </c>
    </row>
    <row r="168" spans="7:44">
      <c r="G168" s="257">
        <v>9441.2</v>
      </c>
      <c r="H168" s="256">
        <f t="shared" si="91"/>
        <v>9.4412</v>
      </c>
      <c r="I168" s="298">
        <f t="shared" si="69"/>
        <v>9.26532612408312</v>
      </c>
      <c r="J168" s="299">
        <f t="shared" si="70"/>
        <v>1.46265639845565</v>
      </c>
      <c r="K168" s="299">
        <f t="shared" si="71"/>
        <v>1.00001301302345</v>
      </c>
      <c r="L168" s="300">
        <f t="shared" si="72"/>
        <v>0.00510154532100824</v>
      </c>
      <c r="M168" s="299">
        <f t="shared" si="73"/>
        <v>1.00055999520225</v>
      </c>
      <c r="N168" s="300">
        <f t="shared" si="74"/>
        <v>-0.0334584517935423</v>
      </c>
      <c r="O168" s="298">
        <f t="shared" si="75"/>
        <v>17084.3930369222</v>
      </c>
      <c r="P168" s="301">
        <f t="shared" si="76"/>
        <v>1.57073779384038</v>
      </c>
      <c r="Q168" s="320">
        <f t="shared" si="103"/>
        <v>7.18839347635056</v>
      </c>
      <c r="R168" s="321">
        <f t="shared" si="104"/>
        <v>1.43123053492987</v>
      </c>
      <c r="S168" s="298">
        <f t="shared" si="79"/>
        <v>1.00112543338365</v>
      </c>
      <c r="T168" s="301">
        <f t="shared" si="80"/>
        <v>0.0474210690742736</v>
      </c>
      <c r="U168" s="316">
        <f t="shared" si="92"/>
        <v>0.994988183188154</v>
      </c>
      <c r="V168" s="317">
        <f t="shared" si="93"/>
        <v>-0.118370478199605</v>
      </c>
      <c r="W168" s="318">
        <f t="shared" si="81"/>
        <v>9.95915290302043</v>
      </c>
      <c r="X168" s="319">
        <f t="shared" si="82"/>
        <v>-102.92110277259</v>
      </c>
      <c r="Y168" s="332">
        <f t="shared" si="83"/>
        <v>77.0788972274101</v>
      </c>
      <c r="AA168" s="22">
        <f t="shared" si="84"/>
        <v>1000000000</v>
      </c>
      <c r="AB168" s="22">
        <f t="shared" si="85"/>
        <v>89136257.44</v>
      </c>
      <c r="AD168" s="331">
        <f t="shared" si="86"/>
        <v>27.6793255209915</v>
      </c>
      <c r="AE168" s="332">
        <f t="shared" si="87"/>
        <v>-10.7102042772036</v>
      </c>
      <c r="AG168" s="331">
        <f t="shared" si="88"/>
        <v>7.75505341992341</v>
      </c>
      <c r="AH168" s="332">
        <f t="shared" si="89"/>
        <v>-78.6466408403216</v>
      </c>
      <c r="AJ168" s="22">
        <f t="shared" si="90"/>
        <v>0</v>
      </c>
      <c r="AK168" s="22">
        <f t="shared" si="102"/>
        <v>0</v>
      </c>
      <c r="AM168" s="22" t="str">
        <f t="shared" si="94"/>
        <v>0.01432874527769+0.168677733012238i</v>
      </c>
      <c r="AN168" s="22" t="str">
        <f t="shared" si="95"/>
        <v>0.1694880258696i</v>
      </c>
      <c r="AO168" s="22" t="str">
        <f t="shared" si="96"/>
        <v>0.995219173430072-0.0845413426946998i</v>
      </c>
      <c r="AP168" s="22" t="str">
        <f t="shared" si="97"/>
        <v>0.164278542453718-0.0281129555020397i</v>
      </c>
      <c r="AQ168" s="22" t="str">
        <f t="shared" si="98"/>
        <v>0.835721457546282+0.0281129555020397i</v>
      </c>
      <c r="AR168" s="22" t="str">
        <f t="shared" si="99"/>
        <v>0.995616950748829-0.0334917032232934i</v>
      </c>
    </row>
    <row r="169" spans="7:44">
      <c r="G169" s="257">
        <v>9495.55</v>
      </c>
      <c r="H169" s="256">
        <f t="shared" si="91"/>
        <v>9.49555</v>
      </c>
      <c r="I169" s="298">
        <f t="shared" si="69"/>
        <v>9.31804411665625</v>
      </c>
      <c r="J169" s="299">
        <f t="shared" si="70"/>
        <v>1.46327058921493</v>
      </c>
      <c r="K169" s="299">
        <f t="shared" si="71"/>
        <v>1.00001316327741</v>
      </c>
      <c r="L169" s="300">
        <f t="shared" si="72"/>
        <v>0.00513091278868649</v>
      </c>
      <c r="M169" s="299">
        <f t="shared" si="73"/>
        <v>1.00056645936008</v>
      </c>
      <c r="N169" s="300">
        <f t="shared" si="74"/>
        <v>-0.033650916552996</v>
      </c>
      <c r="O169" s="298">
        <f t="shared" si="75"/>
        <v>17182.7424796185</v>
      </c>
      <c r="P169" s="301">
        <f t="shared" si="76"/>
        <v>1.57073812886743</v>
      </c>
      <c r="Q169" s="320">
        <f t="shared" si="103"/>
        <v>7.22897619971093</v>
      </c>
      <c r="R169" s="321">
        <f t="shared" si="104"/>
        <v>1.43201912639252</v>
      </c>
      <c r="S169" s="298">
        <f t="shared" si="79"/>
        <v>1.00113842081893</v>
      </c>
      <c r="T169" s="301">
        <f t="shared" si="80"/>
        <v>0.0476936445541266</v>
      </c>
      <c r="U169" s="316">
        <f t="shared" si="92"/>
        <v>0.994935285146583</v>
      </c>
      <c r="V169" s="317">
        <f t="shared" si="93"/>
        <v>-0.119048768456533</v>
      </c>
      <c r="W169" s="318">
        <f t="shared" si="81"/>
        <v>9.90839533757189</v>
      </c>
      <c r="X169" s="319">
        <f t="shared" si="82"/>
        <v>-102.97495492411</v>
      </c>
      <c r="Y169" s="332">
        <f t="shared" si="83"/>
        <v>77.0250450758899</v>
      </c>
      <c r="AA169" s="22">
        <f t="shared" si="84"/>
        <v>1000000000</v>
      </c>
      <c r="AB169" s="22">
        <f t="shared" si="85"/>
        <v>90165469.8025</v>
      </c>
      <c r="AD169" s="331">
        <f t="shared" si="86"/>
        <v>27.678253366979</v>
      </c>
      <c r="AE169" s="332">
        <f t="shared" si="87"/>
        <v>-10.6806579348298</v>
      </c>
      <c r="AG169" s="331">
        <f t="shared" si="88"/>
        <v>7.70629159486354</v>
      </c>
      <c r="AH169" s="332">
        <f t="shared" si="89"/>
        <v>-78.6523129961127</v>
      </c>
      <c r="AJ169" s="22">
        <f t="shared" si="90"/>
        <v>0</v>
      </c>
      <c r="AK169" s="22">
        <f t="shared" si="102"/>
        <v>0</v>
      </c>
      <c r="AM169" s="22" t="str">
        <f t="shared" si="94"/>
        <v>0.014493791410409+0.169639361091017i</v>
      </c>
      <c r="AN169" s="22" t="str">
        <f t="shared" si="95"/>
        <v>0.1704637147869i</v>
      </c>
      <c r="AO169" s="22" t="str">
        <f t="shared" si="96"/>
        <v>0.995164051792996-0.0850256691198357i</v>
      </c>
      <c r="AP169" s="22" t="str">
        <f t="shared" si="97"/>
        <v>0.164251034764932-0.0282732268485028i</v>
      </c>
      <c r="AQ169" s="22" t="str">
        <f t="shared" si="98"/>
        <v>0.835748965235068+0.0282732268485028i</v>
      </c>
      <c r="AR169" s="22" t="str">
        <f t="shared" si="99"/>
        <v>0.995571388837657-0.0336799887183456i</v>
      </c>
    </row>
    <row r="170" spans="7:44">
      <c r="G170" s="257">
        <v>9549.9</v>
      </c>
      <c r="H170" s="256">
        <f t="shared" si="91"/>
        <v>9.5499</v>
      </c>
      <c r="I170" s="298">
        <f t="shared" si="69"/>
        <v>9.37076558472722</v>
      </c>
      <c r="J170" s="299">
        <f t="shared" si="70"/>
        <v>1.46387786912474</v>
      </c>
      <c r="K170" s="299">
        <f t="shared" si="71"/>
        <v>1.00001331439384</v>
      </c>
      <c r="L170" s="300">
        <f t="shared" si="72"/>
        <v>0.00516028024751438</v>
      </c>
      <c r="M170" s="299">
        <f t="shared" si="73"/>
        <v>1.00057296058109</v>
      </c>
      <c r="N170" s="300">
        <f t="shared" si="74"/>
        <v>-0.0338433788185</v>
      </c>
      <c r="O170" s="298">
        <f t="shared" si="75"/>
        <v>17281.0919223167</v>
      </c>
      <c r="P170" s="301">
        <f t="shared" si="76"/>
        <v>1.57073846008109</v>
      </c>
      <c r="Q170" s="320">
        <f t="shared" si="103"/>
        <v>7.26956336840699</v>
      </c>
      <c r="R170" s="321">
        <f t="shared" si="104"/>
        <v>1.43279891266377</v>
      </c>
      <c r="S170" s="298">
        <f t="shared" si="79"/>
        <v>1.00115148263426</v>
      </c>
      <c r="T170" s="301">
        <f t="shared" si="80"/>
        <v>0.0479662129417591</v>
      </c>
      <c r="U170" s="316">
        <f t="shared" si="92"/>
        <v>0.994882091513252</v>
      </c>
      <c r="V170" s="317">
        <f t="shared" si="93"/>
        <v>-0.119727005199545</v>
      </c>
      <c r="W170" s="318">
        <f t="shared" si="81"/>
        <v>9.85792578727453</v>
      </c>
      <c r="X170" s="319">
        <f t="shared" si="82"/>
        <v>-103.028911780075</v>
      </c>
      <c r="Y170" s="332">
        <f t="shared" si="83"/>
        <v>76.9710882199247</v>
      </c>
      <c r="AA170" s="22">
        <f t="shared" si="84"/>
        <v>1000000000</v>
      </c>
      <c r="AB170" s="22">
        <f t="shared" si="85"/>
        <v>91200590.01</v>
      </c>
      <c r="AD170" s="331">
        <f t="shared" si="86"/>
        <v>27.677196697378</v>
      </c>
      <c r="AE170" s="332">
        <f t="shared" si="87"/>
        <v>-10.6516154679172</v>
      </c>
      <c r="AG170" s="331">
        <f t="shared" si="88"/>
        <v>7.6578075110188</v>
      </c>
      <c r="AH170" s="332">
        <f t="shared" si="89"/>
        <v>-78.6575921131317</v>
      </c>
      <c r="AJ170" s="22">
        <f t="shared" si="90"/>
        <v>0</v>
      </c>
      <c r="AK170" s="22">
        <f t="shared" si="102"/>
        <v>0</v>
      </c>
      <c r="AM170" s="22" t="str">
        <f t="shared" si="94"/>
        <v>0.014659775714277+0.17060082767842i</v>
      </c>
      <c r="AN170" s="22" t="str">
        <f t="shared" si="95"/>
        <v>0.1714394037042i</v>
      </c>
      <c r="AO170" s="22" t="str">
        <f t="shared" si="96"/>
        <v>0.995108615594424-0.0855099551067667i</v>
      </c>
      <c r="AP170" s="22" t="str">
        <f t="shared" si="97"/>
        <v>0.164223370714287-0.0284334712797367i</v>
      </c>
      <c r="AQ170" s="22" t="str">
        <f t="shared" si="98"/>
        <v>0.835776629285713+0.0284334712797367i</v>
      </c>
      <c r="AR170" s="22" t="str">
        <f t="shared" si="99"/>
        <v>0.995525575168893-0.0338681973842696i</v>
      </c>
    </row>
    <row r="171" spans="7:44">
      <c r="G171" s="257">
        <v>9605.525</v>
      </c>
      <c r="H171" s="256">
        <f t="shared" si="91"/>
        <v>9.605525</v>
      </c>
      <c r="I171" s="298">
        <f t="shared" si="69"/>
        <v>9.4247273868533</v>
      </c>
      <c r="J171" s="299">
        <f t="shared" si="70"/>
        <v>1.46449235988277</v>
      </c>
      <c r="K171" s="299">
        <f t="shared" si="71"/>
        <v>1.00001346994837</v>
      </c>
      <c r="L171" s="300">
        <f t="shared" si="72"/>
        <v>0.00519033663015195</v>
      </c>
      <c r="M171" s="299">
        <f t="shared" si="73"/>
        <v>1.00057965269149</v>
      </c>
      <c r="N171" s="300">
        <f t="shared" si="74"/>
        <v>-0.0340403534709304</v>
      </c>
      <c r="O171" s="298">
        <f t="shared" si="75"/>
        <v>17381.7485506552</v>
      </c>
      <c r="P171" s="301">
        <f t="shared" si="76"/>
        <v>1.57073879518364</v>
      </c>
      <c r="Q171" s="320">
        <f t="shared" si="103"/>
        <v>7.3111071997201</v>
      </c>
      <c r="R171" s="321">
        <f t="shared" si="104"/>
        <v>1.43358802658394</v>
      </c>
      <c r="S171" s="298">
        <f t="shared" si="79"/>
        <v>1.00116492788231</v>
      </c>
      <c r="T171" s="301">
        <f t="shared" si="80"/>
        <v>0.0482451681422863</v>
      </c>
      <c r="U171" s="316">
        <f t="shared" si="92"/>
        <v>0.99482734407473</v>
      </c>
      <c r="V171" s="317">
        <f t="shared" si="93"/>
        <v>-0.120421097020788</v>
      </c>
      <c r="W171" s="318">
        <f t="shared" si="81"/>
        <v>9.80656698231588</v>
      </c>
      <c r="X171" s="319">
        <f t="shared" si="82"/>
        <v>-103.084241009902</v>
      </c>
      <c r="Y171" s="332">
        <f t="shared" si="83"/>
        <v>76.9157589900976</v>
      </c>
      <c r="AA171" s="22">
        <f t="shared" si="84"/>
        <v>1000000000</v>
      </c>
      <c r="AB171" s="22">
        <f t="shared" si="85"/>
        <v>92266110.525625</v>
      </c>
      <c r="AD171" s="331">
        <f t="shared" si="86"/>
        <v>27.6761308990028</v>
      </c>
      <c r="AE171" s="332">
        <f t="shared" si="87"/>
        <v>-10.6224047263282</v>
      </c>
      <c r="AG171" s="331">
        <f t="shared" si="88"/>
        <v>7.60847048363632</v>
      </c>
      <c r="AH171" s="332">
        <f t="shared" si="89"/>
        <v>-78.6625950205533</v>
      </c>
      <c r="AJ171" s="22">
        <f t="shared" si="90"/>
        <v>0</v>
      </c>
      <c r="AK171" s="22">
        <f t="shared" si="102"/>
        <v>0</v>
      </c>
      <c r="AM171" s="22" t="str">
        <f t="shared" si="94"/>
        <v>0.014830625131485+0.171584681196135i</v>
      </c>
      <c r="AN171" s="22" t="str">
        <f t="shared" si="95"/>
        <v>0.17243798136795i</v>
      </c>
      <c r="AO171" s="22" t="str">
        <f t="shared" si="96"/>
        <v>0.995051553230641-0.0860055598762737i</v>
      </c>
      <c r="AP171" s="22" t="str">
        <f t="shared" si="97"/>
        <v>0.164194895811419-0.0285974468660225i</v>
      </c>
      <c r="AQ171" s="22" t="str">
        <f t="shared" si="98"/>
        <v>0.835805104188581+0.0285974468660225i</v>
      </c>
      <c r="AR171" s="22" t="str">
        <f t="shared" si="99"/>
        <v>0.99547842624058-0.0340607412637474i</v>
      </c>
    </row>
    <row r="172" spans="7:44">
      <c r="G172" s="257">
        <v>9661.15</v>
      </c>
      <c r="H172" s="256">
        <f t="shared" si="91"/>
        <v>9.66115</v>
      </c>
      <c r="I172" s="298">
        <f t="shared" si="69"/>
        <v>9.4786927072254</v>
      </c>
      <c r="J172" s="299">
        <f t="shared" si="70"/>
        <v>1.46509985387135</v>
      </c>
      <c r="K172" s="299">
        <f t="shared" si="71"/>
        <v>1.00001362640629</v>
      </c>
      <c r="L172" s="300">
        <f t="shared" si="72"/>
        <v>0.00522039300341168</v>
      </c>
      <c r="M172" s="299">
        <f t="shared" si="73"/>
        <v>1.00058638362287</v>
      </c>
      <c r="N172" s="300">
        <f t="shared" si="74"/>
        <v>-0.0342373254809113</v>
      </c>
      <c r="O172" s="298">
        <f t="shared" si="75"/>
        <v>17482.4051789955</v>
      </c>
      <c r="P172" s="301">
        <f t="shared" si="76"/>
        <v>1.57073912642742</v>
      </c>
      <c r="Q172" s="320">
        <f t="shared" si="103"/>
        <v>7.35265553221734</v>
      </c>
      <c r="R172" s="321">
        <f t="shared" si="104"/>
        <v>1.43436822274695</v>
      </c>
      <c r="S172" s="298">
        <f t="shared" si="79"/>
        <v>1.00117845103492</v>
      </c>
      <c r="T172" s="301">
        <f t="shared" si="80"/>
        <v>0.0485241158286927</v>
      </c>
      <c r="U172" s="316">
        <f t="shared" si="92"/>
        <v>0.99477228730253</v>
      </c>
      <c r="V172" s="317">
        <f t="shared" si="93"/>
        <v>-0.121115132163306</v>
      </c>
      <c r="W172" s="318">
        <f t="shared" si="81"/>
        <v>9.75550278673176</v>
      </c>
      <c r="X172" s="319">
        <f t="shared" si="82"/>
        <v>-103.139676254284</v>
      </c>
      <c r="Y172" s="332">
        <f t="shared" si="83"/>
        <v>76.8603237457162</v>
      </c>
      <c r="AA172" s="22">
        <f t="shared" si="84"/>
        <v>1000000000</v>
      </c>
      <c r="AB172" s="22">
        <f t="shared" si="85"/>
        <v>93337819.3225</v>
      </c>
      <c r="AD172" s="331">
        <f t="shared" si="86"/>
        <v>27.6750805713854</v>
      </c>
      <c r="AE172" s="332">
        <f t="shared" si="87"/>
        <v>-10.5937042829691</v>
      </c>
      <c r="AG172" s="331">
        <f t="shared" si="88"/>
        <v>7.55941804939666</v>
      </c>
      <c r="AH172" s="332">
        <f t="shared" si="89"/>
        <v>-78.6672001392026</v>
      </c>
      <c r="AJ172" s="22">
        <f t="shared" si="90"/>
        <v>0</v>
      </c>
      <c r="AK172" s="22">
        <f t="shared" si="102"/>
        <v>0</v>
      </c>
      <c r="AM172" s="22" t="str">
        <f t="shared" si="94"/>
        <v>0.015002456917494+0.172568363616938i</v>
      </c>
      <c r="AN172" s="22" t="str">
        <f t="shared" si="95"/>
        <v>0.1734365590317i</v>
      </c>
      <c r="AO172" s="22" t="str">
        <f t="shared" si="96"/>
        <v>0.99499416144088-0.0865011218006921i</v>
      </c>
      <c r="AP172" s="22" t="str">
        <f t="shared" si="97"/>
        <v>0.164166257180418-0.0287613939361563i</v>
      </c>
      <c r="AQ172" s="22" t="str">
        <f t="shared" si="98"/>
        <v>0.835833742819582+0.0287613939361563i</v>
      </c>
      <c r="AR172" s="22" t="str">
        <f t="shared" si="99"/>
        <v>0.995431013954375-0.0342532037914976i</v>
      </c>
    </row>
    <row r="173" spans="7:44">
      <c r="G173" s="257">
        <v>9716.775</v>
      </c>
      <c r="H173" s="256">
        <f t="shared" si="91"/>
        <v>9.716775</v>
      </c>
      <c r="I173" s="298">
        <f t="shared" si="69"/>
        <v>9.53266148609212</v>
      </c>
      <c r="J173" s="299">
        <f t="shared" si="70"/>
        <v>1.46570046947404</v>
      </c>
      <c r="K173" s="299">
        <f t="shared" si="71"/>
        <v>1.0000137837676</v>
      </c>
      <c r="L173" s="300">
        <f t="shared" si="72"/>
        <v>0.00525044936723928</v>
      </c>
      <c r="M173" s="299">
        <f t="shared" si="73"/>
        <v>1.00059315337444</v>
      </c>
      <c r="N173" s="300">
        <f t="shared" si="74"/>
        <v>-0.034434294833212</v>
      </c>
      <c r="O173" s="298">
        <f t="shared" si="75"/>
        <v>17583.0618073378</v>
      </c>
      <c r="P173" s="301">
        <f t="shared" si="76"/>
        <v>1.57073945387871</v>
      </c>
      <c r="Q173" s="320">
        <f t="shared" si="103"/>
        <v>7.39420829002173</v>
      </c>
      <c r="R173" s="321">
        <f t="shared" si="104"/>
        <v>1.43513965053854</v>
      </c>
      <c r="S173" s="298">
        <f t="shared" si="79"/>
        <v>1.00119205208894</v>
      </c>
      <c r="T173" s="301">
        <f t="shared" si="80"/>
        <v>0.0488030559578729</v>
      </c>
      <c r="U173" s="316">
        <f t="shared" si="92"/>
        <v>0.994716921344186</v>
      </c>
      <c r="V173" s="317">
        <f t="shared" si="93"/>
        <v>-0.121809110311511</v>
      </c>
      <c r="W173" s="318">
        <f t="shared" si="81"/>
        <v>9.70472971468317</v>
      </c>
      <c r="X173" s="319">
        <f t="shared" si="82"/>
        <v>-103.195215719302</v>
      </c>
      <c r="Y173" s="332">
        <f t="shared" si="83"/>
        <v>76.8047842806985</v>
      </c>
      <c r="AA173" s="22">
        <f t="shared" si="84"/>
        <v>1000000000</v>
      </c>
      <c r="AB173" s="22">
        <f t="shared" si="85"/>
        <v>94415716.400625</v>
      </c>
      <c r="AD173" s="331">
        <f t="shared" si="86"/>
        <v>27.6740453515787</v>
      </c>
      <c r="AE173" s="332">
        <f t="shared" si="87"/>
        <v>-10.5655055799954</v>
      </c>
      <c r="AG173" s="331">
        <f t="shared" si="88"/>
        <v>7.51064708373445</v>
      </c>
      <c r="AH173" s="332">
        <f t="shared" si="89"/>
        <v>-78.6714142691702</v>
      </c>
      <c r="AJ173" s="22">
        <f t="shared" si="90"/>
        <v>0</v>
      </c>
      <c r="AK173" s="22">
        <f t="shared" si="102"/>
        <v>0</v>
      </c>
      <c r="AM173" s="22" t="str">
        <f t="shared" si="94"/>
        <v>0.015175270900963+0.173551873959943i</v>
      </c>
      <c r="AN173" s="22" t="str">
        <f t="shared" si="95"/>
        <v>0.17443513669545i</v>
      </c>
      <c r="AO173" s="22" t="str">
        <f t="shared" si="96"/>
        <v>0.994936440259458-0.0869966406335773i</v>
      </c>
      <c r="AP173" s="22" t="str">
        <f t="shared" si="97"/>
        <v>0.164137454849839-0.0289253123266572i</v>
      </c>
      <c r="AQ173" s="22" t="str">
        <f t="shared" si="98"/>
        <v>0.835862545150161+0.0289253123266572i</v>
      </c>
      <c r="AR173" s="22" t="str">
        <f t="shared" si="99"/>
        <v>0.995383338488821-0.034445584525345i</v>
      </c>
    </row>
    <row r="174" spans="7:44">
      <c r="G174" s="257">
        <v>9772.4</v>
      </c>
      <c r="H174" s="256">
        <f t="shared" si="91"/>
        <v>9.7724</v>
      </c>
      <c r="I174" s="298">
        <f t="shared" si="69"/>
        <v>9.58663366504379</v>
      </c>
      <c r="J174" s="299">
        <f t="shared" si="70"/>
        <v>1.4662943224285</v>
      </c>
      <c r="K174" s="299">
        <f t="shared" si="71"/>
        <v>1.00001394203232</v>
      </c>
      <c r="L174" s="300">
        <f t="shared" si="72"/>
        <v>0.00528050572158044</v>
      </c>
      <c r="M174" s="299">
        <f t="shared" si="73"/>
        <v>1.00059996194543</v>
      </c>
      <c r="N174" s="300">
        <f t="shared" si="74"/>
        <v>-0.0346312615126028</v>
      </c>
      <c r="O174" s="298">
        <f t="shared" si="75"/>
        <v>17683.718435682</v>
      </c>
      <c r="P174" s="301">
        <f t="shared" si="76"/>
        <v>1.57073977760225</v>
      </c>
      <c r="Q174" s="320">
        <f t="shared" si="103"/>
        <v>7.43576539894438</v>
      </c>
      <c r="R174" s="321">
        <f t="shared" si="104"/>
        <v>1.43590245604714</v>
      </c>
      <c r="S174" s="298">
        <f t="shared" si="79"/>
        <v>1.00120573104118</v>
      </c>
      <c r="T174" s="301">
        <f t="shared" si="80"/>
        <v>0.0490819884867283</v>
      </c>
      <c r="U174" s="316">
        <f t="shared" si="92"/>
        <v>0.994661246348015</v>
      </c>
      <c r="V174" s="317">
        <f t="shared" si="93"/>
        <v>-0.122503031150009</v>
      </c>
      <c r="W174" s="318">
        <f t="shared" si="81"/>
        <v>9.65424434152743</v>
      </c>
      <c r="X174" s="319">
        <f t="shared" si="82"/>
        <v>-103.250857648284</v>
      </c>
      <c r="Y174" s="332">
        <f t="shared" si="83"/>
        <v>76.7491423517156</v>
      </c>
      <c r="AA174" s="22">
        <f t="shared" si="84"/>
        <v>1000000000</v>
      </c>
      <c r="AB174" s="22">
        <f t="shared" si="85"/>
        <v>95499801.76</v>
      </c>
      <c r="AD174" s="331">
        <f t="shared" si="86"/>
        <v>27.6730248867502</v>
      </c>
      <c r="AE174" s="332">
        <f t="shared" si="87"/>
        <v>-10.5378002483965</v>
      </c>
      <c r="AG174" s="331">
        <f t="shared" si="88"/>
        <v>7.4621545131564</v>
      </c>
      <c r="AH174" s="332">
        <f t="shared" si="89"/>
        <v>-78.6752440589369</v>
      </c>
      <c r="AJ174" s="22">
        <f t="shared" si="90"/>
        <v>0</v>
      </c>
      <c r="AK174" s="22">
        <f t="shared" si="102"/>
        <v>0</v>
      </c>
      <c r="AM174" s="22" t="str">
        <f t="shared" si="94"/>
        <v>0.0153490669095671+0.174535211244435i</v>
      </c>
      <c r="AN174" s="22" t="str">
        <f t="shared" si="95"/>
        <v>0.1754337143592i</v>
      </c>
      <c r="AO174" s="22" t="str">
        <f t="shared" si="96"/>
        <v>0.994878389720887-0.0874921161284879i</v>
      </c>
      <c r="AP174" s="22" t="str">
        <f t="shared" si="97"/>
        <v>0.164108488848405-0.0290892018740725i</v>
      </c>
      <c r="AQ174" s="22" t="str">
        <f t="shared" si="98"/>
        <v>0.835891511151595+0.0290892018740725i</v>
      </c>
      <c r="AR174" s="22" t="str">
        <f t="shared" si="99"/>
        <v>0.995335400023399-0.0346378830236026i</v>
      </c>
    </row>
    <row r="175" spans="7:44">
      <c r="G175" s="257">
        <v>9829.3</v>
      </c>
      <c r="H175" s="256">
        <f t="shared" si="91"/>
        <v>9.8293</v>
      </c>
      <c r="I175" s="298">
        <f t="shared" si="69"/>
        <v>9.64184641746091</v>
      </c>
      <c r="J175" s="299">
        <f t="shared" si="70"/>
        <v>1.46689490832031</v>
      </c>
      <c r="K175" s="299">
        <f t="shared" si="71"/>
        <v>1.00001410485937</v>
      </c>
      <c r="L175" s="300">
        <f t="shared" si="72"/>
        <v>0.00531125099821681</v>
      </c>
      <c r="M175" s="299">
        <f t="shared" si="73"/>
        <v>1.00060696674152</v>
      </c>
      <c r="N175" s="300">
        <f t="shared" si="74"/>
        <v>-0.0348327401524701</v>
      </c>
      <c r="O175" s="298">
        <f t="shared" si="75"/>
        <v>17786.6822496664</v>
      </c>
      <c r="P175" s="301">
        <f t="shared" si="76"/>
        <v>1.57074010495507</v>
      </c>
      <c r="Q175" s="320">
        <f t="shared" si="103"/>
        <v>7.47827947907257</v>
      </c>
      <c r="R175" s="321">
        <f t="shared" si="104"/>
        <v>1.43667397402887</v>
      </c>
      <c r="S175" s="298">
        <f t="shared" si="79"/>
        <v>1.0012198041271</v>
      </c>
      <c r="T175" s="301">
        <f t="shared" si="80"/>
        <v>0.0493673066166732</v>
      </c>
      <c r="U175" s="316">
        <f t="shared" si="92"/>
        <v>0.994603975616966</v>
      </c>
      <c r="V175" s="317">
        <f t="shared" si="93"/>
        <v>-0.123212797965991</v>
      </c>
      <c r="W175" s="318">
        <f t="shared" si="81"/>
        <v>9.60289593398804</v>
      </c>
      <c r="X175" s="319">
        <f t="shared" si="82"/>
        <v>-103.307879185743</v>
      </c>
      <c r="Y175" s="332">
        <f t="shared" si="83"/>
        <v>76.6921208142574</v>
      </c>
      <c r="AA175" s="22">
        <f t="shared" si="84"/>
        <v>1000000000</v>
      </c>
      <c r="AB175" s="22">
        <f t="shared" si="85"/>
        <v>96615138.49</v>
      </c>
      <c r="AD175" s="331">
        <f t="shared" si="86"/>
        <v>27.6719959400595</v>
      </c>
      <c r="AE175" s="332">
        <f t="shared" si="87"/>
        <v>-10.5099618047923</v>
      </c>
      <c r="AG175" s="331">
        <f t="shared" si="88"/>
        <v>7.41283531560888</v>
      </c>
      <c r="AH175" s="332">
        <f t="shared" si="89"/>
        <v>-78.6787707539178</v>
      </c>
      <c r="AJ175" s="22">
        <f t="shared" si="90"/>
        <v>0</v>
      </c>
      <c r="AK175" s="22">
        <f t="shared" si="102"/>
        <v>0</v>
      </c>
      <c r="AM175" s="22" t="str">
        <f t="shared" si="94"/>
        <v>0.0155278624234571+0.175540907868998i</v>
      </c>
      <c r="AN175" s="22" t="str">
        <f t="shared" si="95"/>
        <v>0.1764551807694i</v>
      </c>
      <c r="AO175" s="22" t="str">
        <f t="shared" si="96"/>
        <v>0.994818667854265-0.0879989034935146i</v>
      </c>
      <c r="AP175" s="22" t="str">
        <f t="shared" si="97"/>
        <v>0.16407868959609-0.0292568179781663i</v>
      </c>
      <c r="AQ175" s="22" t="str">
        <f t="shared" si="98"/>
        <v>0.83592131040391+0.0292568179781663i</v>
      </c>
      <c r="AR175" s="22" t="str">
        <f t="shared" si="99"/>
        <v>0.995286090820382-0.0348345037181342i</v>
      </c>
    </row>
    <row r="176" spans="7:44">
      <c r="G176" s="257">
        <v>9886.2</v>
      </c>
      <c r="H176" s="256">
        <f t="shared" si="91"/>
        <v>9.8862</v>
      </c>
      <c r="I176" s="298">
        <f t="shared" si="69"/>
        <v>9.69706260812017</v>
      </c>
      <c r="J176" s="299">
        <f t="shared" si="70"/>
        <v>1.46748865481387</v>
      </c>
      <c r="K176" s="299">
        <f t="shared" si="71"/>
        <v>1.00001426863171</v>
      </c>
      <c r="L176" s="300">
        <f t="shared" si="72"/>
        <v>0.00534199626481194</v>
      </c>
      <c r="M176" s="299">
        <f t="shared" si="73"/>
        <v>1.00061401215533</v>
      </c>
      <c r="N176" s="300">
        <f t="shared" si="74"/>
        <v>-0.0350342159632573</v>
      </c>
      <c r="O176" s="298">
        <f t="shared" si="75"/>
        <v>17889.6460636528</v>
      </c>
      <c r="P176" s="301">
        <f t="shared" si="76"/>
        <v>1.57074042853973</v>
      </c>
      <c r="Q176" s="320">
        <f t="shared" si="103"/>
        <v>7.52079796024424</v>
      </c>
      <c r="R176" s="321">
        <f t="shared" si="104"/>
        <v>1.43743676897839</v>
      </c>
      <c r="S176" s="298">
        <f t="shared" si="79"/>
        <v>1.00123395871647</v>
      </c>
      <c r="T176" s="301">
        <f t="shared" si="80"/>
        <v>0.0496526167026763</v>
      </c>
      <c r="U176" s="316">
        <f t="shared" si="92"/>
        <v>0.994546381835059</v>
      </c>
      <c r="V176" s="317">
        <f t="shared" si="93"/>
        <v>-0.123922504148036</v>
      </c>
      <c r="W176" s="318">
        <f t="shared" si="81"/>
        <v>9.55184150631041</v>
      </c>
      <c r="X176" s="319">
        <f t="shared" si="82"/>
        <v>-103.365004335106</v>
      </c>
      <c r="Y176" s="332">
        <f t="shared" si="83"/>
        <v>76.6349956648943</v>
      </c>
      <c r="AA176" s="22">
        <f t="shared" si="84"/>
        <v>1000000000</v>
      </c>
      <c r="AB176" s="22">
        <f t="shared" si="85"/>
        <v>97736950.44</v>
      </c>
      <c r="AD176" s="331">
        <f t="shared" si="86"/>
        <v>27.6709817166332</v>
      </c>
      <c r="AE176" s="332">
        <f t="shared" si="87"/>
        <v>-10.4826224773356</v>
      </c>
      <c r="AG176" s="331">
        <f t="shared" si="88"/>
        <v>7.36380107499784</v>
      </c>
      <c r="AH176" s="332">
        <f t="shared" si="89"/>
        <v>-78.6819088927937</v>
      </c>
      <c r="AJ176" s="22">
        <f t="shared" si="90"/>
        <v>0</v>
      </c>
      <c r="AK176" s="22">
        <f t="shared" si="102"/>
        <v>0</v>
      </c>
      <c r="AM176" s="22" t="str">
        <f t="shared" si="94"/>
        <v>0.0157076851292119+0.176546421335312i</v>
      </c>
      <c r="AN176" s="22" t="str">
        <f t="shared" si="95"/>
        <v>0.1774766471796i</v>
      </c>
      <c r="AO176" s="22" t="str">
        <f t="shared" si="96"/>
        <v>0.994758601432522-0.0885056449895421i</v>
      </c>
      <c r="AP176" s="22" t="str">
        <f t="shared" si="97"/>
        <v>0.164048719145131-0.0294244035558853i</v>
      </c>
      <c r="AQ176" s="22" t="str">
        <f t="shared" si="98"/>
        <v>0.835951280854869+0.0294244035558853i</v>
      </c>
      <c r="AR176" s="22" t="str">
        <f t="shared" si="99"/>
        <v>0.995236506805592-0.0350310374306148i</v>
      </c>
    </row>
    <row r="177" spans="7:44">
      <c r="G177" s="257">
        <v>9943.1</v>
      </c>
      <c r="H177" s="256">
        <f t="shared" si="91"/>
        <v>9.9431</v>
      </c>
      <c r="I177" s="298">
        <f t="shared" si="69"/>
        <v>9.75228217862088</v>
      </c>
      <c r="J177" s="299">
        <f t="shared" si="70"/>
        <v>1.46807567766548</v>
      </c>
      <c r="K177" s="299">
        <f t="shared" si="71"/>
        <v>1.00001443334933</v>
      </c>
      <c r="L177" s="300">
        <f t="shared" si="72"/>
        <v>0.00537274152130771</v>
      </c>
      <c r="M177" s="299">
        <f t="shared" si="73"/>
        <v>1.00062109818598</v>
      </c>
      <c r="N177" s="300">
        <f t="shared" si="74"/>
        <v>-0.0352356889286675</v>
      </c>
      <c r="O177" s="298">
        <f t="shared" si="75"/>
        <v>17992.609877641</v>
      </c>
      <c r="P177" s="301">
        <f t="shared" si="76"/>
        <v>1.57074074842092</v>
      </c>
      <c r="Q177" s="320">
        <f t="shared" si="103"/>
        <v>7.56332076823578</v>
      </c>
      <c r="R177" s="321">
        <f t="shared" si="104"/>
        <v>1.43819098712941</v>
      </c>
      <c r="S177" s="298">
        <f t="shared" si="79"/>
        <v>1.00124819480582</v>
      </c>
      <c r="T177" s="301">
        <f t="shared" si="80"/>
        <v>0.0499379186986301</v>
      </c>
      <c r="U177" s="316">
        <f t="shared" si="92"/>
        <v>0.994488465163596</v>
      </c>
      <c r="V177" s="317">
        <f t="shared" si="93"/>
        <v>-0.124632149359281</v>
      </c>
      <c r="W177" s="318">
        <f t="shared" si="81"/>
        <v>9.50107758249209</v>
      </c>
      <c r="X177" s="319">
        <f t="shared" si="82"/>
        <v>-103.42223133098</v>
      </c>
      <c r="Y177" s="332">
        <f t="shared" si="83"/>
        <v>76.5777686690199</v>
      </c>
      <c r="AA177" s="22">
        <f t="shared" si="84"/>
        <v>1000000000</v>
      </c>
      <c r="AB177" s="22">
        <f t="shared" si="85"/>
        <v>98865237.61</v>
      </c>
      <c r="AD177" s="331">
        <f t="shared" si="86"/>
        <v>27.6699818695257</v>
      </c>
      <c r="AE177" s="332">
        <f t="shared" si="87"/>
        <v>-10.4557738885168</v>
      </c>
      <c r="AG177" s="331">
        <f t="shared" si="88"/>
        <v>7.31504866043541</v>
      </c>
      <c r="AH177" s="332">
        <f t="shared" si="89"/>
        <v>-78.6846651262825</v>
      </c>
      <c r="AJ177" s="22">
        <f t="shared" si="90"/>
        <v>0</v>
      </c>
      <c r="AK177" s="22">
        <f t="shared" si="102"/>
        <v>0</v>
      </c>
      <c r="AM177" s="22" t="str">
        <f t="shared" si="94"/>
        <v>0.015888534839206+0.177551750594232i</v>
      </c>
      <c r="AN177" s="22" t="str">
        <f t="shared" si="95"/>
        <v>0.1784981135898i</v>
      </c>
      <c r="AO177" s="22" t="str">
        <f t="shared" si="96"/>
        <v>0.994698190493246-0.0890123403529006i</v>
      </c>
      <c r="AP177" s="22" t="str">
        <f t="shared" si="97"/>
        <v>0.164018577526799-0.029591958432372i</v>
      </c>
      <c r="AQ177" s="22" t="str">
        <f t="shared" si="98"/>
        <v>0.835981422473201+0.029591958432372i</v>
      </c>
      <c r="AR177" s="22" t="str">
        <f t="shared" si="99"/>
        <v>0.995186648174161-0.0352274836898848i</v>
      </c>
    </row>
    <row r="178" spans="7:44">
      <c r="G178" s="257">
        <v>10000</v>
      </c>
      <c r="H178" s="256">
        <f t="shared" si="91"/>
        <v>10</v>
      </c>
      <c r="I178" s="298">
        <f t="shared" si="69"/>
        <v>9.80750507187409</v>
      </c>
      <c r="J178" s="299">
        <f t="shared" si="70"/>
        <v>1.46865609004308</v>
      </c>
      <c r="K178" s="299">
        <f t="shared" si="71"/>
        <v>1.00001459901223</v>
      </c>
      <c r="L178" s="300">
        <f t="shared" si="72"/>
        <v>0.00540348676764598</v>
      </c>
      <c r="M178" s="299">
        <f t="shared" si="73"/>
        <v>1.00062822483263</v>
      </c>
      <c r="N178" s="300">
        <f t="shared" si="74"/>
        <v>-0.0354371590324052</v>
      </c>
      <c r="O178" s="298">
        <f t="shared" si="75"/>
        <v>18095.5736916311</v>
      </c>
      <c r="P178" s="301">
        <f t="shared" si="76"/>
        <v>1.57074106466187</v>
      </c>
      <c r="Q178" s="320">
        <f t="shared" si="103"/>
        <v>7.60584783047597</v>
      </c>
      <c r="R178" s="321">
        <f t="shared" si="104"/>
        <v>1.43893677148458</v>
      </c>
      <c r="S178" s="298">
        <f t="shared" si="79"/>
        <v>1.00126251239168</v>
      </c>
      <c r="T178" s="301">
        <f t="shared" si="80"/>
        <v>0.0502232125584352</v>
      </c>
      <c r="U178" s="316">
        <f t="shared" si="92"/>
        <v>0.994430225764721</v>
      </c>
      <c r="V178" s="317">
        <f t="shared" si="93"/>
        <v>-0.125341733263099</v>
      </c>
      <c r="W178" s="318">
        <f t="shared" si="81"/>
        <v>9.45060074747904</v>
      </c>
      <c r="X178" s="319">
        <f t="shared" si="82"/>
        <v>-103.479558444727</v>
      </c>
      <c r="Y178" s="332">
        <f t="shared" si="83"/>
        <v>76.5204415552731</v>
      </c>
      <c r="AA178" s="22">
        <f t="shared" si="84"/>
        <v>1000000000</v>
      </c>
      <c r="AB178" s="22">
        <f t="shared" si="85"/>
        <v>100000000</v>
      </c>
      <c r="AD178" s="331">
        <f t="shared" si="86"/>
        <v>27.6689960614653</v>
      </c>
      <c r="AE178" s="332">
        <f t="shared" si="87"/>
        <v>-10.4294078458679</v>
      </c>
      <c r="AG178" s="331">
        <f t="shared" si="88"/>
        <v>7.26657499229927</v>
      </c>
      <c r="AH178" s="332">
        <f t="shared" si="89"/>
        <v>-78.6870459567867</v>
      </c>
      <c r="AJ178" s="22">
        <f t="shared" si="90"/>
        <v>0</v>
      </c>
      <c r="AK178" s="22">
        <f t="shared" si="102"/>
        <v>0</v>
      </c>
      <c r="AM178" s="22" t="str">
        <f t="shared" si="94"/>
        <v>0.016070411364743+0.178556894596802i</v>
      </c>
      <c r="AN178" s="22" t="str">
        <f t="shared" si="95"/>
        <v>0.17951958i</v>
      </c>
      <c r="AO178" s="22" t="str">
        <f t="shared" si="96"/>
        <v>0.994637435074224-0.0895189893199561i</v>
      </c>
      <c r="AP178" s="22" t="str">
        <f t="shared" si="97"/>
        <v>0.163988264772543-0.0297594824328003i</v>
      </c>
      <c r="AQ178" s="22" t="str">
        <f t="shared" si="98"/>
        <v>0.836011735227457+0.0297594824328003i</v>
      </c>
      <c r="AR178" s="22" t="str">
        <f t="shared" si="99"/>
        <v>0.995136515122236-0.0354238420253286i</v>
      </c>
    </row>
    <row r="179" spans="7:44">
      <c r="G179" s="257">
        <v>10058.25</v>
      </c>
      <c r="H179" s="256">
        <f t="shared" si="91"/>
        <v>10.05825</v>
      </c>
      <c r="I179" s="298">
        <f t="shared" si="69"/>
        <v>9.8640415580447</v>
      </c>
      <c r="J179" s="299">
        <f t="shared" si="70"/>
        <v>1.46924354110737</v>
      </c>
      <c r="K179" s="299">
        <f t="shared" si="71"/>
        <v>1.00001476958482</v>
      </c>
      <c r="L179" s="300">
        <f t="shared" si="72"/>
        <v>0.00543496146003719</v>
      </c>
      <c r="M179" s="299">
        <f t="shared" si="73"/>
        <v>1.0006355626369</v>
      </c>
      <c r="N179" s="300">
        <f t="shared" si="74"/>
        <v>-0.0356434062012075</v>
      </c>
      <c r="O179" s="298">
        <f t="shared" si="75"/>
        <v>18200.9804080638</v>
      </c>
      <c r="P179" s="301">
        <f t="shared" si="76"/>
        <v>1.57074138469958</v>
      </c>
      <c r="Q179" s="320">
        <f t="shared" si="103"/>
        <v>7.64938821553729</v>
      </c>
      <c r="R179" s="321">
        <f t="shared" si="104"/>
        <v>1.43969165988164</v>
      </c>
      <c r="S179" s="298">
        <f t="shared" si="79"/>
        <v>1.00127725409037</v>
      </c>
      <c r="T179" s="301">
        <f t="shared" si="80"/>
        <v>0.0505152667771102</v>
      </c>
      <c r="U179" s="316">
        <f t="shared" si="92"/>
        <v>0.994370270453979</v>
      </c>
      <c r="V179" s="317">
        <f t="shared" si="93"/>
        <v>-0.126068088779639</v>
      </c>
      <c r="W179" s="318">
        <f t="shared" si="81"/>
        <v>9.3992201911416</v>
      </c>
      <c r="X179" s="319">
        <f t="shared" si="82"/>
        <v>-103.53834763402</v>
      </c>
      <c r="Y179" s="332">
        <f t="shared" si="83"/>
        <v>76.4616523659803</v>
      </c>
      <c r="AA179" s="22">
        <f t="shared" si="84"/>
        <v>1000000000</v>
      </c>
      <c r="AB179" s="22">
        <f t="shared" si="85"/>
        <v>101168393.0625</v>
      </c>
      <c r="AD179" s="331">
        <f t="shared" si="86"/>
        <v>27.6680010646046</v>
      </c>
      <c r="AE179" s="332">
        <f t="shared" si="87"/>
        <v>-10.4029077376114</v>
      </c>
      <c r="AG179" s="331">
        <f t="shared" si="88"/>
        <v>7.21723682840288</v>
      </c>
      <c r="AH179" s="332">
        <f t="shared" si="89"/>
        <v>-78.6891010431929</v>
      </c>
      <c r="AJ179" s="22">
        <f t="shared" si="90"/>
        <v>0</v>
      </c>
      <c r="AK179" s="22">
        <f t="shared" si="102"/>
        <v>0</v>
      </c>
      <c r="AM179" s="22" t="str">
        <f t="shared" si="94"/>
        <v>0.016257666512171+0.179585693483422i</v>
      </c>
      <c r="AN179" s="22" t="str">
        <f t="shared" si="95"/>
        <v>0.1805652815535i</v>
      </c>
      <c r="AO179" s="22" t="str">
        <f t="shared" si="96"/>
        <v>0.994574881385557-0.090037610620921i</v>
      </c>
      <c r="AP179" s="22" t="str">
        <f t="shared" si="97"/>
        <v>0.163957055581305-0.0299309489139037i</v>
      </c>
      <c r="AQ179" s="22" t="str">
        <f t="shared" si="98"/>
        <v>0.836042944418695+0.0299309489139037i</v>
      </c>
      <c r="AR179" s="22" t="str">
        <f t="shared" si="99"/>
        <v>0.995084908563647-0.0356247675577526i</v>
      </c>
    </row>
    <row r="180" spans="7:44">
      <c r="G180" s="257">
        <v>10116.5</v>
      </c>
      <c r="H180" s="256">
        <f t="shared" si="91"/>
        <v>10.1165</v>
      </c>
      <c r="I180" s="298">
        <f t="shared" si="69"/>
        <v>9.92058140948412</v>
      </c>
      <c r="J180" s="299">
        <f t="shared" si="70"/>
        <v>1.46982429631185</v>
      </c>
      <c r="K180" s="299">
        <f t="shared" si="71"/>
        <v>1.00001494114807</v>
      </c>
      <c r="L180" s="300">
        <f t="shared" si="72"/>
        <v>0.00546643614165993</v>
      </c>
      <c r="M180" s="299">
        <f t="shared" si="73"/>
        <v>1.00064294300549</v>
      </c>
      <c r="N180" s="300">
        <f t="shared" si="74"/>
        <v>-0.0358496503363787</v>
      </c>
      <c r="O180" s="298">
        <f t="shared" si="75"/>
        <v>18306.3871244985</v>
      </c>
      <c r="P180" s="301">
        <f t="shared" si="76"/>
        <v>1.57074170105178</v>
      </c>
      <c r="Q180" s="320">
        <f t="shared" si="103"/>
        <v>7.69293291030804</v>
      </c>
      <c r="R180" s="321">
        <f t="shared" si="104"/>
        <v>1.44043800283454</v>
      </c>
      <c r="S180" s="298">
        <f t="shared" si="79"/>
        <v>1.00129208119115</v>
      </c>
      <c r="T180" s="301">
        <f t="shared" si="80"/>
        <v>0.050807312371236</v>
      </c>
      <c r="U180" s="316">
        <f t="shared" si="92"/>
        <v>0.994309977266852</v>
      </c>
      <c r="V180" s="317">
        <f t="shared" si="93"/>
        <v>-0.126794379331926</v>
      </c>
      <c r="W180" s="318">
        <f t="shared" si="81"/>
        <v>9.34813345469664</v>
      </c>
      <c r="X180" s="319">
        <f t="shared" si="82"/>
        <v>-103.597238196001</v>
      </c>
      <c r="Y180" s="332">
        <f t="shared" si="83"/>
        <v>76.4027618039994</v>
      </c>
      <c r="AA180" s="22">
        <f t="shared" si="84"/>
        <v>1000000000</v>
      </c>
      <c r="AB180" s="22">
        <f t="shared" si="85"/>
        <v>102343572.25</v>
      </c>
      <c r="AD180" s="331">
        <f t="shared" si="86"/>
        <v>27.6670200952404</v>
      </c>
      <c r="AE180" s="332">
        <f t="shared" si="87"/>
        <v>-10.3768965419258</v>
      </c>
      <c r="AG180" s="331">
        <f t="shared" si="88"/>
        <v>7.16818442315853</v>
      </c>
      <c r="AH180" s="332">
        <f t="shared" si="89"/>
        <v>-78.6907760340717</v>
      </c>
      <c r="AJ180" s="22">
        <f t="shared" si="90"/>
        <v>0</v>
      </c>
      <c r="AK180" s="22">
        <f t="shared" si="102"/>
        <v>0</v>
      </c>
      <c r="AM180" s="22" t="str">
        <f t="shared" si="94"/>
        <v>0.016445997373617+0.180614295994587i</v>
      </c>
      <c r="AN180" s="22" t="str">
        <f t="shared" si="95"/>
        <v>0.181610983107i</v>
      </c>
      <c r="AO180" s="22" t="str">
        <f t="shared" si="96"/>
        <v>0.994511966757948-0.0905561827388352i</v>
      </c>
      <c r="AP180" s="22" t="str">
        <f t="shared" si="97"/>
        <v>0.163925667104397-0.0301023826657645i</v>
      </c>
      <c r="AQ180" s="22" t="str">
        <f t="shared" si="98"/>
        <v>0.836074332895603+0.0301023826657645i</v>
      </c>
      <c r="AR180" s="22" t="str">
        <f t="shared" si="99"/>
        <v>0.995033014827645-0.0358255999483615i</v>
      </c>
    </row>
    <row r="181" spans="7:44">
      <c r="G181" s="257">
        <v>10174.75</v>
      </c>
      <c r="H181" s="256">
        <f t="shared" si="91"/>
        <v>10.17475</v>
      </c>
      <c r="I181" s="298">
        <f t="shared" si="69"/>
        <v>9.97712456897994</v>
      </c>
      <c r="J181" s="299">
        <f t="shared" si="70"/>
        <v>1.47039846910333</v>
      </c>
      <c r="K181" s="299">
        <f t="shared" si="71"/>
        <v>1.000015113702</v>
      </c>
      <c r="L181" s="300">
        <f t="shared" si="72"/>
        <v>0.00549791081245185</v>
      </c>
      <c r="M181" s="299">
        <f t="shared" si="73"/>
        <v>1.00065036593743</v>
      </c>
      <c r="N181" s="300">
        <f t="shared" si="74"/>
        <v>-0.0360558914204403</v>
      </c>
      <c r="O181" s="298">
        <f t="shared" si="75"/>
        <v>18411.7938409349</v>
      </c>
      <c r="P181" s="301">
        <f t="shared" si="76"/>
        <v>1.57074201378177</v>
      </c>
      <c r="Q181" s="320">
        <f t="shared" si="103"/>
        <v>7.7364818420168</v>
      </c>
      <c r="R181" s="321">
        <f t="shared" si="104"/>
        <v>1.44117594381255</v>
      </c>
      <c r="S181" s="298">
        <f t="shared" si="79"/>
        <v>1.00130699369023</v>
      </c>
      <c r="T181" s="301">
        <f t="shared" si="80"/>
        <v>0.0510993492913793</v>
      </c>
      <c r="U181" s="316">
        <f t="shared" si="92"/>
        <v>0.994249346380095</v>
      </c>
      <c r="V181" s="317">
        <f t="shared" si="93"/>
        <v>-0.127520604559577</v>
      </c>
      <c r="W181" s="318">
        <f t="shared" si="81"/>
        <v>9.29733706353902</v>
      </c>
      <c r="X181" s="319">
        <f t="shared" si="82"/>
        <v>-103.656228389657</v>
      </c>
      <c r="Y181" s="332">
        <f t="shared" si="83"/>
        <v>76.3437716103426</v>
      </c>
      <c r="AA181" s="22">
        <f t="shared" si="84"/>
        <v>1000000000</v>
      </c>
      <c r="AB181" s="22">
        <f t="shared" si="85"/>
        <v>103525537.5625</v>
      </c>
      <c r="AD181" s="331">
        <f t="shared" si="86"/>
        <v>27.6660528209698</v>
      </c>
      <c r="AE181" s="332">
        <f t="shared" si="87"/>
        <v>-10.3513660394223</v>
      </c>
      <c r="AG181" s="331">
        <f t="shared" si="88"/>
        <v>7.11941463235741</v>
      </c>
      <c r="AH181" s="332">
        <f t="shared" si="89"/>
        <v>-78.6920774490969</v>
      </c>
      <c r="AJ181" s="22">
        <f t="shared" si="90"/>
        <v>0</v>
      </c>
      <c r="AK181" s="22">
        <f t="shared" si="102"/>
        <v>0</v>
      </c>
      <c r="AM181" s="22" t="str">
        <f t="shared" si="94"/>
        <v>0.016635403743141+0.18164270100553i</v>
      </c>
      <c r="AN181" s="22" t="str">
        <f t="shared" si="95"/>
        <v>0.1826566846605i</v>
      </c>
      <c r="AO181" s="22" t="str">
        <f t="shared" si="96"/>
        <v>0.994448691232655-0.0910747053909407i</v>
      </c>
      <c r="AP181" s="22" t="str">
        <f t="shared" si="97"/>
        <v>0.163894099376143-0.0302737835009217i</v>
      </c>
      <c r="AQ181" s="22" t="str">
        <f t="shared" si="98"/>
        <v>0.836105900623857+0.0302737835009217i</v>
      </c>
      <c r="AR181" s="22" t="str">
        <f t="shared" si="99"/>
        <v>0.994980834127974-0.0360263386940356i</v>
      </c>
    </row>
    <row r="182" spans="7:44">
      <c r="G182" s="257">
        <v>10233</v>
      </c>
      <c r="H182" s="256">
        <f t="shared" si="91"/>
        <v>10.233</v>
      </c>
      <c r="I182" s="298">
        <f t="shared" si="69"/>
        <v>10.0336709806061</v>
      </c>
      <c r="J182" s="299">
        <f t="shared" si="70"/>
        <v>1.47096617038883</v>
      </c>
      <c r="K182" s="299">
        <f t="shared" si="71"/>
        <v>1.0000152872466</v>
      </c>
      <c r="L182" s="300">
        <f t="shared" si="72"/>
        <v>0.00552938547235061</v>
      </c>
      <c r="M182" s="299">
        <f t="shared" si="73"/>
        <v>1.00065783143179</v>
      </c>
      <c r="N182" s="300">
        <f t="shared" si="74"/>
        <v>-0.0362621294359153</v>
      </c>
      <c r="O182" s="298">
        <f t="shared" si="75"/>
        <v>18517.2005573731</v>
      </c>
      <c r="P182" s="301">
        <f t="shared" si="76"/>
        <v>1.57074232295142</v>
      </c>
      <c r="Q182" s="320">
        <f t="shared" si="103"/>
        <v>7.78003493951447</v>
      </c>
      <c r="R182" s="321">
        <f t="shared" si="104"/>
        <v>1.44190562310939</v>
      </c>
      <c r="S182" s="298">
        <f t="shared" si="79"/>
        <v>1.00132199158379</v>
      </c>
      <c r="T182" s="301">
        <f t="shared" si="80"/>
        <v>0.0513913774881157</v>
      </c>
      <c r="U182" s="316">
        <f t="shared" si="92"/>
        <v>0.994188377971383</v>
      </c>
      <c r="V182" s="317">
        <f t="shared" si="93"/>
        <v>-0.128246764102496</v>
      </c>
      <c r="W182" s="318">
        <f t="shared" si="81"/>
        <v>9.24682760396217</v>
      </c>
      <c r="X182" s="319">
        <f t="shared" si="82"/>
        <v>-103.71531651034</v>
      </c>
      <c r="Y182" s="332">
        <f t="shared" si="83"/>
        <v>76.2846834896604</v>
      </c>
      <c r="AA182" s="22">
        <f t="shared" si="84"/>
        <v>1000000000</v>
      </c>
      <c r="AB182" s="22">
        <f t="shared" si="85"/>
        <v>104714289</v>
      </c>
      <c r="AD182" s="331">
        <f t="shared" si="86"/>
        <v>27.6650989186688</v>
      </c>
      <c r="AE182" s="332">
        <f t="shared" si="87"/>
        <v>-10.3263081925743</v>
      </c>
      <c r="AG182" s="331">
        <f t="shared" si="88"/>
        <v>7.0709243633994</v>
      </c>
      <c r="AH182" s="332">
        <f t="shared" si="89"/>
        <v>-78.6930116624069</v>
      </c>
      <c r="AJ182" s="22">
        <f t="shared" si="90"/>
        <v>0</v>
      </c>
      <c r="AK182" s="22">
        <f t="shared" si="102"/>
        <v>0</v>
      </c>
      <c r="AM182" s="22" t="str">
        <f t="shared" si="94"/>
        <v>0.0168258854136299+0.182670907391698i</v>
      </c>
      <c r="AN182" s="22" t="str">
        <f t="shared" si="95"/>
        <v>0.183702386214i</v>
      </c>
      <c r="AO182" s="22" t="str">
        <f t="shared" si="96"/>
        <v>0.994385054851163-0.0915931782945321i</v>
      </c>
      <c r="AP182" s="22" t="str">
        <f t="shared" si="97"/>
        <v>0.163862352431062-0.0304451512319497i</v>
      </c>
      <c r="AQ182" s="22" t="str">
        <f t="shared" si="98"/>
        <v>0.836137647568938+0.0304451512319497i</v>
      </c>
      <c r="AR182" s="22" t="str">
        <f t="shared" si="99"/>
        <v>0.994928366679484-0.0362269832922649i</v>
      </c>
    </row>
    <row r="183" spans="7:44">
      <c r="G183" s="257">
        <v>10292.5</v>
      </c>
      <c r="H183" s="256">
        <f t="shared" si="91"/>
        <v>10.2925</v>
      </c>
      <c r="I183" s="298">
        <f t="shared" si="69"/>
        <v>10.0914341352581</v>
      </c>
      <c r="J183" s="299">
        <f t="shared" si="70"/>
        <v>1.47153948553947</v>
      </c>
      <c r="K183" s="299">
        <f t="shared" si="71"/>
        <v>1.00001546553811</v>
      </c>
      <c r="L183" s="300">
        <f t="shared" si="72"/>
        <v>0.00556153554282445</v>
      </c>
      <c r="M183" s="299">
        <f t="shared" si="73"/>
        <v>1.00066550107115</v>
      </c>
      <c r="N183" s="300">
        <f t="shared" si="74"/>
        <v>-0.0364727899736385</v>
      </c>
      <c r="O183" s="298">
        <f t="shared" si="75"/>
        <v>18624.8692205178</v>
      </c>
      <c r="P183" s="301">
        <f t="shared" si="76"/>
        <v>1.5707426351427</v>
      </c>
      <c r="Q183" s="320">
        <f t="shared" si="103"/>
        <v>7.82452688134614</v>
      </c>
      <c r="R183" s="321">
        <f t="shared" si="104"/>
        <v>1.44264257389245</v>
      </c>
      <c r="S183" s="298">
        <f t="shared" si="79"/>
        <v>1.00133739947947</v>
      </c>
      <c r="T183" s="301">
        <f t="shared" si="80"/>
        <v>0.0516896633267586</v>
      </c>
      <c r="U183" s="316">
        <f t="shared" si="92"/>
        <v>0.994125752949339</v>
      </c>
      <c r="V183" s="317">
        <f t="shared" si="93"/>
        <v>-0.128988438279892</v>
      </c>
      <c r="W183" s="318">
        <f t="shared" si="81"/>
        <v>9.195526996632</v>
      </c>
      <c r="X183" s="319">
        <f t="shared" si="82"/>
        <v>-103.77577198269</v>
      </c>
      <c r="Y183" s="332">
        <f t="shared" si="83"/>
        <v>76.2242280173105</v>
      </c>
      <c r="AA183" s="22">
        <f t="shared" si="84"/>
        <v>1000000000</v>
      </c>
      <c r="AB183" s="22">
        <f t="shared" si="85"/>
        <v>105935556.25</v>
      </c>
      <c r="AD183" s="331">
        <f t="shared" si="86"/>
        <v>27.6641380252298</v>
      </c>
      <c r="AE183" s="332">
        <f t="shared" si="87"/>
        <v>-10.3011924298527</v>
      </c>
      <c r="AG183" s="331">
        <f t="shared" si="88"/>
        <v>7.0216789515037</v>
      </c>
      <c r="AH183" s="332">
        <f t="shared" si="89"/>
        <v>-78.6935932971038</v>
      </c>
      <c r="AJ183" s="22">
        <f t="shared" si="90"/>
        <v>0</v>
      </c>
      <c r="AK183" s="22">
        <f t="shared" si="102"/>
        <v>0</v>
      </c>
      <c r="AM183" s="22" t="str">
        <f t="shared" si="94"/>
        <v>0.01702156461827+0.183720972059494i</v>
      </c>
      <c r="AN183" s="22" t="str">
        <f t="shared" si="95"/>
        <v>0.184770527715i</v>
      </c>
      <c r="AO183" s="22" t="str">
        <f t="shared" si="96"/>
        <v>0.994319680370644-0.0921227255708496i</v>
      </c>
      <c r="AP183" s="22" t="str">
        <f t="shared" si="97"/>
        <v>0.163829739230288-0.0306201620099157i</v>
      </c>
      <c r="AQ183" s="22" t="str">
        <f t="shared" si="98"/>
        <v>0.836170260769712+0.0306201620099157i</v>
      </c>
      <c r="AR183" s="22" t="str">
        <f t="shared" si="99"/>
        <v>0.994874477499686-0.0364318358470781i</v>
      </c>
    </row>
    <row r="184" spans="7:44">
      <c r="G184" s="257">
        <v>10352</v>
      </c>
      <c r="H184" s="256">
        <f t="shared" si="91"/>
        <v>10.352</v>
      </c>
      <c r="I184" s="298">
        <f t="shared" si="69"/>
        <v>10.1492005691094</v>
      </c>
      <c r="J184" s="299">
        <f t="shared" si="70"/>
        <v>1.4721062745731</v>
      </c>
      <c r="K184" s="299">
        <f t="shared" si="71"/>
        <v>1.00001564486327</v>
      </c>
      <c r="L184" s="300">
        <f t="shared" si="72"/>
        <v>0.00559368560180108</v>
      </c>
      <c r="M184" s="299">
        <f t="shared" si="73"/>
        <v>1.00067321511723</v>
      </c>
      <c r="N184" s="300">
        <f t="shared" si="74"/>
        <v>-0.0366834472728064</v>
      </c>
      <c r="O184" s="298">
        <f t="shared" si="75"/>
        <v>18732.5378836643</v>
      </c>
      <c r="P184" s="301">
        <f t="shared" si="76"/>
        <v>1.57074294374522</v>
      </c>
      <c r="Q184" s="320">
        <f t="shared" si="103"/>
        <v>7.86902302459574</v>
      </c>
      <c r="R184" s="321">
        <f t="shared" si="104"/>
        <v>1.44337119075013</v>
      </c>
      <c r="S184" s="298">
        <f t="shared" si="79"/>
        <v>1.00135289646583</v>
      </c>
      <c r="T184" s="301">
        <f t="shared" si="80"/>
        <v>0.0519879399593675</v>
      </c>
      <c r="U184" s="316">
        <f t="shared" si="92"/>
        <v>0.994062776141724</v>
      </c>
      <c r="V184" s="317">
        <f t="shared" si="93"/>
        <v>-0.12973004316457</v>
      </c>
      <c r="W184" s="318">
        <f t="shared" si="81"/>
        <v>9.14451875590632</v>
      </c>
      <c r="X184" s="319">
        <f t="shared" si="82"/>
        <v>-103.836326146664</v>
      </c>
      <c r="Y184" s="332">
        <f t="shared" si="83"/>
        <v>76.1636738533355</v>
      </c>
      <c r="AA184" s="22">
        <f t="shared" si="84"/>
        <v>1000000000</v>
      </c>
      <c r="AB184" s="22">
        <f t="shared" si="85"/>
        <v>107163904</v>
      </c>
      <c r="AD184" s="331">
        <f t="shared" si="86"/>
        <v>27.6631904306024</v>
      </c>
      <c r="AE184" s="332">
        <f t="shared" si="87"/>
        <v>-10.2765534327952</v>
      </c>
      <c r="AG184" s="331">
        <f t="shared" si="88"/>
        <v>6.9727188239787</v>
      </c>
      <c r="AH184" s="332">
        <f t="shared" si="89"/>
        <v>-78.6938047981225</v>
      </c>
      <c r="AJ184" s="22">
        <f t="shared" si="90"/>
        <v>0</v>
      </c>
      <c r="AK184" s="22">
        <f t="shared" si="102"/>
        <v>0</v>
      </c>
      <c r="AM184" s="22" t="str">
        <f t="shared" si="94"/>
        <v>0.017218365328719+0.184770827115228i</v>
      </c>
      <c r="AN184" s="22" t="str">
        <f t="shared" si="95"/>
        <v>0.185838669216i</v>
      </c>
      <c r="AO184" s="22" t="str">
        <f t="shared" si="96"/>
        <v>0.994253929468625-0.0926522203444436i</v>
      </c>
      <c r="AP184" s="22" t="str">
        <f t="shared" si="97"/>
        <v>0.16379693911188-0.030795137852538i</v>
      </c>
      <c r="AQ184" s="22" t="str">
        <f t="shared" si="98"/>
        <v>0.83620306088812+0.030795137852538i</v>
      </c>
      <c r="AR184" s="22" t="str">
        <f t="shared" si="99"/>
        <v>0.994820289588887-0.0366365891125223i</v>
      </c>
    </row>
    <row r="185" spans="7:44">
      <c r="G185" s="257">
        <v>10411.5</v>
      </c>
      <c r="H185" s="256">
        <f t="shared" si="91"/>
        <v>10.4115</v>
      </c>
      <c r="I185" s="298">
        <f t="shared" si="69"/>
        <v>10.206970226484</v>
      </c>
      <c r="J185" s="299">
        <f t="shared" si="70"/>
        <v>1.47266664793243</v>
      </c>
      <c r="K185" s="299">
        <f t="shared" si="71"/>
        <v>1.00001582522207</v>
      </c>
      <c r="L185" s="300">
        <f t="shared" si="72"/>
        <v>0.00562583564921402</v>
      </c>
      <c r="M185" s="299">
        <f t="shared" si="73"/>
        <v>1.00068097356899</v>
      </c>
      <c r="N185" s="300">
        <f t="shared" si="74"/>
        <v>-0.0368941013147978</v>
      </c>
      <c r="O185" s="298">
        <f t="shared" si="75"/>
        <v>18840.2065468126</v>
      </c>
      <c r="P185" s="301">
        <f t="shared" si="76"/>
        <v>1.57074324882051</v>
      </c>
      <c r="Q185" s="320">
        <f t="shared" si="103"/>
        <v>7.91352329839209</v>
      </c>
      <c r="R185" s="321">
        <f t="shared" si="104"/>
        <v>1.44409161349521</v>
      </c>
      <c r="S185" s="298">
        <f t="shared" si="79"/>
        <v>1.00136848253875</v>
      </c>
      <c r="T185" s="301">
        <f t="shared" si="80"/>
        <v>0.0522862073332961</v>
      </c>
      <c r="U185" s="316">
        <f t="shared" si="92"/>
        <v>0.993999447740902</v>
      </c>
      <c r="V185" s="317">
        <f t="shared" si="93"/>
        <v>-0.130471578373625</v>
      </c>
      <c r="W185" s="318">
        <f t="shared" si="81"/>
        <v>9.09379943129204</v>
      </c>
      <c r="X185" s="319">
        <f t="shared" si="82"/>
        <v>-103.896977296991</v>
      </c>
      <c r="Y185" s="332">
        <f t="shared" si="83"/>
        <v>76.1030227030095</v>
      </c>
      <c r="AA185" s="22">
        <f t="shared" si="84"/>
        <v>1000000000</v>
      </c>
      <c r="AB185" s="22">
        <f t="shared" si="85"/>
        <v>108399332.25</v>
      </c>
      <c r="AD185" s="331">
        <f t="shared" si="86"/>
        <v>27.662255818441</v>
      </c>
      <c r="AE185" s="332">
        <f t="shared" si="87"/>
        <v>-10.252383191229</v>
      </c>
      <c r="AG185" s="331">
        <f t="shared" si="88"/>
        <v>6.92404084449237</v>
      </c>
      <c r="AH185" s="332">
        <f t="shared" si="89"/>
        <v>-78.6936525142399</v>
      </c>
      <c r="AJ185" s="22">
        <f t="shared" si="90"/>
        <v>0</v>
      </c>
      <c r="AK185" s="22">
        <f t="shared" si="102"/>
        <v>0</v>
      </c>
      <c r="AM185" s="22" t="str">
        <f t="shared" si="94"/>
        <v>0.017416287320443+0.185820471361091i</v>
      </c>
      <c r="AN185" s="22" t="str">
        <f t="shared" si="95"/>
        <v>0.186906810717i</v>
      </c>
      <c r="AO185" s="22" t="str">
        <f t="shared" si="96"/>
        <v>0.994187802190077-0.0931816623141326i</v>
      </c>
      <c r="AP185" s="22" t="str">
        <f t="shared" si="97"/>
        <v>0.16376395211326-0.0309700785601818i</v>
      </c>
      <c r="AQ185" s="22" t="str">
        <f t="shared" si="98"/>
        <v>0.83623604788674+0.0309700785601818i</v>
      </c>
      <c r="AR185" s="22" t="str">
        <f t="shared" si="99"/>
        <v>0.994765803179634-0.0368412425550307i</v>
      </c>
    </row>
    <row r="186" spans="7:44">
      <c r="G186" s="257">
        <v>10471</v>
      </c>
      <c r="H186" s="256">
        <f t="shared" si="91"/>
        <v>10.471</v>
      </c>
      <c r="I186" s="298">
        <f t="shared" si="69"/>
        <v>10.2647430529561</v>
      </c>
      <c r="J186" s="299">
        <f t="shared" si="70"/>
        <v>1.47322071359014</v>
      </c>
      <c r="K186" s="299">
        <f t="shared" si="71"/>
        <v>1.00001600661451</v>
      </c>
      <c r="L186" s="300">
        <f t="shared" si="72"/>
        <v>0.00565798568499683</v>
      </c>
      <c r="M186" s="299">
        <f t="shared" si="73"/>
        <v>1.00068877642541</v>
      </c>
      <c r="N186" s="300">
        <f t="shared" si="74"/>
        <v>-0.0371047520809929</v>
      </c>
      <c r="O186" s="298">
        <f t="shared" si="75"/>
        <v>18947.8752099626</v>
      </c>
      <c r="P186" s="301">
        <f t="shared" si="76"/>
        <v>1.57074355042871</v>
      </c>
      <c r="Q186" s="320">
        <f t="shared" si="103"/>
        <v>7.95802763344272</v>
      </c>
      <c r="R186" s="321">
        <f t="shared" si="104"/>
        <v>1.44480397884736</v>
      </c>
      <c r="S186" s="298">
        <f t="shared" si="79"/>
        <v>1.00138415769406</v>
      </c>
      <c r="T186" s="301">
        <f t="shared" si="80"/>
        <v>0.0525844653959083</v>
      </c>
      <c r="U186" s="316">
        <f t="shared" si="92"/>
        <v>0.993935767940265</v>
      </c>
      <c r="V186" s="317">
        <f t="shared" si="93"/>
        <v>-0.131213043524445</v>
      </c>
      <c r="W186" s="318">
        <f t="shared" si="81"/>
        <v>9.04336563261798</v>
      </c>
      <c r="X186" s="319">
        <f t="shared" si="82"/>
        <v>-103.957723764031</v>
      </c>
      <c r="Y186" s="332">
        <f t="shared" si="83"/>
        <v>76.0422762359687</v>
      </c>
      <c r="AA186" s="22">
        <f t="shared" si="84"/>
        <v>1000000000</v>
      </c>
      <c r="AB186" s="22">
        <f t="shared" si="85"/>
        <v>109641841</v>
      </c>
      <c r="AD186" s="331">
        <f t="shared" si="86"/>
        <v>27.6613338812226</v>
      </c>
      <c r="AE186" s="332">
        <f t="shared" si="87"/>
        <v>-10.2286738721226</v>
      </c>
      <c r="AG186" s="331">
        <f t="shared" si="88"/>
        <v>6.87564192819979</v>
      </c>
      <c r="AH186" s="332">
        <f t="shared" si="89"/>
        <v>-78.6931426526938</v>
      </c>
      <c r="AJ186" s="22">
        <f t="shared" si="90"/>
        <v>0</v>
      </c>
      <c r="AK186" s="22">
        <f t="shared" si="102"/>
        <v>0</v>
      </c>
      <c r="AM186" s="22" t="str">
        <f t="shared" si="94"/>
        <v>0.017615330367627+0.186869903599518i</v>
      </c>
      <c r="AN186" s="22" t="str">
        <f t="shared" si="95"/>
        <v>0.187974952218i</v>
      </c>
      <c r="AO186" s="22" t="str">
        <f t="shared" si="96"/>
        <v>0.994121298580247-0.0937110511787655i</v>
      </c>
      <c r="AP186" s="22" t="str">
        <f t="shared" si="97"/>
        <v>0.163730778272062-0.031144983933253i</v>
      </c>
      <c r="AQ186" s="22" t="str">
        <f t="shared" si="98"/>
        <v>0.836269221727938+0.031144983933253i</v>
      </c>
      <c r="AR186" s="22" t="str">
        <f t="shared" si="99"/>
        <v>0.994711018505673-0.0370457956417146i</v>
      </c>
    </row>
    <row r="187" spans="7:44">
      <c r="G187" s="257">
        <v>10532</v>
      </c>
      <c r="H187" s="256">
        <f t="shared" si="91"/>
        <v>10.532</v>
      </c>
      <c r="I187" s="298">
        <f t="shared" si="69"/>
        <v>10.3239755714874</v>
      </c>
      <c r="J187" s="299">
        <f t="shared" si="70"/>
        <v>1.47378230955929</v>
      </c>
      <c r="K187" s="299">
        <f t="shared" si="71"/>
        <v>1.00001619365293</v>
      </c>
      <c r="L187" s="300">
        <f t="shared" si="72"/>
        <v>0.00569094621374021</v>
      </c>
      <c r="M187" s="299">
        <f t="shared" si="73"/>
        <v>1.00069682208933</v>
      </c>
      <c r="N187" s="300">
        <f t="shared" si="74"/>
        <v>-0.0373207099505034</v>
      </c>
      <c r="O187" s="298">
        <f t="shared" si="75"/>
        <v>19058.2582091601</v>
      </c>
      <c r="P187" s="301">
        <f t="shared" si="76"/>
        <v>1.57074385610269</v>
      </c>
      <c r="Q187" s="320">
        <f t="shared" si="103"/>
        <v>8.00365807171924</v>
      </c>
      <c r="R187" s="321">
        <f t="shared" si="104"/>
        <v>1.44552607830227</v>
      </c>
      <c r="S187" s="298">
        <f t="shared" si="79"/>
        <v>1.00140032049634</v>
      </c>
      <c r="T187" s="301">
        <f t="shared" si="80"/>
        <v>0.0528902328478666</v>
      </c>
      <c r="U187" s="316">
        <f t="shared" si="92"/>
        <v>0.993870118170303</v>
      </c>
      <c r="V187" s="317">
        <f t="shared" si="93"/>
        <v>-0.131973127944044</v>
      </c>
      <c r="W187" s="318">
        <f t="shared" si="81"/>
        <v>8.99195332055158</v>
      </c>
      <c r="X187" s="319">
        <f t="shared" si="82"/>
        <v>-104.020098894715</v>
      </c>
      <c r="Y187" s="332">
        <f t="shared" si="83"/>
        <v>75.9799011052852</v>
      </c>
      <c r="AA187" s="22">
        <f t="shared" si="84"/>
        <v>1000000000</v>
      </c>
      <c r="AB187" s="22">
        <f t="shared" si="85"/>
        <v>110923024</v>
      </c>
      <c r="AD187" s="331">
        <f t="shared" si="86"/>
        <v>27.6604015472164</v>
      </c>
      <c r="AE187" s="332">
        <f t="shared" si="87"/>
        <v>-10.204837319279</v>
      </c>
      <c r="AG187" s="331">
        <f t="shared" si="88"/>
        <v>6.82630939951747</v>
      </c>
      <c r="AH187" s="332">
        <f t="shared" si="89"/>
        <v>-78.6922550774881</v>
      </c>
      <c r="AJ187" s="22">
        <f t="shared" si="90"/>
        <v>0</v>
      </c>
      <c r="AK187" s="22">
        <f t="shared" si="102"/>
        <v>0</v>
      </c>
      <c r="AM187" s="22" t="str">
        <f t="shared" si="94"/>
        <v>0.01782055487357+0.187945570767543i</v>
      </c>
      <c r="AN187" s="22" t="str">
        <f t="shared" si="95"/>
        <v>0.189070021656i</v>
      </c>
      <c r="AO187" s="22" t="str">
        <f t="shared" si="96"/>
        <v>0.994052727774566-0.0942537305358397i</v>
      </c>
      <c r="AP187" s="22" t="str">
        <f t="shared" si="97"/>
        <v>0.163696574187738-0.0313242617945905i</v>
      </c>
      <c r="AQ187" s="22" t="str">
        <f t="shared" si="98"/>
        <v>0.836303425812262+0.0313242617945905i</v>
      </c>
      <c r="AR187" s="22" t="str">
        <f t="shared" si="99"/>
        <v>0.994654543313033-0.0372554007890798i</v>
      </c>
    </row>
    <row r="188" spans="7:44">
      <c r="G188" s="257">
        <v>10593</v>
      </c>
      <c r="H188" s="256">
        <f t="shared" si="91"/>
        <v>10.593</v>
      </c>
      <c r="I188" s="298">
        <f t="shared" si="69"/>
        <v>10.3832113089476</v>
      </c>
      <c r="J188" s="299">
        <f t="shared" si="70"/>
        <v>1.47433749794413</v>
      </c>
      <c r="K188" s="299">
        <f t="shared" si="71"/>
        <v>1.00001638177776</v>
      </c>
      <c r="L188" s="300">
        <f t="shared" si="72"/>
        <v>0.00572390673011822</v>
      </c>
      <c r="M188" s="299">
        <f t="shared" si="73"/>
        <v>1.00070491442281</v>
      </c>
      <c r="N188" s="300">
        <f t="shared" si="74"/>
        <v>-0.0375366643373414</v>
      </c>
      <c r="O188" s="298">
        <f t="shared" si="75"/>
        <v>19168.6412083595</v>
      </c>
      <c r="P188" s="301">
        <f t="shared" si="76"/>
        <v>1.57074415825621</v>
      </c>
      <c r="Q188" s="320">
        <f t="shared" si="103"/>
        <v>8.04929263600674</v>
      </c>
      <c r="R188" s="321">
        <f t="shared" si="104"/>
        <v>1.44623999040173</v>
      </c>
      <c r="S188" s="298">
        <f t="shared" si="79"/>
        <v>1.00141657692025</v>
      </c>
      <c r="T188" s="301">
        <f t="shared" si="80"/>
        <v>0.0531959904011028</v>
      </c>
      <c r="U188" s="316">
        <f t="shared" si="92"/>
        <v>0.993804099474443</v>
      </c>
      <c r="V188" s="317">
        <f t="shared" si="93"/>
        <v>-0.132733137915077</v>
      </c>
      <c r="W188" s="318">
        <f t="shared" si="81"/>
        <v>8.94083408426795</v>
      </c>
      <c r="X188" s="319">
        <f t="shared" si="82"/>
        <v>-104.082570765488</v>
      </c>
      <c r="Y188" s="332">
        <f t="shared" si="83"/>
        <v>75.9174292345119</v>
      </c>
      <c r="AA188" s="22">
        <f t="shared" si="84"/>
        <v>1000000000</v>
      </c>
      <c r="AB188" s="22">
        <f t="shared" si="85"/>
        <v>112211649</v>
      </c>
      <c r="AD188" s="331">
        <f t="shared" si="86"/>
        <v>27.659481907875</v>
      </c>
      <c r="AE188" s="332">
        <f t="shared" si="87"/>
        <v>-10.1814690984857</v>
      </c>
      <c r="AG188" s="331">
        <f t="shared" si="88"/>
        <v>6.77726377660469</v>
      </c>
      <c r="AH188" s="332">
        <f t="shared" si="89"/>
        <v>-78.6910044414987</v>
      </c>
      <c r="AJ188" s="22">
        <f t="shared" si="90"/>
        <v>0</v>
      </c>
      <c r="AK188" s="22">
        <f t="shared" si="102"/>
        <v>0</v>
      </c>
      <c r="AM188" s="22" t="str">
        <f t="shared" si="94"/>
        <v>0.018026957186468+0.189021012555571i</v>
      </c>
      <c r="AN188" s="22" t="str">
        <f t="shared" si="95"/>
        <v>0.190165091094i</v>
      </c>
      <c r="AO188" s="22" t="str">
        <f t="shared" si="96"/>
        <v>0.993983761520859-0.0947963534356426i</v>
      </c>
      <c r="AP188" s="22" t="str">
        <f t="shared" si="97"/>
        <v>0.163662173802255-0.0315035020925952i</v>
      </c>
      <c r="AQ188" s="22" t="str">
        <f t="shared" si="98"/>
        <v>0.836337826197745+0.0315035020925952i</v>
      </c>
      <c r="AR188" s="22" t="str">
        <f t="shared" si="99"/>
        <v>0.994597755128974-0.0374648993247707i</v>
      </c>
    </row>
    <row r="189" spans="7:44">
      <c r="G189" s="257">
        <v>10654</v>
      </c>
      <c r="H189" s="256">
        <f t="shared" si="91"/>
        <v>10.654</v>
      </c>
      <c r="I189" s="298">
        <f t="shared" si="69"/>
        <v>10.4424502105576</v>
      </c>
      <c r="J189" s="299">
        <f t="shared" si="70"/>
        <v>1.47488638744807</v>
      </c>
      <c r="K189" s="299">
        <f t="shared" si="71"/>
        <v>1.000016570989</v>
      </c>
      <c r="L189" s="300">
        <f t="shared" si="72"/>
        <v>0.00575686723405924</v>
      </c>
      <c r="M189" s="299">
        <f t="shared" si="73"/>
        <v>1.0007130534247</v>
      </c>
      <c r="N189" s="300">
        <f t="shared" si="74"/>
        <v>-0.0377526152214488</v>
      </c>
      <c r="O189" s="298">
        <f t="shared" si="75"/>
        <v>19279.0242075605</v>
      </c>
      <c r="P189" s="301">
        <f t="shared" si="76"/>
        <v>1.57074445694974</v>
      </c>
      <c r="Q189" s="320">
        <f t="shared" si="103"/>
        <v>8.094931256525</v>
      </c>
      <c r="R189" s="321">
        <f t="shared" si="104"/>
        <v>1.44694585289091</v>
      </c>
      <c r="S189" s="298">
        <f t="shared" si="79"/>
        <v>1.00143292696123</v>
      </c>
      <c r="T189" s="301">
        <f t="shared" si="80"/>
        <v>0.0535017379989311</v>
      </c>
      <c r="U189" s="316">
        <f t="shared" si="92"/>
        <v>0.993737712064367</v>
      </c>
      <c r="V189" s="317">
        <f t="shared" si="93"/>
        <v>-0.133493073026252</v>
      </c>
      <c r="W189" s="318">
        <f t="shared" si="81"/>
        <v>8.89000445904197</v>
      </c>
      <c r="X189" s="319">
        <f t="shared" si="82"/>
        <v>-104.145137687887</v>
      </c>
      <c r="Y189" s="332">
        <f t="shared" si="83"/>
        <v>75.8548623121126</v>
      </c>
      <c r="AA189" s="22">
        <f t="shared" si="84"/>
        <v>1000000000</v>
      </c>
      <c r="AB189" s="22">
        <f t="shared" si="85"/>
        <v>113507716</v>
      </c>
      <c r="AD189" s="331">
        <f t="shared" si="86"/>
        <v>27.6585746588191</v>
      </c>
      <c r="AE189" s="332">
        <f t="shared" si="87"/>
        <v>-10.1585613177431</v>
      </c>
      <c r="AG189" s="331">
        <f t="shared" si="88"/>
        <v>6.72850189671024</v>
      </c>
      <c r="AH189" s="332">
        <f t="shared" si="89"/>
        <v>-78.6893969953926</v>
      </c>
      <c r="AJ189" s="22">
        <f t="shared" si="90"/>
        <v>0</v>
      </c>
      <c r="AK189" s="22">
        <f t="shared" si="102"/>
        <v>0</v>
      </c>
      <c r="AM189" s="22" t="str">
        <f t="shared" si="94"/>
        <v>0.018234537058809+0.190096227673957i</v>
      </c>
      <c r="AN189" s="22" t="str">
        <f t="shared" si="95"/>
        <v>0.191260160532i</v>
      </c>
      <c r="AO189" s="22" t="str">
        <f t="shared" si="96"/>
        <v>0.993914399868716-0.0953389195538093i</v>
      </c>
      <c r="AP189" s="22" t="str">
        <f t="shared" si="97"/>
        <v>0.163627577156865-0.0316827046123262i</v>
      </c>
      <c r="AQ189" s="22" t="str">
        <f t="shared" si="98"/>
        <v>0.836372422843135+0.0316827046123262i</v>
      </c>
      <c r="AR189" s="22" t="str">
        <f t="shared" si="99"/>
        <v>0.994540654209275-0.0376742906768124i</v>
      </c>
    </row>
    <row r="190" spans="7:44">
      <c r="G190" s="257">
        <v>10715</v>
      </c>
      <c r="H190" s="256">
        <f t="shared" si="91"/>
        <v>10.715</v>
      </c>
      <c r="I190" s="298">
        <f t="shared" si="69"/>
        <v>10.5016922227717</v>
      </c>
      <c r="J190" s="299">
        <f t="shared" si="70"/>
        <v>1.47542908433704</v>
      </c>
      <c r="K190" s="299">
        <f t="shared" si="71"/>
        <v>1.00001676128666</v>
      </c>
      <c r="L190" s="300">
        <f t="shared" si="72"/>
        <v>0.00578982772549167</v>
      </c>
      <c r="M190" s="299">
        <f t="shared" si="73"/>
        <v>1.00072123909387</v>
      </c>
      <c r="N190" s="300">
        <f t="shared" si="74"/>
        <v>-0.0379685625827698</v>
      </c>
      <c r="O190" s="298">
        <f t="shared" si="75"/>
        <v>19389.4072067633</v>
      </c>
      <c r="P190" s="301">
        <f t="shared" si="76"/>
        <v>1.57074475224237</v>
      </c>
      <c r="Q190" s="320">
        <f t="shared" si="103"/>
        <v>8.14057386505249</v>
      </c>
      <c r="R190" s="321">
        <f t="shared" si="104"/>
        <v>1.44764380045823</v>
      </c>
      <c r="S190" s="298">
        <f t="shared" si="79"/>
        <v>1.00144937061469</v>
      </c>
      <c r="T190" s="301">
        <f t="shared" si="80"/>
        <v>0.053807475584677</v>
      </c>
      <c r="U190" s="316">
        <f t="shared" si="92"/>
        <v>0.993670956152851</v>
      </c>
      <c r="V190" s="317">
        <f t="shared" si="93"/>
        <v>-0.134252932866612</v>
      </c>
      <c r="W190" s="318">
        <f t="shared" si="81"/>
        <v>8.83946104078433</v>
      </c>
      <c r="X190" s="319">
        <f t="shared" si="82"/>
        <v>-104.207798008871</v>
      </c>
      <c r="Y190" s="332">
        <f t="shared" si="83"/>
        <v>75.7922019911288</v>
      </c>
      <c r="AA190" s="22">
        <f t="shared" si="84"/>
        <v>1000000000</v>
      </c>
      <c r="AB190" s="22">
        <f t="shared" si="85"/>
        <v>114811225</v>
      </c>
      <c r="AD190" s="331">
        <f t="shared" si="86"/>
        <v>27.6576795041805</v>
      </c>
      <c r="AE190" s="332">
        <f t="shared" si="87"/>
        <v>-10.136106260112</v>
      </c>
      <c r="AG190" s="331">
        <f t="shared" si="88"/>
        <v>6.68002064919534</v>
      </c>
      <c r="AH190" s="332">
        <f t="shared" si="89"/>
        <v>-78.68743885016</v>
      </c>
      <c r="AJ190" s="22">
        <f t="shared" si="90"/>
        <v>0</v>
      </c>
      <c r="AK190" s="22">
        <f t="shared" si="102"/>
        <v>0</v>
      </c>
      <c r="AM190" s="22" t="str">
        <f t="shared" si="94"/>
        <v>0.018443294241667+0.191171214833327i</v>
      </c>
      <c r="AN190" s="22" t="str">
        <f t="shared" si="95"/>
        <v>0.19235522997i</v>
      </c>
      <c r="AO190" s="22" t="str">
        <f t="shared" si="96"/>
        <v>0.993844642868002-0.0958814285660101i</v>
      </c>
      <c r="AP190" s="22" t="str">
        <f t="shared" si="97"/>
        <v>0.163592784293055-0.0318618691388878i</v>
      </c>
      <c r="AQ190" s="22" t="str">
        <f t="shared" si="98"/>
        <v>0.836407215706945+0.0318618691388878i</v>
      </c>
      <c r="AR190" s="22" t="str">
        <f t="shared" si="99"/>
        <v>0.994483240811025-0.0378835742739932i</v>
      </c>
    </row>
    <row r="191" spans="7:44">
      <c r="G191" s="257">
        <v>10777.5</v>
      </c>
      <c r="H191" s="256">
        <f t="shared" si="91"/>
        <v>10.7775</v>
      </c>
      <c r="I191" s="298">
        <f t="shared" si="69"/>
        <v>10.5623941773263</v>
      </c>
      <c r="J191" s="299">
        <f t="shared" si="70"/>
        <v>1.47597881195633</v>
      </c>
      <c r="K191" s="299">
        <f t="shared" si="71"/>
        <v>1.00001695739058</v>
      </c>
      <c r="L191" s="300">
        <f t="shared" si="72"/>
        <v>0.00582359870776314</v>
      </c>
      <c r="M191" s="299">
        <f t="shared" si="73"/>
        <v>1.0007296744515</v>
      </c>
      <c r="N191" s="300">
        <f t="shared" si="74"/>
        <v>-0.0381898164503464</v>
      </c>
      <c r="O191" s="298">
        <f t="shared" si="75"/>
        <v>19502.5045420137</v>
      </c>
      <c r="P191" s="301">
        <f t="shared" si="76"/>
        <v>1.57074505132931</v>
      </c>
      <c r="Q191" s="320">
        <f t="shared" si="103"/>
        <v>8.1873428993756</v>
      </c>
      <c r="R191" s="321">
        <f t="shared" si="104"/>
        <v>1.4483508391268</v>
      </c>
      <c r="S191" s="298">
        <f t="shared" si="79"/>
        <v>1.00146631570916</v>
      </c>
      <c r="T191" s="301">
        <f t="shared" si="80"/>
        <v>0.0541207208641176</v>
      </c>
      <c r="U191" s="316">
        <f t="shared" si="92"/>
        <v>0.993602176721094</v>
      </c>
      <c r="V191" s="317">
        <f t="shared" si="93"/>
        <v>-0.135031399285688</v>
      </c>
      <c r="W191" s="318">
        <f t="shared" si="81"/>
        <v>8.78796810458669</v>
      </c>
      <c r="X191" s="319">
        <f t="shared" si="82"/>
        <v>-104.272094336999</v>
      </c>
      <c r="Y191" s="332">
        <f t="shared" si="83"/>
        <v>75.7279056630015</v>
      </c>
      <c r="AA191" s="22">
        <f t="shared" si="84"/>
        <v>1000000000</v>
      </c>
      <c r="AB191" s="22">
        <f t="shared" si="85"/>
        <v>116154506.25</v>
      </c>
      <c r="AD191" s="331">
        <f t="shared" si="86"/>
        <v>27.6567745809912</v>
      </c>
      <c r="AE191" s="332">
        <f t="shared" si="87"/>
        <v>-10.1135606973087</v>
      </c>
      <c r="AG191" s="331">
        <f t="shared" si="88"/>
        <v>6.63063510915146</v>
      </c>
      <c r="AH191" s="332">
        <f t="shared" si="89"/>
        <v>-78.6850750603776</v>
      </c>
      <c r="AJ191" s="22">
        <f t="shared" si="90"/>
        <v>0</v>
      </c>
      <c r="AK191" s="22">
        <f t="shared" si="102"/>
        <v>0</v>
      </c>
      <c r="AM191" s="22" t="str">
        <f t="shared" si="94"/>
        <v>0.018658405627943+0.192272398318918i</v>
      </c>
      <c r="AN191" s="22" t="str">
        <f t="shared" si="95"/>
        <v>0.193477227345i</v>
      </c>
      <c r="AO191" s="22" t="str">
        <f t="shared" si="96"/>
        <v>0.993772760533034-0.0964372183950732i</v>
      </c>
      <c r="AP191" s="22" t="str">
        <f t="shared" si="97"/>
        <v>0.163556932395343-0.0320453997198197i</v>
      </c>
      <c r="AQ191" s="22" t="str">
        <f t="shared" si="98"/>
        <v>0.836443067604657+0.0320453997198197i</v>
      </c>
      <c r="AR191" s="22" t="str">
        <f t="shared" si="99"/>
        <v>0.994424091779243-0.0380978918306323i</v>
      </c>
    </row>
    <row r="192" spans="7:44">
      <c r="G192" s="257">
        <v>10840</v>
      </c>
      <c r="H192" s="256">
        <f t="shared" si="91"/>
        <v>10.84</v>
      </c>
      <c r="I192" s="298">
        <f t="shared" si="69"/>
        <v>10.6230992873621</v>
      </c>
      <c r="J192" s="299">
        <f t="shared" si="70"/>
        <v>1.47652225696248</v>
      </c>
      <c r="K192" s="299">
        <f t="shared" si="71"/>
        <v>1.000017154635</v>
      </c>
      <c r="L192" s="300">
        <f t="shared" si="72"/>
        <v>0.00585736967675107</v>
      </c>
      <c r="M192" s="299">
        <f t="shared" si="73"/>
        <v>1.00073815879731</v>
      </c>
      <c r="N192" s="300">
        <f t="shared" si="74"/>
        <v>-0.0384110665771344</v>
      </c>
      <c r="O192" s="298">
        <f t="shared" si="75"/>
        <v>19615.6018772659</v>
      </c>
      <c r="P192" s="301">
        <f t="shared" si="76"/>
        <v>1.57074534696738</v>
      </c>
      <c r="Q192" s="320">
        <f t="shared" si="103"/>
        <v>8.23411598008594</v>
      </c>
      <c r="R192" s="321">
        <f t="shared" si="104"/>
        <v>1.44904984561517</v>
      </c>
      <c r="S192" s="298">
        <f t="shared" si="79"/>
        <v>1.0014833590668</v>
      </c>
      <c r="T192" s="301">
        <f t="shared" si="80"/>
        <v>0.0544339555126052</v>
      </c>
      <c r="U192" s="316">
        <f t="shared" si="92"/>
        <v>0.99353301089786</v>
      </c>
      <c r="V192" s="317">
        <f t="shared" si="93"/>
        <v>-0.135809785814237</v>
      </c>
      <c r="W192" s="318">
        <f t="shared" si="81"/>
        <v>8.73676857828095</v>
      </c>
      <c r="X192" s="319">
        <f t="shared" si="82"/>
        <v>-104.33648531026</v>
      </c>
      <c r="Y192" s="332">
        <f t="shared" si="83"/>
        <v>75.6635146897403</v>
      </c>
      <c r="AA192" s="22">
        <f t="shared" si="84"/>
        <v>1000000000</v>
      </c>
      <c r="AB192" s="22">
        <f t="shared" si="85"/>
        <v>117505600</v>
      </c>
      <c r="AD192" s="331">
        <f t="shared" si="86"/>
        <v>27.6558817516867</v>
      </c>
      <c r="AE192" s="332">
        <f t="shared" si="87"/>
        <v>-10.0914745378163</v>
      </c>
      <c r="AG192" s="331">
        <f t="shared" si="88"/>
        <v>6.58153772435278</v>
      </c>
      <c r="AH192" s="332">
        <f t="shared" si="89"/>
        <v>-78.6823556671972</v>
      </c>
      <c r="AJ192" s="22">
        <f t="shared" si="90"/>
        <v>0</v>
      </c>
      <c r="AK192" s="22">
        <f t="shared" si="102"/>
        <v>0</v>
      </c>
      <c r="AM192" s="22" t="str">
        <f t="shared" si="94"/>
        <v>0.018874752403539+0.19337333975702i</v>
      </c>
      <c r="AN192" s="22" t="str">
        <f t="shared" si="95"/>
        <v>0.19459922472i</v>
      </c>
      <c r="AO192" s="22" t="str">
        <f t="shared" si="96"/>
        <v>0.993700463273973-0.0969929475859784i</v>
      </c>
      <c r="AP192" s="22" t="str">
        <f t="shared" si="97"/>
        <v>0.16352087459941-0.0322288899595033i</v>
      </c>
      <c r="AQ192" s="22" t="str">
        <f t="shared" si="98"/>
        <v>0.83647912540059+0.0322288899595033i</v>
      </c>
      <c r="AR192" s="22" t="str">
        <f t="shared" si="99"/>
        <v>0.994364615262791-0.0383120950562644i</v>
      </c>
    </row>
    <row r="193" spans="7:44">
      <c r="G193" s="257">
        <v>10902.5</v>
      </c>
      <c r="H193" s="256">
        <f t="shared" si="91"/>
        <v>10.9025</v>
      </c>
      <c r="I193" s="298">
        <f t="shared" si="69"/>
        <v>10.6838074990909</v>
      </c>
      <c r="J193" s="299">
        <f t="shared" si="70"/>
        <v>1.47705952613011</v>
      </c>
      <c r="K193" s="299">
        <f t="shared" si="71"/>
        <v>1.00001735301991</v>
      </c>
      <c r="L193" s="300">
        <f t="shared" si="72"/>
        <v>0.00589114063237846</v>
      </c>
      <c r="M193" s="299">
        <f t="shared" si="73"/>
        <v>1.00074669213003</v>
      </c>
      <c r="N193" s="300">
        <f t="shared" si="74"/>
        <v>-0.0386323129415681</v>
      </c>
      <c r="O193" s="298">
        <f t="shared" si="75"/>
        <v>19728.6992125198</v>
      </c>
      <c r="P193" s="301">
        <f t="shared" si="76"/>
        <v>1.57074563921587</v>
      </c>
      <c r="Q193" s="320">
        <f t="shared" si="103"/>
        <v>8.28089303861773</v>
      </c>
      <c r="R193" s="321">
        <f t="shared" si="104"/>
        <v>1.4497409553508</v>
      </c>
      <c r="S193" s="298">
        <f t="shared" si="79"/>
        <v>1.00150050068256</v>
      </c>
      <c r="T193" s="301">
        <f t="shared" si="80"/>
        <v>0.0547471794692175</v>
      </c>
      <c r="U193" s="316">
        <f t="shared" si="92"/>
        <v>0.993463458915642</v>
      </c>
      <c r="V193" s="317">
        <f t="shared" si="93"/>
        <v>-0.136588092011358</v>
      </c>
      <c r="W193" s="318">
        <f t="shared" si="81"/>
        <v>8.68585898937077</v>
      </c>
      <c r="X193" s="319">
        <f t="shared" si="82"/>
        <v>-104.400969260381</v>
      </c>
      <c r="Y193" s="332">
        <f t="shared" si="83"/>
        <v>75.5990307396186</v>
      </c>
      <c r="AA193" s="22">
        <f t="shared" si="84"/>
        <v>1000000000</v>
      </c>
      <c r="AB193" s="22">
        <f t="shared" si="85"/>
        <v>118864506.25</v>
      </c>
      <c r="AD193" s="331">
        <f t="shared" si="86"/>
        <v>27.6550007240118</v>
      </c>
      <c r="AE193" s="332">
        <f t="shared" si="87"/>
        <v>-10.0698400221211</v>
      </c>
      <c r="AG193" s="331">
        <f t="shared" si="88"/>
        <v>6.53272531191504</v>
      </c>
      <c r="AH193" s="332">
        <f t="shared" si="89"/>
        <v>-78.6792868123846</v>
      </c>
      <c r="AJ193" s="22">
        <f t="shared" si="90"/>
        <v>0</v>
      </c>
      <c r="AK193" s="22">
        <f t="shared" si="102"/>
        <v>0</v>
      </c>
      <c r="AM193" s="22" t="str">
        <f t="shared" si="94"/>
        <v>0.019092334296103+0.194474037761684i</v>
      </c>
      <c r="AN193" s="22" t="str">
        <f t="shared" si="95"/>
        <v>0.195721222095i</v>
      </c>
      <c r="AO193" s="22" t="str">
        <f t="shared" si="96"/>
        <v>0.993627751145399-0.0975486157900439i</v>
      </c>
      <c r="AP193" s="22" t="str">
        <f t="shared" si="97"/>
        <v>0.16348461095065-0.0324123396269473i</v>
      </c>
      <c r="AQ193" s="22" t="str">
        <f t="shared" si="98"/>
        <v>0.83651538904935+0.0324123396269473i</v>
      </c>
      <c r="AR193" s="22" t="str">
        <f t="shared" si="99"/>
        <v>0.994304811542465-0.0385261833390144i</v>
      </c>
    </row>
    <row r="194" spans="7:44">
      <c r="G194" s="257">
        <v>10965</v>
      </c>
      <c r="H194" s="256">
        <f t="shared" si="91"/>
        <v>10.965</v>
      </c>
      <c r="I194" s="298">
        <f t="shared" si="69"/>
        <v>10.7445187599376</v>
      </c>
      <c r="J194" s="299">
        <f t="shared" si="70"/>
        <v>1.47759072383503</v>
      </c>
      <c r="K194" s="299">
        <f t="shared" si="71"/>
        <v>1.00001755254532</v>
      </c>
      <c r="L194" s="300">
        <f t="shared" si="72"/>
        <v>0.00592491157456827</v>
      </c>
      <c r="M194" s="299">
        <f t="shared" si="73"/>
        <v>1.00075527444842</v>
      </c>
      <c r="N194" s="300">
        <f t="shared" si="74"/>
        <v>-0.038853555522084</v>
      </c>
      <c r="O194" s="298">
        <f t="shared" si="75"/>
        <v>19841.7965477753</v>
      </c>
      <c r="P194" s="301">
        <f t="shared" si="76"/>
        <v>1.57074592813276</v>
      </c>
      <c r="Q194" s="320">
        <f t="shared" si="103"/>
        <v>8.32767400793997</v>
      </c>
      <c r="R194" s="321">
        <f t="shared" si="104"/>
        <v>1.45042430074864</v>
      </c>
      <c r="S194" s="298">
        <f t="shared" si="79"/>
        <v>1.00151774055142</v>
      </c>
      <c r="T194" s="301">
        <f t="shared" si="80"/>
        <v>0.0550603926730448</v>
      </c>
      <c r="U194" s="316">
        <f t="shared" si="92"/>
        <v>0.993393521008124</v>
      </c>
      <c r="V194" s="317">
        <f t="shared" si="93"/>
        <v>-0.137366317436518</v>
      </c>
      <c r="W194" s="318">
        <f t="shared" si="81"/>
        <v>8.63523592616073</v>
      </c>
      <c r="X194" s="319">
        <f t="shared" si="82"/>
        <v>-104.4655445542</v>
      </c>
      <c r="Y194" s="332">
        <f t="shared" si="83"/>
        <v>75.5344554458004</v>
      </c>
      <c r="AA194" s="22">
        <f t="shared" si="84"/>
        <v>1000000000</v>
      </c>
      <c r="AB194" s="22">
        <f t="shared" si="85"/>
        <v>120231225</v>
      </c>
      <c r="AD194" s="331">
        <f t="shared" si="86"/>
        <v>27.6541312138993</v>
      </c>
      <c r="AE194" s="332">
        <f t="shared" si="87"/>
        <v>-10.0486495632364</v>
      </c>
      <c r="AG194" s="331">
        <f t="shared" si="88"/>
        <v>6.48419474155378</v>
      </c>
      <c r="AH194" s="332">
        <f t="shared" si="89"/>
        <v>-78.6758745002427</v>
      </c>
      <c r="AJ194" s="22">
        <f t="shared" si="90"/>
        <v>0</v>
      </c>
      <c r="AK194" s="22">
        <f t="shared" si="102"/>
        <v>0</v>
      </c>
      <c r="AM194" s="22" t="str">
        <f t="shared" si="94"/>
        <v>0.019311151031726+0.195574490947264i</v>
      </c>
      <c r="AN194" s="22" t="str">
        <f t="shared" si="95"/>
        <v>0.19684321947i</v>
      </c>
      <c r="AO194" s="22" t="str">
        <f t="shared" si="96"/>
        <v>0.993554624202185-0.0981042226586277i</v>
      </c>
      <c r="AP194" s="22" t="str">
        <f t="shared" si="97"/>
        <v>0.163448141494712-0.0325957484912107i</v>
      </c>
      <c r="AQ194" s="22" t="str">
        <f t="shared" si="98"/>
        <v>0.836551858505288+0.0325957484912107i</v>
      </c>
      <c r="AR194" s="22" t="str">
        <f t="shared" si="99"/>
        <v>0.99424468090049-0.0387401560678638i</v>
      </c>
    </row>
    <row r="195" spans="7:44">
      <c r="G195" s="257">
        <v>11028.75</v>
      </c>
      <c r="H195" s="256">
        <f t="shared" si="91"/>
        <v>11.02875</v>
      </c>
      <c r="I195" s="298">
        <f t="shared" si="69"/>
        <v>10.8064473339071</v>
      </c>
      <c r="J195" s="299">
        <f t="shared" si="70"/>
        <v>1.47812639648761</v>
      </c>
      <c r="K195" s="299">
        <f t="shared" si="71"/>
        <v>1.00001775723618</v>
      </c>
      <c r="L195" s="300">
        <f t="shared" si="72"/>
        <v>0.0059593579216786</v>
      </c>
      <c r="M195" s="299">
        <f t="shared" si="73"/>
        <v>1.00076407887691</v>
      </c>
      <c r="N195" s="300">
        <f t="shared" si="74"/>
        <v>-0.0390792190336578</v>
      </c>
      <c r="O195" s="298">
        <f t="shared" si="75"/>
        <v>19957.1558297377</v>
      </c>
      <c r="P195" s="301">
        <f t="shared" si="76"/>
        <v>1.5707462194545</v>
      </c>
      <c r="Q195" s="320">
        <f t="shared" si="103"/>
        <v>8.37539455758437</v>
      </c>
      <c r="R195" s="321">
        <f t="shared" si="104"/>
        <v>1.45111344850388</v>
      </c>
      <c r="S195" s="298">
        <f t="shared" si="79"/>
        <v>1.00153542643273</v>
      </c>
      <c r="T195" s="301">
        <f t="shared" si="80"/>
        <v>0.055379859000275</v>
      </c>
      <c r="U195" s="316">
        <f t="shared" si="92"/>
        <v>0.993321787005833</v>
      </c>
      <c r="V195" s="317">
        <f t="shared" si="93"/>
        <v>-0.138160023702436</v>
      </c>
      <c r="W195" s="318">
        <f t="shared" si="81"/>
        <v>8.58389210419306</v>
      </c>
      <c r="X195" s="319">
        <f t="shared" si="82"/>
        <v>-104.53150379809</v>
      </c>
      <c r="Y195" s="332">
        <f t="shared" si="83"/>
        <v>75.4684962019103</v>
      </c>
      <c r="AA195" s="22">
        <f t="shared" si="84"/>
        <v>1000000000</v>
      </c>
      <c r="AB195" s="22">
        <f t="shared" si="85"/>
        <v>121633326.5625</v>
      </c>
      <c r="AD195" s="331">
        <f t="shared" si="86"/>
        <v>27.6532558926285</v>
      </c>
      <c r="AE195" s="332">
        <f t="shared" si="87"/>
        <v>-10.0274850691297</v>
      </c>
      <c r="AG195" s="331">
        <f t="shared" si="88"/>
        <v>6.43498072080168</v>
      </c>
      <c r="AH195" s="332">
        <f t="shared" si="89"/>
        <v>-78.6720461997158</v>
      </c>
      <c r="AJ195" s="22">
        <f t="shared" si="90"/>
        <v>0</v>
      </c>
      <c r="AK195" s="22">
        <f t="shared" si="102"/>
        <v>0</v>
      </c>
      <c r="AM195" s="22" t="str">
        <f t="shared" si="94"/>
        <v>0.0195356159516969+0.19669669954725i</v>
      </c>
      <c r="AN195" s="22" t="str">
        <f t="shared" si="95"/>
        <v>0.1979876567925i</v>
      </c>
      <c r="AO195" s="22" t="str">
        <f t="shared" si="96"/>
        <v>0.993479607435311-0.0986708781152509i</v>
      </c>
      <c r="AP195" s="22" t="str">
        <f t="shared" si="97"/>
        <v>0.163410730674717-0.032782783257875i</v>
      </c>
      <c r="AQ195" s="22" t="str">
        <f t="shared" si="98"/>
        <v>0.836589269325283+0.032782783257875i</v>
      </c>
      <c r="AR195" s="22" t="str">
        <f t="shared" si="99"/>
        <v>0.994183011145175-0.0389582885748936i</v>
      </c>
    </row>
    <row r="196" spans="7:44">
      <c r="G196" s="257">
        <v>11092.5</v>
      </c>
      <c r="H196" s="256">
        <f t="shared" si="91"/>
        <v>11.0925</v>
      </c>
      <c r="I196" s="298">
        <f t="shared" si="69"/>
        <v>10.8683789733965</v>
      </c>
      <c r="J196" s="299">
        <f t="shared" si="70"/>
        <v>1.4786559644087</v>
      </c>
      <c r="K196" s="299">
        <f t="shared" si="71"/>
        <v>1.00001796311361</v>
      </c>
      <c r="L196" s="300">
        <f t="shared" si="72"/>
        <v>0.00599380425464661</v>
      </c>
      <c r="M196" s="299">
        <f t="shared" si="73"/>
        <v>1.00077293426743</v>
      </c>
      <c r="N196" s="300">
        <f t="shared" si="74"/>
        <v>-0.0393048785631325</v>
      </c>
      <c r="O196" s="298">
        <f t="shared" si="75"/>
        <v>20072.5151117017</v>
      </c>
      <c r="P196" s="301">
        <f t="shared" si="76"/>
        <v>1.57074650742772</v>
      </c>
      <c r="Q196" s="320">
        <f t="shared" si="103"/>
        <v>8.42311903983832</v>
      </c>
      <c r="R196" s="321">
        <f t="shared" si="104"/>
        <v>1.45179478730623</v>
      </c>
      <c r="S196" s="298">
        <f t="shared" si="79"/>
        <v>1.00155321452586</v>
      </c>
      <c r="T196" s="301">
        <f t="shared" si="80"/>
        <v>0.0556993140123393</v>
      </c>
      <c r="U196" s="316">
        <f t="shared" si="92"/>
        <v>0.993249651981836</v>
      </c>
      <c r="V196" s="317">
        <f t="shared" si="93"/>
        <v>-0.138953645008588</v>
      </c>
      <c r="W196" s="318">
        <f t="shared" si="81"/>
        <v>8.5328394006934</v>
      </c>
      <c r="X196" s="319">
        <f t="shared" si="82"/>
        <v>-104.597554751323</v>
      </c>
      <c r="Y196" s="332">
        <f t="shared" si="83"/>
        <v>75.4024452486771</v>
      </c>
      <c r="AA196" s="22">
        <f t="shared" si="84"/>
        <v>1000000000</v>
      </c>
      <c r="AB196" s="22">
        <f t="shared" si="85"/>
        <v>123043556.25</v>
      </c>
      <c r="AD196" s="331">
        <f t="shared" si="86"/>
        <v>27.6523919820921</v>
      </c>
      <c r="AE196" s="332">
        <f t="shared" si="87"/>
        <v>-10.0067671548985</v>
      </c>
      <c r="AG196" s="331">
        <f t="shared" si="88"/>
        <v>6.38605351218514</v>
      </c>
      <c r="AH196" s="332">
        <f t="shared" si="89"/>
        <v>-78.6678727643279</v>
      </c>
      <c r="AJ196" s="22">
        <f t="shared" si="90"/>
        <v>0</v>
      </c>
      <c r="AK196" s="22">
        <f t="shared" si="102"/>
        <v>0</v>
      </c>
      <c r="AM196" s="22" t="str">
        <f t="shared" si="94"/>
        <v>0.019761365021798+0.197818650526361i</v>
      </c>
      <c r="AN196" s="22" t="str">
        <f t="shared" si="95"/>
        <v>0.199132094115i</v>
      </c>
      <c r="AO196" s="22" t="str">
        <f t="shared" si="96"/>
        <v>0.993404159211621-0.0992374690258904i</v>
      </c>
      <c r="AP196" s="22" t="str">
        <f t="shared" si="97"/>
        <v>0.1633731058297-0.0329697750877268i</v>
      </c>
      <c r="AQ196" s="22" t="str">
        <f t="shared" si="98"/>
        <v>0.8366268941703+0.0329697750877268i</v>
      </c>
      <c r="AR196" s="22" t="str">
        <f t="shared" si="99"/>
        <v>0.99412100185825-0.0391762995782687i</v>
      </c>
    </row>
    <row r="197" spans="7:44">
      <c r="G197" s="257">
        <v>11156.25</v>
      </c>
      <c r="H197" s="256">
        <f t="shared" si="91"/>
        <v>11.15625</v>
      </c>
      <c r="I197" s="298">
        <f t="shared" si="69"/>
        <v>10.9303136262977</v>
      </c>
      <c r="J197" s="299">
        <f t="shared" si="70"/>
        <v>1.47917953107281</v>
      </c>
      <c r="K197" s="299">
        <f t="shared" si="71"/>
        <v>1.00001817017761</v>
      </c>
      <c r="L197" s="300">
        <f t="shared" si="72"/>
        <v>0.00602825057339057</v>
      </c>
      <c r="M197" s="299">
        <f t="shared" si="73"/>
        <v>1.00078184061863</v>
      </c>
      <c r="N197" s="300">
        <f t="shared" si="74"/>
        <v>-0.0395305340876322</v>
      </c>
      <c r="O197" s="298">
        <f t="shared" si="75"/>
        <v>20187.8743936673</v>
      </c>
      <c r="P197" s="301">
        <f t="shared" si="76"/>
        <v>1.57074679210982</v>
      </c>
      <c r="Q197" s="320">
        <f t="shared" si="103"/>
        <v>8.47084738823323</v>
      </c>
      <c r="R197" s="321">
        <f t="shared" si="104"/>
        <v>1.45246844851456</v>
      </c>
      <c r="S197" s="298">
        <f t="shared" si="79"/>
        <v>1.00157110482536</v>
      </c>
      <c r="T197" s="301">
        <f t="shared" si="80"/>
        <v>0.0560187576446408</v>
      </c>
      <c r="U197" s="316">
        <f t="shared" si="92"/>
        <v>0.993177116188022</v>
      </c>
      <c r="V197" s="317">
        <f t="shared" si="93"/>
        <v>-0.139747180888706</v>
      </c>
      <c r="W197" s="318">
        <f t="shared" si="81"/>
        <v>8.48207438165231</v>
      </c>
      <c r="X197" s="319">
        <f t="shared" si="82"/>
        <v>-104.66369578781</v>
      </c>
      <c r="Y197" s="332">
        <f t="shared" si="83"/>
        <v>75.3363042121904</v>
      </c>
      <c r="AA197" s="22">
        <f t="shared" si="84"/>
        <v>1000000000</v>
      </c>
      <c r="AB197" s="22">
        <f t="shared" si="85"/>
        <v>124461914.0625</v>
      </c>
      <c r="AD197" s="331">
        <f t="shared" si="86"/>
        <v>27.6515392054393</v>
      </c>
      <c r="AE197" s="332">
        <f t="shared" si="87"/>
        <v>-9.98648829382192</v>
      </c>
      <c r="AG197" s="331">
        <f t="shared" si="88"/>
        <v>6.33740995568093</v>
      </c>
      <c r="AH197" s="332">
        <f t="shared" si="89"/>
        <v>-78.6633601481408</v>
      </c>
      <c r="AJ197" s="22">
        <f t="shared" si="90"/>
        <v>0</v>
      </c>
      <c r="AK197" s="22">
        <f t="shared" si="102"/>
        <v>0</v>
      </c>
      <c r="AM197" s="22" t="str">
        <f t="shared" si="94"/>
        <v>0.019988397946357+0.198940342415138i</v>
      </c>
      <c r="AN197" s="22" t="str">
        <f t="shared" si="95"/>
        <v>0.2002765314375i</v>
      </c>
      <c r="AO197" s="22" t="str">
        <f t="shared" si="96"/>
        <v>0.993328279590367-0.0998039950207284i</v>
      </c>
      <c r="AP197" s="22" t="str">
        <f t="shared" si="97"/>
        <v>0.16333526700894-0.0331567237358563i</v>
      </c>
      <c r="AQ197" s="22" t="str">
        <f t="shared" si="98"/>
        <v>0.83666473299106+0.0331567237358563i</v>
      </c>
      <c r="AR197" s="22" t="str">
        <f t="shared" si="99"/>
        <v>0.994058653343808-0.0393941884323576i</v>
      </c>
    </row>
    <row r="198" spans="7:44">
      <c r="G198" s="257">
        <v>11220</v>
      </c>
      <c r="H198" s="256">
        <f t="shared" si="91"/>
        <v>11.22</v>
      </c>
      <c r="I198" s="298">
        <f t="shared" si="69"/>
        <v>10.9922512416744</v>
      </c>
      <c r="J198" s="299">
        <f t="shared" si="70"/>
        <v>1.4796971976356</v>
      </c>
      <c r="K198" s="299">
        <f t="shared" si="71"/>
        <v>1.00001837842818</v>
      </c>
      <c r="L198" s="300">
        <f t="shared" si="72"/>
        <v>0.00606269687782872</v>
      </c>
      <c r="M198" s="299">
        <f t="shared" si="73"/>
        <v>1.00079079792915</v>
      </c>
      <c r="N198" s="300">
        <f t="shared" si="74"/>
        <v>-0.0397561855842831</v>
      </c>
      <c r="O198" s="298">
        <f t="shared" si="75"/>
        <v>20303.2336756346</v>
      </c>
      <c r="P198" s="301">
        <f t="shared" si="76"/>
        <v>1.5707470735569</v>
      </c>
      <c r="Q198" s="320">
        <f t="shared" si="103"/>
        <v>8.51857953778484</v>
      </c>
      <c r="R198" s="321">
        <f t="shared" si="104"/>
        <v>1.45313456057181</v>
      </c>
      <c r="S198" s="298">
        <f t="shared" si="79"/>
        <v>1.00158909732577</v>
      </c>
      <c r="T198" s="301">
        <f t="shared" si="80"/>
        <v>0.0563381898325961</v>
      </c>
      <c r="U198" s="316">
        <f t="shared" si="92"/>
        <v>0.99310417987757</v>
      </c>
      <c r="V198" s="317">
        <f t="shared" si="93"/>
        <v>-0.140540630876948</v>
      </c>
      <c r="W198" s="318">
        <f t="shared" si="81"/>
        <v>8.43159367295272</v>
      </c>
      <c r="X198" s="319">
        <f t="shared" si="82"/>
        <v>-104.729925315621</v>
      </c>
      <c r="Y198" s="332">
        <f t="shared" si="83"/>
        <v>75.270074684379</v>
      </c>
      <c r="AA198" s="22">
        <f t="shared" si="84"/>
        <v>1000000000</v>
      </c>
      <c r="AB198" s="22">
        <f t="shared" si="85"/>
        <v>125888400</v>
      </c>
      <c r="AD198" s="331">
        <f t="shared" si="86"/>
        <v>27.6506972935566</v>
      </c>
      <c r="AE198" s="332">
        <f t="shared" si="87"/>
        <v>-9.96664112617595</v>
      </c>
      <c r="AG198" s="331">
        <f t="shared" si="88"/>
        <v>6.28904694340623</v>
      </c>
      <c r="AH198" s="332">
        <f t="shared" si="89"/>
        <v>-78.658514172332</v>
      </c>
      <c r="AJ198" s="22">
        <f t="shared" si="90"/>
        <v>0</v>
      </c>
      <c r="AK198" s="22">
        <f t="shared" si="102"/>
        <v>0</v>
      </c>
      <c r="AM198" s="22" t="str">
        <f t="shared" si="94"/>
        <v>0.020216714428021+0.200061773744458i</v>
      </c>
      <c r="AN198" s="22" t="str">
        <f t="shared" si="95"/>
        <v>0.20142096876i</v>
      </c>
      <c r="AO198" s="22" t="str">
        <f t="shared" si="96"/>
        <v>0.993251968631123-0.100370455730008i</v>
      </c>
      <c r="AP198" s="22" t="str">
        <f t="shared" si="97"/>
        <v>0.163297214261997-0.0333436289574097i</v>
      </c>
      <c r="AQ198" s="22" t="str">
        <f t="shared" si="98"/>
        <v>0.836702785738003+0.0333436289574097i</v>
      </c>
      <c r="AR198" s="22" t="str">
        <f t="shared" si="99"/>
        <v>0.993995965907479-0.0396119544924753i</v>
      </c>
    </row>
    <row r="199" spans="7:44">
      <c r="G199" s="257">
        <v>11285.5</v>
      </c>
      <c r="H199" s="256">
        <f t="shared" si="91"/>
        <v>11.2855</v>
      </c>
      <c r="I199" s="298">
        <f t="shared" si="69"/>
        <v>11.0558921385596</v>
      </c>
      <c r="J199" s="299">
        <f t="shared" si="70"/>
        <v>1.48022303332093</v>
      </c>
      <c r="K199" s="299">
        <f t="shared" si="71"/>
        <v>1.00001859363131</v>
      </c>
      <c r="L199" s="300">
        <f t="shared" si="72"/>
        <v>0.00609808875210844</v>
      </c>
      <c r="M199" s="299">
        <f t="shared" si="73"/>
        <v>1.00080005420203</v>
      </c>
      <c r="N199" s="300">
        <f t="shared" si="74"/>
        <v>-0.0399880272164854</v>
      </c>
      <c r="O199" s="298">
        <f t="shared" si="75"/>
        <v>20421.7596829909</v>
      </c>
      <c r="P199" s="301">
        <f t="shared" si="76"/>
        <v>1.57074735941814</v>
      </c>
      <c r="Q199" s="320">
        <f t="shared" si="103"/>
        <v>8.56762587396826</v>
      </c>
      <c r="R199" s="321">
        <f t="shared" si="104"/>
        <v>1.4538112272188</v>
      </c>
      <c r="S199" s="298">
        <f t="shared" si="79"/>
        <v>1.00160769017984</v>
      </c>
      <c r="T199" s="301">
        <f t="shared" si="80"/>
        <v>0.056666378759516</v>
      </c>
      <c r="U199" s="316">
        <f t="shared" si="92"/>
        <v>0.99302882450198</v>
      </c>
      <c r="V199" s="317">
        <f t="shared" si="93"/>
        <v>-0.141355771895101</v>
      </c>
      <c r="W199" s="318">
        <f t="shared" si="81"/>
        <v>8.38001985909596</v>
      </c>
      <c r="X199" s="319">
        <f t="shared" si="82"/>
        <v>-104.798063439277</v>
      </c>
      <c r="Y199" s="332">
        <f t="shared" si="83"/>
        <v>75.2019365607226</v>
      </c>
      <c r="AA199" s="22">
        <f t="shared" si="84"/>
        <v>1000000000</v>
      </c>
      <c r="AB199" s="22">
        <f t="shared" si="85"/>
        <v>127362510.25</v>
      </c>
      <c r="AD199" s="331">
        <f t="shared" si="86"/>
        <v>27.6498433116576</v>
      </c>
      <c r="AE199" s="332">
        <f t="shared" si="87"/>
        <v>-9.94669120218166</v>
      </c>
      <c r="AG199" s="331">
        <f t="shared" si="88"/>
        <v>6.23964530811479</v>
      </c>
      <c r="AH199" s="332">
        <f t="shared" si="89"/>
        <v>-78.6531939397799</v>
      </c>
      <c r="AJ199" s="22">
        <f t="shared" si="90"/>
        <v>0</v>
      </c>
      <c r="AK199" s="22">
        <f t="shared" si="102"/>
        <v>0</v>
      </c>
      <c r="AM199" s="22" t="str">
        <f t="shared" si="94"/>
        <v>0.020452634999697+0.201213716532854i</v>
      </c>
      <c r="AN199" s="22" t="str">
        <f t="shared" si="95"/>
        <v>0.202596822009i</v>
      </c>
      <c r="AO199" s="22" t="str">
        <f t="shared" si="96"/>
        <v>0.993173113662738-0.100952397954142i</v>
      </c>
      <c r="AP199" s="22" t="str">
        <f t="shared" si="97"/>
        <v>0.163257894166717-0.0335356194221423i</v>
      </c>
      <c r="AQ199" s="22" t="str">
        <f t="shared" si="98"/>
        <v>0.836742105833283+0.0335356194221423i</v>
      </c>
      <c r="AR199" s="22" t="str">
        <f t="shared" si="99"/>
        <v>0.993931204957236-0.0398355698713678i</v>
      </c>
    </row>
    <row r="200" spans="7:44">
      <c r="G200" s="257">
        <v>11351</v>
      </c>
      <c r="H200" s="256">
        <f t="shared" si="91"/>
        <v>11.351</v>
      </c>
      <c r="I200" s="298">
        <f t="shared" si="69"/>
        <v>11.1195360574411</v>
      </c>
      <c r="J200" s="299">
        <f t="shared" si="70"/>
        <v>1.48074284978891</v>
      </c>
      <c r="K200" s="299">
        <f t="shared" si="71"/>
        <v>1.00001881008705</v>
      </c>
      <c r="L200" s="300">
        <f t="shared" si="72"/>
        <v>0.00613348061111122</v>
      </c>
      <c r="M200" s="299">
        <f t="shared" si="73"/>
        <v>1.00080936426746</v>
      </c>
      <c r="N200" s="300">
        <f t="shared" si="74"/>
        <v>-0.0402198645477185</v>
      </c>
      <c r="O200" s="298">
        <f t="shared" si="75"/>
        <v>20540.2856903488</v>
      </c>
      <c r="P200" s="301">
        <f t="shared" si="76"/>
        <v>1.57074764198031</v>
      </c>
      <c r="Q200" s="320">
        <f t="shared" si="103"/>
        <v>8.61667608841712</v>
      </c>
      <c r="R200" s="321">
        <f t="shared" si="104"/>
        <v>1.45448019035306</v>
      </c>
      <c r="S200" s="298">
        <f t="shared" si="79"/>
        <v>1.00162639091103</v>
      </c>
      <c r="T200" s="301">
        <f t="shared" si="80"/>
        <v>0.0569945554669675</v>
      </c>
      <c r="U200" s="316">
        <f t="shared" si="92"/>
        <v>0.992953046864904</v>
      </c>
      <c r="V200" s="317">
        <f t="shared" si="93"/>
        <v>-0.142170821245342</v>
      </c>
      <c r="W200" s="318">
        <f t="shared" si="81"/>
        <v>8.32873914575286</v>
      </c>
      <c r="X200" s="319">
        <f t="shared" si="82"/>
        <v>-104.866291679067</v>
      </c>
      <c r="Y200" s="332">
        <f t="shared" si="83"/>
        <v>75.1337083209328</v>
      </c>
      <c r="AA200" s="22">
        <f t="shared" si="84"/>
        <v>1000000000</v>
      </c>
      <c r="AB200" s="22">
        <f t="shared" si="85"/>
        <v>128845201</v>
      </c>
      <c r="AD200" s="331">
        <f t="shared" si="86"/>
        <v>27.6490002472255</v>
      </c>
      <c r="AE200" s="332">
        <f t="shared" si="87"/>
        <v>-9.92718176780768</v>
      </c>
      <c r="AG200" s="331">
        <f t="shared" si="88"/>
        <v>6.19053334339557</v>
      </c>
      <c r="AH200" s="332">
        <f t="shared" si="89"/>
        <v>-78.6475338381096</v>
      </c>
      <c r="AJ200" s="22">
        <f t="shared" si="90"/>
        <v>0</v>
      </c>
      <c r="AK200" s="22">
        <f t="shared" si="102"/>
        <v>0</v>
      </c>
      <c r="AM200" s="22" t="str">
        <f t="shared" si="94"/>
        <v>0.020689909923636+0.202365381116988i</v>
      </c>
      <c r="AN200" s="22" t="str">
        <f t="shared" si="95"/>
        <v>0.203772675258i</v>
      </c>
      <c r="AO200" s="22" t="str">
        <f t="shared" si="96"/>
        <v>0.993093803478655-0.101534270468011i</v>
      </c>
      <c r="AP200" s="22" t="str">
        <f t="shared" si="97"/>
        <v>0.163218348346061-0.033727563519498i</v>
      </c>
      <c r="AQ200" s="22" t="str">
        <f t="shared" si="98"/>
        <v>0.836781651653939+0.033727563519498i</v>
      </c>
      <c r="AR200" s="22" t="str">
        <f t="shared" si="99"/>
        <v>0.993866086881342-0.0400590542454058i</v>
      </c>
    </row>
    <row r="201" spans="7:44">
      <c r="G201" s="257">
        <v>11416.5</v>
      </c>
      <c r="H201" s="256">
        <f t="shared" si="91"/>
        <v>11.4165</v>
      </c>
      <c r="I201" s="298">
        <f t="shared" si="69"/>
        <v>11.183182946724</v>
      </c>
      <c r="J201" s="299">
        <f t="shared" si="70"/>
        <v>1.48125674952777</v>
      </c>
      <c r="K201" s="299">
        <f t="shared" si="71"/>
        <v>1.00001902779539</v>
      </c>
      <c r="L201" s="300">
        <f t="shared" si="72"/>
        <v>0.00616887245474842</v>
      </c>
      <c r="M201" s="299">
        <f t="shared" si="73"/>
        <v>1.00081872812393</v>
      </c>
      <c r="N201" s="300">
        <f t="shared" si="74"/>
        <v>-0.040451697553181</v>
      </c>
      <c r="O201" s="298">
        <f t="shared" si="75"/>
        <v>20658.8116977083</v>
      </c>
      <c r="P201" s="301">
        <f t="shared" si="76"/>
        <v>1.57074792130018</v>
      </c>
      <c r="Q201" s="320">
        <f t="shared" si="103"/>
        <v>8.66573011527555</v>
      </c>
      <c r="R201" s="321">
        <f t="shared" si="104"/>
        <v>1.45514158019234</v>
      </c>
      <c r="S201" s="298">
        <f t="shared" si="79"/>
        <v>1.0016451995133</v>
      </c>
      <c r="T201" s="301">
        <f t="shared" si="80"/>
        <v>0.0573227198849475</v>
      </c>
      <c r="U201" s="316">
        <f t="shared" si="92"/>
        <v>0.992876847245233</v>
      </c>
      <c r="V201" s="317">
        <f t="shared" si="93"/>
        <v>-0.142985778423794</v>
      </c>
      <c r="W201" s="318">
        <f t="shared" si="81"/>
        <v>8.27774806171809</v>
      </c>
      <c r="X201" s="319">
        <f t="shared" si="82"/>
        <v>-104.934608415162</v>
      </c>
      <c r="Y201" s="332">
        <f t="shared" si="83"/>
        <v>75.065391584838</v>
      </c>
      <c r="AA201" s="22">
        <f t="shared" si="84"/>
        <v>1000000000</v>
      </c>
      <c r="AB201" s="22">
        <f t="shared" si="85"/>
        <v>130336472.25</v>
      </c>
      <c r="AD201" s="331">
        <f t="shared" si="86"/>
        <v>27.6481678322197</v>
      </c>
      <c r="AE201" s="332">
        <f t="shared" si="87"/>
        <v>-9.90810536136894</v>
      </c>
      <c r="AG201" s="331">
        <f t="shared" si="88"/>
        <v>6.14170784291081</v>
      </c>
      <c r="AH201" s="332">
        <f t="shared" si="89"/>
        <v>-78.6415397669184</v>
      </c>
      <c r="AJ201" s="22">
        <f t="shared" si="90"/>
        <v>0</v>
      </c>
      <c r="AK201" s="22">
        <f t="shared" si="102"/>
        <v>0</v>
      </c>
      <c r="AM201" s="22" t="str">
        <f t="shared" si="94"/>
        <v>0.020928538871774+0.203516765904532i</v>
      </c>
      <c r="AN201" s="22" t="str">
        <f t="shared" si="95"/>
        <v>0.204948528507i</v>
      </c>
      <c r="AO201" s="22" t="str">
        <f t="shared" si="96"/>
        <v>0.993014038144611-0.102116072870751i</v>
      </c>
      <c r="AP201" s="22" t="str">
        <f t="shared" si="97"/>
        <v>0.163178576854704-0.0339194609840887i</v>
      </c>
      <c r="AQ201" s="22" t="str">
        <f t="shared" si="98"/>
        <v>0.836821423145296+0.0339194609840887i</v>
      </c>
      <c r="AR201" s="22" t="str">
        <f t="shared" si="99"/>
        <v>0.993800612016344-0.0402824069184937i</v>
      </c>
    </row>
    <row r="202" spans="7:44">
      <c r="G202" s="257">
        <v>11482</v>
      </c>
      <c r="H202" s="256">
        <f t="shared" si="91"/>
        <v>11.482</v>
      </c>
      <c r="I202" s="298">
        <f t="shared" si="69"/>
        <v>11.246832755979</v>
      </c>
      <c r="J202" s="299">
        <f t="shared" si="70"/>
        <v>1.48176483271834</v>
      </c>
      <c r="K202" s="299">
        <f t="shared" si="71"/>
        <v>1.00001924675634</v>
      </c>
      <c r="L202" s="300">
        <f t="shared" si="72"/>
        <v>0.00620426428293139</v>
      </c>
      <c r="M202" s="299">
        <f t="shared" si="73"/>
        <v>1.00082814576995</v>
      </c>
      <c r="N202" s="300">
        <f t="shared" si="74"/>
        <v>-0.0406835262080741</v>
      </c>
      <c r="O202" s="298">
        <f t="shared" si="75"/>
        <v>20777.3377050695</v>
      </c>
      <c r="P202" s="301">
        <f t="shared" si="76"/>
        <v>1.57074819743325</v>
      </c>
      <c r="Q202" s="320">
        <f t="shared" si="103"/>
        <v>8.71478789016539</v>
      </c>
      <c r="R202" s="321">
        <f t="shared" si="104"/>
        <v>1.45579552404912</v>
      </c>
      <c r="S202" s="298">
        <f t="shared" si="79"/>
        <v>1.00166411598057</v>
      </c>
      <c r="T202" s="301">
        <f t="shared" si="80"/>
        <v>0.0576508719434692</v>
      </c>
      <c r="U202" s="316">
        <f t="shared" si="92"/>
        <v>0.99280022592331</v>
      </c>
      <c r="V202" s="317">
        <f t="shared" si="93"/>
        <v>-0.143800642927055</v>
      </c>
      <c r="W202" s="318">
        <f t="shared" si="81"/>
        <v>8.22704319652889</v>
      </c>
      <c r="X202" s="319">
        <f t="shared" si="82"/>
        <v>-105.003012061944</v>
      </c>
      <c r="Y202" s="332">
        <f t="shared" si="83"/>
        <v>74.996987938056</v>
      </c>
      <c r="AA202" s="22">
        <f t="shared" si="84"/>
        <v>1000000000</v>
      </c>
      <c r="AB202" s="22">
        <f t="shared" si="85"/>
        <v>131836324</v>
      </c>
      <c r="AD202" s="331">
        <f t="shared" si="86"/>
        <v>27.6473458061258</v>
      </c>
      <c r="AE202" s="332">
        <f t="shared" si="87"/>
        <v>-9.88945468756675</v>
      </c>
      <c r="AG202" s="331">
        <f t="shared" si="88"/>
        <v>6.0931656535223</v>
      </c>
      <c r="AH202" s="332">
        <f t="shared" si="89"/>
        <v>-78.6352174935719</v>
      </c>
      <c r="AJ202" s="22">
        <f t="shared" si="90"/>
        <v>0</v>
      </c>
      <c r="AK202" s="22">
        <f t="shared" si="102"/>
        <v>0</v>
      </c>
      <c r="AM202" s="22" t="str">
        <f t="shared" si="94"/>
        <v>0.021168521514175+0.204667869303547i</v>
      </c>
      <c r="AN202" s="22" t="str">
        <f t="shared" si="95"/>
        <v>0.206124381756i</v>
      </c>
      <c r="AO202" s="22" t="str">
        <f t="shared" si="96"/>
        <v>0.99293381772673-0.10269780476156i</v>
      </c>
      <c r="AP202" s="22" t="str">
        <f t="shared" si="97"/>
        <v>0.163138579747637-0.0341113115505912i</v>
      </c>
      <c r="AQ202" s="22" t="str">
        <f t="shared" si="98"/>
        <v>0.836861420252363+0.0341113115505912i</v>
      </c>
      <c r="AR202" s="22" t="str">
        <f t="shared" si="99"/>
        <v>0.993734780700485-0.0405056271956121i</v>
      </c>
    </row>
    <row r="203" spans="7:44">
      <c r="G203" s="257">
        <v>11548.75</v>
      </c>
      <c r="H203" s="256">
        <f t="shared" si="91"/>
        <v>11.54875</v>
      </c>
      <c r="I203" s="298">
        <f t="shared" si="69"/>
        <v>11.3117002093074</v>
      </c>
      <c r="J203" s="299">
        <f t="shared" si="70"/>
        <v>1.48227672943064</v>
      </c>
      <c r="K203" s="299">
        <f t="shared" si="71"/>
        <v>1.00001947118462</v>
      </c>
      <c r="L203" s="300">
        <f t="shared" si="72"/>
        <v>0.00624033151169151</v>
      </c>
      <c r="M203" s="299">
        <f t="shared" si="73"/>
        <v>1.00083779847957</v>
      </c>
      <c r="N203" s="300">
        <f t="shared" si="74"/>
        <v>-0.0409197745723652</v>
      </c>
      <c r="O203" s="298">
        <f t="shared" si="75"/>
        <v>20898.1256591376</v>
      </c>
      <c r="P203" s="301">
        <f t="shared" si="76"/>
        <v>1.57074847561357</v>
      </c>
      <c r="Q203" s="320">
        <f t="shared" si="103"/>
        <v>8.7647856729784</v>
      </c>
      <c r="R203" s="321">
        <f t="shared" si="104"/>
        <v>1.45645441613848</v>
      </c>
      <c r="S203" s="298">
        <f t="shared" si="79"/>
        <v>1.00168350441518</v>
      </c>
      <c r="T203" s="301">
        <f t="shared" si="80"/>
        <v>0.0579852736579009</v>
      </c>
      <c r="U203" s="316">
        <f t="shared" si="92"/>
        <v>0.992721708803495</v>
      </c>
      <c r="V203" s="317">
        <f t="shared" si="93"/>
        <v>-0.144630962413935</v>
      </c>
      <c r="W203" s="318">
        <f t="shared" si="81"/>
        <v>8.17566167617731</v>
      </c>
      <c r="X203" s="319">
        <f t="shared" si="82"/>
        <v>-105.072808929217</v>
      </c>
      <c r="Y203" s="332">
        <f t="shared" si="83"/>
        <v>74.9271910707828</v>
      </c>
      <c r="AA203" s="22">
        <f t="shared" si="84"/>
        <v>1000000000</v>
      </c>
      <c r="AB203" s="22">
        <f t="shared" si="85"/>
        <v>133373626.5625</v>
      </c>
      <c r="AD203" s="331">
        <f t="shared" si="86"/>
        <v>27.6465185185496</v>
      </c>
      <c r="AE203" s="332">
        <f t="shared" si="87"/>
        <v>-9.8708786971277</v>
      </c>
      <c r="AG203" s="331">
        <f t="shared" si="88"/>
        <v>6.0439853487319</v>
      </c>
      <c r="AH203" s="332">
        <f t="shared" si="89"/>
        <v>-78.628442746684</v>
      </c>
      <c r="AJ203" s="22">
        <f t="shared" si="90"/>
        <v>0</v>
      </c>
      <c r="AK203" s="22">
        <f t="shared" si="102"/>
        <v>0</v>
      </c>
      <c r="AM203" s="22" t="str">
        <f t="shared" si="94"/>
        <v>0.021414476326009+0.205840649182082i</v>
      </c>
      <c r="AN203" s="22" t="str">
        <f t="shared" si="95"/>
        <v>0.2073226749525i</v>
      </c>
      <c r="AO203" s="22" t="str">
        <f t="shared" si="96"/>
        <v>0.992851598259778-0.103290565447872i</v>
      </c>
      <c r="AP203" s="22" t="str">
        <f t="shared" si="97"/>
        <v>0.163097587278999-0.0343067748636803i</v>
      </c>
      <c r="AQ203" s="22" t="str">
        <f t="shared" si="98"/>
        <v>0.836902412721001+0.0343067748636803i</v>
      </c>
      <c r="AR203" s="22" t="str">
        <f t="shared" si="99"/>
        <v>0.993667326694254-0.0407329704731766i</v>
      </c>
    </row>
    <row r="204" spans="7:44">
      <c r="G204" s="257">
        <v>11615.5</v>
      </c>
      <c r="H204" s="256">
        <f t="shared" si="91"/>
        <v>11.6155</v>
      </c>
      <c r="I204" s="298">
        <f t="shared" si="69"/>
        <v>11.3765705929318</v>
      </c>
      <c r="J204" s="299">
        <f t="shared" si="70"/>
        <v>1.48278278849817</v>
      </c>
      <c r="K204" s="299">
        <f t="shared" si="71"/>
        <v>1.00001969691377</v>
      </c>
      <c r="L204" s="300">
        <f t="shared" si="72"/>
        <v>0.00627639872421602</v>
      </c>
      <c r="M204" s="299">
        <f t="shared" si="73"/>
        <v>1.00084750704816</v>
      </c>
      <c r="N204" s="300">
        <f t="shared" si="74"/>
        <v>-0.0411560183664591</v>
      </c>
      <c r="O204" s="298">
        <f t="shared" si="75"/>
        <v>21018.9136132073</v>
      </c>
      <c r="P204" s="301">
        <f t="shared" si="76"/>
        <v>1.57074875059668</v>
      </c>
      <c r="Q204" s="320">
        <f t="shared" si="103"/>
        <v>8.81478721775816</v>
      </c>
      <c r="R204" s="321">
        <f t="shared" si="104"/>
        <v>1.45710583342741</v>
      </c>
      <c r="S204" s="298">
        <f t="shared" si="79"/>
        <v>1.00170300485821</v>
      </c>
      <c r="T204" s="301">
        <f t="shared" si="80"/>
        <v>0.0583196623899338</v>
      </c>
      <c r="U204" s="316">
        <f t="shared" si="92"/>
        <v>0.99264275432472</v>
      </c>
      <c r="V204" s="317">
        <f t="shared" si="93"/>
        <v>-0.145461184600598</v>
      </c>
      <c r="W204" s="318">
        <f t="shared" si="81"/>
        <v>8.12457043846481</v>
      </c>
      <c r="X204" s="319">
        <f t="shared" si="82"/>
        <v>-105.142692835762</v>
      </c>
      <c r="Y204" s="332">
        <f t="shared" si="83"/>
        <v>74.8573071642376</v>
      </c>
      <c r="AA204" s="22">
        <f t="shared" si="84"/>
        <v>1000000000</v>
      </c>
      <c r="AB204" s="22">
        <f t="shared" si="85"/>
        <v>134919840.25</v>
      </c>
      <c r="AD204" s="331">
        <f t="shared" si="86"/>
        <v>27.6457014967131</v>
      </c>
      <c r="AE204" s="332">
        <f t="shared" si="87"/>
        <v>-9.85273005418361</v>
      </c>
      <c r="AG204" s="331">
        <f t="shared" si="88"/>
        <v>5.99509282352716</v>
      </c>
      <c r="AH204" s="332">
        <f t="shared" si="89"/>
        <v>-78.621338841357</v>
      </c>
      <c r="AJ204" s="22">
        <f t="shared" si="90"/>
        <v>0</v>
      </c>
      <c r="AK204" s="22">
        <f t="shared" si="102"/>
        <v>0</v>
      </c>
      <c r="AM204" s="22" t="str">
        <f t="shared" si="94"/>
        <v>0.021661836295072+0.207013133492708i</v>
      </c>
      <c r="AN204" s="22" t="str">
        <f t="shared" si="95"/>
        <v>0.208520968149i</v>
      </c>
      <c r="AO204" s="22" t="str">
        <f t="shared" si="96"/>
        <v>0.992768906313467-0.103883252065056i</v>
      </c>
      <c r="AP204" s="22" t="str">
        <f t="shared" si="97"/>
        <v>0.163056360617488-0.0345021889154513i</v>
      </c>
      <c r="AQ204" s="22" t="str">
        <f t="shared" si="98"/>
        <v>0.836943639382512+0.0345021889154513i</v>
      </c>
      <c r="AR204" s="22" t="str">
        <f t="shared" si="99"/>
        <v>0.993599503216966-0.0409601747993243i</v>
      </c>
    </row>
    <row r="205" spans="7:44">
      <c r="G205" s="257">
        <v>11682.25</v>
      </c>
      <c r="H205" s="256">
        <f t="shared" si="91"/>
        <v>11.68225</v>
      </c>
      <c r="I205" s="298">
        <f t="shared" ref="I205:I268" si="105">SQRT(1+(G205/pole1)^2)</f>
        <v>11.4414438570097</v>
      </c>
      <c r="J205" s="299">
        <f t="shared" ref="J205:J268" si="106">ATAN(G205/pole1)</f>
        <v>1.48328310895825</v>
      </c>
      <c r="K205" s="299">
        <f t="shared" ref="K205:K268" si="107">SQRT(1+(G205/Zero1)^2)</f>
        <v>1.0000199239438</v>
      </c>
      <c r="L205" s="300">
        <f t="shared" ref="L205:L268" si="108">ATAN(G205/Zero1)</f>
        <v>0.00631246592041109</v>
      </c>
      <c r="M205" s="299">
        <f t="shared" ref="M205:M268" si="109">SQRT(1+(G205/z_RHP)^2)</f>
        <v>1.0008572714741</v>
      </c>
      <c r="N205" s="300">
        <f t="shared" ref="N205:N268" si="110">-ATAN(G205/z_RHP)</f>
        <v>-0.0413922575641193</v>
      </c>
      <c r="O205" s="298">
        <f t="shared" ref="O205:O268" si="111">SQRT(1+(G205/Pole2)^2)</f>
        <v>21139.7015672786</v>
      </c>
      <c r="P205" s="301">
        <f t="shared" ref="P205:P268" si="112">ATAN(G205/Pole2)</f>
        <v>1.5707490224374</v>
      </c>
      <c r="Q205" s="320">
        <f t="shared" si="103"/>
        <v>8.86479246084695</v>
      </c>
      <c r="R205" s="321">
        <f t="shared" si="104"/>
        <v>1.45774990185171</v>
      </c>
      <c r="S205" s="298">
        <f t="shared" ref="S205:S268" si="113">SQRT(1+(G205/pole4)^2)</f>
        <v>1.00172261730312</v>
      </c>
      <c r="T205" s="301">
        <f t="shared" ref="T205:T268" si="114">ATAN(G205/pole4)</f>
        <v>0.0586540380655485</v>
      </c>
      <c r="U205" s="316">
        <f t="shared" si="92"/>
        <v>0.992563362788291</v>
      </c>
      <c r="V205" s="317">
        <f t="shared" si="93"/>
        <v>-0.146291308955809</v>
      </c>
      <c r="W205" s="318">
        <f t="shared" ref="W205:W268" si="115">20*LOG10(((K205*Q205*M205*U205)/(I205*O205*S205))*Adc)</f>
        <v>8.07376605967522</v>
      </c>
      <c r="X205" s="319">
        <f t="shared" ref="X205:X268" si="116">((L205+R205+N205+V205)-(J205+P205+T205))*radconv</f>
        <v>-105.212662207375</v>
      </c>
      <c r="Y205" s="332">
        <f t="shared" ref="Y205:Y268" si="117">IF(X205&gt;0,X205,X205+180)</f>
        <v>74.7873377926253</v>
      </c>
      <c r="AA205" s="22">
        <f t="shared" ref="AA205:AA268" si="118">IF(W205&lt;0,G205,1000000000)</f>
        <v>1000000000</v>
      </c>
      <c r="AB205" s="22">
        <f t="shared" ref="AB205:AB268" si="119">G205^2</f>
        <v>136474965.0625</v>
      </c>
      <c r="AD205" s="331">
        <f t="shared" ref="AD205:AD268" si="120">20*LOG10((Q205/(O205*S205))*Aea)</f>
        <v>27.6448944874411</v>
      </c>
      <c r="AE205" s="332">
        <f t="shared" ref="AE205:AE268" si="121">(R205-(P205+T205))*radconv</f>
        <v>-9.83500154204338</v>
      </c>
      <c r="AG205" s="331">
        <f t="shared" ref="AG205:AG268" si="122">20*LOG10((K205*M205/(I205*U205))*Acs*Am)</f>
        <v>5.94648490393731</v>
      </c>
      <c r="AH205" s="332">
        <f t="shared" ref="AH205:AH268" si="123">(L205+N205-(J205+V205))*radconv</f>
        <v>-78.6139114809512</v>
      </c>
      <c r="AJ205" s="22">
        <f t="shared" ref="AJ205:AJ268" si="124">SUM((W206&lt;0)*(W205&gt;0))*G205</f>
        <v>0</v>
      </c>
      <c r="AK205" s="22">
        <f t="shared" si="102"/>
        <v>0</v>
      </c>
      <c r="AM205" s="22" t="str">
        <f t="shared" si="94"/>
        <v>0.021910601066178+0.208185320551848i</v>
      </c>
      <c r="AN205" s="22" t="str">
        <f t="shared" si="95"/>
        <v>0.2097192613455i</v>
      </c>
      <c r="AO205" s="22" t="str">
        <f t="shared" si="96"/>
        <v>0.992685741958985-0.104475864189134i</v>
      </c>
      <c r="AP205" s="22" t="str">
        <f t="shared" si="97"/>
        <v>0.163014899822304-0.034697553425308i</v>
      </c>
      <c r="AQ205" s="22" t="str">
        <f t="shared" si="98"/>
        <v>0.836985100177696+0.034697553425308i</v>
      </c>
      <c r="AR205" s="22" t="str">
        <f t="shared" si="99"/>
        <v>0.993531310632023-0.0411872394419591i</v>
      </c>
    </row>
    <row r="206" spans="7:44">
      <c r="G206" s="257">
        <v>11749</v>
      </c>
      <c r="H206" s="256">
        <f t="shared" ref="H206:H269" si="125">G206/1000</f>
        <v>11.749</v>
      </c>
      <c r="I206" s="298">
        <f t="shared" si="105"/>
        <v>11.5063199528208</v>
      </c>
      <c r="J206" s="299">
        <f t="shared" si="106"/>
        <v>1.48377778762626</v>
      </c>
      <c r="K206" s="299">
        <f t="shared" si="107"/>
        <v>1.00002015227468</v>
      </c>
      <c r="L206" s="300">
        <f t="shared" si="108"/>
        <v>0.00634853310018291</v>
      </c>
      <c r="M206" s="299">
        <f t="shared" si="109"/>
        <v>1.00086709175574</v>
      </c>
      <c r="N206" s="300">
        <f t="shared" si="110"/>
        <v>-0.0416284921391121</v>
      </c>
      <c r="O206" s="298">
        <f t="shared" si="111"/>
        <v>21260.4895213514</v>
      </c>
      <c r="P206" s="301">
        <f t="shared" si="112"/>
        <v>1.57074929118928</v>
      </c>
      <c r="Q206" s="320">
        <f t="shared" si="103"/>
        <v>8.91480134001069</v>
      </c>
      <c r="R206" s="321">
        <f t="shared" si="104"/>
        <v>1.45838674454608</v>
      </c>
      <c r="S206" s="298">
        <f t="shared" si="113"/>
        <v>1.00174234174333</v>
      </c>
      <c r="T206" s="301">
        <f t="shared" si="114"/>
        <v>0.0589884006107428</v>
      </c>
      <c r="U206" s="316">
        <f t="shared" ref="U206:U269" si="126">IMABS(IMPRODUCT(AO206,AR206))</f>
        <v>0.992483534497044</v>
      </c>
      <c r="V206" s="317">
        <f t="shared" ref="V206:V269" si="127">IMARGUMENT(IMPRODUCT(AO206,AR206))</f>
        <v>-0.147121334948867</v>
      </c>
      <c r="W206" s="318">
        <f t="shared" si="115"/>
        <v>8.02324517571859</v>
      </c>
      <c r="X206" s="319">
        <f t="shared" si="116"/>
        <v>-105.282715502992</v>
      </c>
      <c r="Y206" s="332">
        <f t="shared" si="117"/>
        <v>74.7172844970083</v>
      </c>
      <c r="AA206" s="22">
        <f t="shared" si="118"/>
        <v>1000000000</v>
      </c>
      <c r="AB206" s="22">
        <f t="shared" si="119"/>
        <v>138039001</v>
      </c>
      <c r="AD206" s="331">
        <f t="shared" si="120"/>
        <v>27.644097244643</v>
      </c>
      <c r="AE206" s="332">
        <f t="shared" si="121"/>
        <v>-9.81768610443772</v>
      </c>
      <c r="AG206" s="331">
        <f t="shared" si="122"/>
        <v>5.89815846851551</v>
      </c>
      <c r="AH206" s="332">
        <f t="shared" si="123"/>
        <v>-78.6061662414884</v>
      </c>
      <c r="AJ206" s="22">
        <f t="shared" si="124"/>
        <v>0</v>
      </c>
      <c r="AK206" s="22">
        <f t="shared" si="102"/>
        <v>0</v>
      </c>
      <c r="AM206" s="22" t="str">
        <f t="shared" ref="AM206:AM269" si="128">IMSUB(1,IMEXP(COMPLEX(0,-2*Pi*G206*Tsw)))</f>
        <v>0.022160770282125+0.209357208676351i</v>
      </c>
      <c r="AN206" s="22" t="str">
        <f t="shared" ref="AN206:AN269" si="129">COMPLEX(0,2*Pi*G206*Tsw)</f>
        <v>0.210917554542i</v>
      </c>
      <c r="AO206" s="22" t="str">
        <f t="shared" ref="AO206:AO269" si="130">IMDIV(AM206,AN206)</f>
        <v>0.992602105267922-0.105068401396206i</v>
      </c>
      <c r="AP206" s="22" t="str">
        <f t="shared" ref="AP206:AP269" si="131">IMDIV(IMEXP(COMPLEX(0,-2*Pi*G206*Tsw)),6)</f>
        <v>0.162973204952979-0.0348928681127252i</v>
      </c>
      <c r="AQ206" s="22" t="str">
        <f t="shared" ref="AQ206:AQ269" si="132">IMSUB(1,AP206)</f>
        <v>0.837026795047021+0.0348928681127252i</v>
      </c>
      <c r="AR206" s="22" t="str">
        <f t="shared" ref="AR206:AR269" si="133">IMDIV(0.833,AQ206)</f>
        <v>0.993462749304632-0.0414141636701661i</v>
      </c>
    </row>
    <row r="207" spans="7:44">
      <c r="G207" s="257">
        <v>11817.5</v>
      </c>
      <c r="H207" s="256">
        <f t="shared" si="125"/>
        <v>11.8175</v>
      </c>
      <c r="I207" s="298">
        <f t="shared" si="105"/>
        <v>11.5728998141795</v>
      </c>
      <c r="J207" s="299">
        <f t="shared" si="106"/>
        <v>1.48427966905432</v>
      </c>
      <c r="K207" s="299">
        <f t="shared" si="107"/>
        <v>1.00002038794425</v>
      </c>
      <c r="L207" s="300">
        <f t="shared" si="108"/>
        <v>0.0063855458442737</v>
      </c>
      <c r="M207" s="299">
        <f t="shared" si="109"/>
        <v>1.00087722756771</v>
      </c>
      <c r="N207" s="300">
        <f t="shared" si="110"/>
        <v>-0.0418709152963729</v>
      </c>
      <c r="O207" s="298">
        <f t="shared" si="111"/>
        <v>21384.4442008135</v>
      </c>
      <c r="P207" s="301">
        <f t="shared" si="112"/>
        <v>1.57074956383061</v>
      </c>
      <c r="Q207" s="320">
        <f t="shared" si="103"/>
        <v>8.96612502989363</v>
      </c>
      <c r="R207" s="321">
        <f t="shared" si="104"/>
        <v>1.45903289738277</v>
      </c>
      <c r="S207" s="298">
        <f t="shared" si="113"/>
        <v>1.00176269973486</v>
      </c>
      <c r="T207" s="301">
        <f t="shared" si="114"/>
        <v>0.0593315154862851</v>
      </c>
      <c r="U207" s="316">
        <f t="shared" si="126"/>
        <v>0.992401159567807</v>
      </c>
      <c r="V207" s="317">
        <f t="shared" si="127"/>
        <v>-0.147973019102849</v>
      </c>
      <c r="W207" s="318">
        <f t="shared" si="115"/>
        <v>7.97169104851377</v>
      </c>
      <c r="X207" s="319">
        <f t="shared" si="116"/>
        <v>-105.354691072953</v>
      </c>
      <c r="Y207" s="332">
        <f t="shared" si="117"/>
        <v>74.6453089270467</v>
      </c>
      <c r="AA207" s="22">
        <f t="shared" si="118"/>
        <v>1000000000</v>
      </c>
      <c r="AB207" s="22">
        <f t="shared" si="119"/>
        <v>139653306.25</v>
      </c>
      <c r="AD207" s="331">
        <f t="shared" si="120"/>
        <v>27.6432890033929</v>
      </c>
      <c r="AE207" s="332">
        <f t="shared" si="121"/>
        <v>-9.80033892940987</v>
      </c>
      <c r="AG207" s="331">
        <f t="shared" si="122"/>
        <v>5.8488544790032</v>
      </c>
      <c r="AH207" s="332">
        <f t="shared" si="123"/>
        <v>-78.5978931713641</v>
      </c>
      <c r="AJ207" s="22">
        <f t="shared" si="124"/>
        <v>0</v>
      </c>
      <c r="AK207" s="22">
        <f t="shared" si="102"/>
        <v>0</v>
      </c>
      <c r="AM207" s="22" t="str">
        <f t="shared" si="128"/>
        <v>0.022418958023299+0.21055950790156i</v>
      </c>
      <c r="AN207" s="22" t="str">
        <f t="shared" si="129"/>
        <v>0.212147263665i</v>
      </c>
      <c r="AO207" s="22" t="str">
        <f t="shared" si="130"/>
        <v>0.992515784856187-0.10567639495318i</v>
      </c>
      <c r="AP207" s="22" t="str">
        <f t="shared" si="131"/>
        <v>0.162930173662784-0.0350932513169267i</v>
      </c>
      <c r="AQ207" s="22" t="str">
        <f t="shared" si="132"/>
        <v>0.837069826337216+0.0350932513169267i</v>
      </c>
      <c r="AR207" s="22" t="str">
        <f t="shared" si="133"/>
        <v>0.993392007503901-0.0416468904728107i</v>
      </c>
    </row>
    <row r="208" spans="7:44">
      <c r="G208" s="257">
        <v>11886</v>
      </c>
      <c r="H208" s="256">
        <f t="shared" si="125"/>
        <v>11.886</v>
      </c>
      <c r="I208" s="298">
        <f t="shared" si="105"/>
        <v>11.6394825572281</v>
      </c>
      <c r="J208" s="299">
        <f t="shared" si="106"/>
        <v>1.48477580865981</v>
      </c>
      <c r="K208" s="299">
        <f t="shared" si="107"/>
        <v>1.00002062498378</v>
      </c>
      <c r="L208" s="300">
        <f t="shared" si="108"/>
        <v>0.0064225585708686</v>
      </c>
      <c r="M208" s="299">
        <f t="shared" si="109"/>
        <v>1.00088742219903</v>
      </c>
      <c r="N208" s="300">
        <f t="shared" si="110"/>
        <v>-0.0421133335294331</v>
      </c>
      <c r="O208" s="298">
        <f t="shared" si="111"/>
        <v>21508.3988802771</v>
      </c>
      <c r="P208" s="301">
        <f t="shared" si="112"/>
        <v>1.57074983332944</v>
      </c>
      <c r="Q208" s="320">
        <f t="shared" si="103"/>
        <v>9.01745242064107</v>
      </c>
      <c r="R208" s="321">
        <f t="shared" si="104"/>
        <v>1.45967169467236</v>
      </c>
      <c r="S208" s="298">
        <f t="shared" si="113"/>
        <v>1.00178317565692</v>
      </c>
      <c r="T208" s="301">
        <f t="shared" si="114"/>
        <v>0.0596746163760428</v>
      </c>
      <c r="U208" s="316">
        <f t="shared" si="126"/>
        <v>0.992318325333738</v>
      </c>
      <c r="V208" s="317">
        <f t="shared" si="127"/>
        <v>-0.148824598538747</v>
      </c>
      <c r="W208" s="318">
        <f t="shared" si="115"/>
        <v>7.92042848426841</v>
      </c>
      <c r="X208" s="319">
        <f t="shared" si="116"/>
        <v>-105.426751840104</v>
      </c>
      <c r="Y208" s="332">
        <f t="shared" si="117"/>
        <v>74.5732481598962</v>
      </c>
      <c r="AA208" s="22">
        <f t="shared" si="118"/>
        <v>1000000000</v>
      </c>
      <c r="AB208" s="22">
        <f t="shared" si="119"/>
        <v>141276996</v>
      </c>
      <c r="AD208" s="331">
        <f t="shared" si="120"/>
        <v>27.6424905441995</v>
      </c>
      <c r="AE208" s="332">
        <f t="shared" si="121"/>
        <v>-9.78341221480849</v>
      </c>
      <c r="AG208" s="331">
        <f t="shared" si="122"/>
        <v>5.79984043079051</v>
      </c>
      <c r="AH208" s="332">
        <f t="shared" si="123"/>
        <v>-78.5892968378103</v>
      </c>
      <c r="AJ208" s="22">
        <f t="shared" si="124"/>
        <v>0</v>
      </c>
      <c r="AK208" s="22">
        <f t="shared" si="102"/>
        <v>0</v>
      </c>
      <c r="AM208" s="22" t="str">
        <f t="shared" si="128"/>
        <v>0.022678624047212+0.21176148872198i</v>
      </c>
      <c r="AN208" s="22" t="str">
        <f t="shared" si="129"/>
        <v>0.213376972788i</v>
      </c>
      <c r="AO208" s="22" t="str">
        <f t="shared" si="130"/>
        <v>0.992428967170581-0.106284308709095i</v>
      </c>
      <c r="AP208" s="22" t="str">
        <f t="shared" si="131"/>
        <v>0.162886895992131-0.0352935814536633i</v>
      </c>
      <c r="AQ208" s="22" t="str">
        <f t="shared" si="132"/>
        <v>0.837113104007869+0.0352935814536633i</v>
      </c>
      <c r="AR208" s="22" t="str">
        <f t="shared" si="133"/>
        <v>0.993320878157606-0.0418794678461398i</v>
      </c>
    </row>
    <row r="209" spans="7:44">
      <c r="G209" s="257">
        <v>11954.5</v>
      </c>
      <c r="H209" s="256">
        <f t="shared" si="125"/>
        <v>11.9545</v>
      </c>
      <c r="I209" s="298">
        <f t="shared" si="105"/>
        <v>11.7060681327947</v>
      </c>
      <c r="J209" s="299">
        <f t="shared" si="106"/>
        <v>1.48526630417699</v>
      </c>
      <c r="K209" s="299">
        <f t="shared" si="107"/>
        <v>1.00002086339329</v>
      </c>
      <c r="L209" s="300">
        <f t="shared" si="108"/>
        <v>0.00645957127986619</v>
      </c>
      <c r="M209" s="299">
        <f t="shared" si="109"/>
        <v>1.0008976756479</v>
      </c>
      <c r="N209" s="300">
        <f t="shared" si="110"/>
        <v>-0.0423557468099516</v>
      </c>
      <c r="O209" s="298">
        <f t="shared" si="111"/>
        <v>21632.3535597423</v>
      </c>
      <c r="P209" s="301">
        <f t="shared" si="112"/>
        <v>1.57075009973978</v>
      </c>
      <c r="Q209" s="320">
        <f t="shared" si="103"/>
        <v>9.0687834494147</v>
      </c>
      <c r="R209" s="321">
        <f t="shared" si="104"/>
        <v>1.46030326079039</v>
      </c>
      <c r="S209" s="298">
        <f t="shared" si="113"/>
        <v>1.00180376950229</v>
      </c>
      <c r="T209" s="301">
        <f t="shared" si="114"/>
        <v>0.0600177032000975</v>
      </c>
      <c r="U209" s="316">
        <f t="shared" si="126"/>
        <v>0.992235032127164</v>
      </c>
      <c r="V209" s="317">
        <f t="shared" si="127"/>
        <v>-0.14967607268475</v>
      </c>
      <c r="W209" s="318">
        <f t="shared" si="115"/>
        <v>7.86945403417567</v>
      </c>
      <c r="X209" s="319">
        <f t="shared" si="116"/>
        <v>-105.498896242145</v>
      </c>
      <c r="Y209" s="332">
        <f t="shared" si="117"/>
        <v>74.5011037578547</v>
      </c>
      <c r="AA209" s="22">
        <f t="shared" si="118"/>
        <v>1000000000</v>
      </c>
      <c r="AB209" s="22">
        <f t="shared" si="119"/>
        <v>142910070.25</v>
      </c>
      <c r="AD209" s="331">
        <f t="shared" si="120"/>
        <v>27.641701622849</v>
      </c>
      <c r="AE209" s="332">
        <f t="shared" si="121"/>
        <v>-9.76689883295579</v>
      </c>
      <c r="AG209" s="331">
        <f t="shared" si="122"/>
        <v>5.75111311549985</v>
      </c>
      <c r="AH209" s="332">
        <f t="shared" si="123"/>
        <v>-78.5803828717318</v>
      </c>
      <c r="AJ209" s="22">
        <f t="shared" si="124"/>
        <v>0</v>
      </c>
      <c r="AK209" s="22">
        <f t="shared" si="102"/>
        <v>0</v>
      </c>
      <c r="AM209" s="22" t="str">
        <f t="shared" si="128"/>
        <v>0.022939767961202+0.212963149319993i</v>
      </c>
      <c r="AN209" s="22" t="str">
        <f t="shared" si="129"/>
        <v>0.214606681911i</v>
      </c>
      <c r="AO209" s="22" t="str">
        <f t="shared" si="130"/>
        <v>0.992341652289799-0.106892142206063i</v>
      </c>
      <c r="AP209" s="22" t="str">
        <f t="shared" si="131"/>
        <v>0.162843372006466-0.0354938582199988i</v>
      </c>
      <c r="AQ209" s="22" t="str">
        <f t="shared" si="132"/>
        <v>0.837156627993534+0.0354938582199988i</v>
      </c>
      <c r="AR209" s="22" t="str">
        <f t="shared" si="133"/>
        <v>0.993249361666369-0.0421118950041481i</v>
      </c>
    </row>
    <row r="210" spans="7:44">
      <c r="G210" s="257">
        <v>12023</v>
      </c>
      <c r="H210" s="256">
        <f t="shared" si="125"/>
        <v>12.023</v>
      </c>
      <c r="I210" s="298">
        <f t="shared" si="105"/>
        <v>11.7726564928173</v>
      </c>
      <c r="J210" s="299">
        <f t="shared" si="106"/>
        <v>1.48575125113989</v>
      </c>
      <c r="K210" s="299">
        <f t="shared" si="107"/>
        <v>1.00002110317276</v>
      </c>
      <c r="L210" s="300">
        <f t="shared" si="108"/>
        <v>0.00649658397116509</v>
      </c>
      <c r="M210" s="299">
        <f t="shared" si="109"/>
        <v>1.00090798791251</v>
      </c>
      <c r="N210" s="300">
        <f t="shared" si="110"/>
        <v>-0.0425981551095905</v>
      </c>
      <c r="O210" s="298">
        <f t="shared" si="111"/>
        <v>21756.308239209</v>
      </c>
      <c r="P210" s="301">
        <f t="shared" si="112"/>
        <v>1.57075036311442</v>
      </c>
      <c r="Q210" s="320">
        <f t="shared" si="103"/>
        <v>9.12011805478648</v>
      </c>
      <c r="R210" s="321">
        <f t="shared" si="104"/>
        <v>1.46092771733549</v>
      </c>
      <c r="S210" s="298">
        <f t="shared" si="113"/>
        <v>1.00182448126369</v>
      </c>
      <c r="T210" s="301">
        <f t="shared" si="114"/>
        <v>0.0603607758785506</v>
      </c>
      <c r="U210" s="316">
        <f t="shared" si="126"/>
        <v>0.992151280282109</v>
      </c>
      <c r="V210" s="317">
        <f t="shared" si="127"/>
        <v>-0.150527440969629</v>
      </c>
      <c r="W210" s="318">
        <f t="shared" si="115"/>
        <v>7.81876430962484</v>
      </c>
      <c r="X210" s="319">
        <f t="shared" si="116"/>
        <v>-105.571122749786</v>
      </c>
      <c r="Y210" s="332">
        <f t="shared" si="117"/>
        <v>74.4288772502137</v>
      </c>
      <c r="AA210" s="22">
        <f t="shared" si="118"/>
        <v>1000000000</v>
      </c>
      <c r="AB210" s="22">
        <f t="shared" si="119"/>
        <v>144552529</v>
      </c>
      <c r="AD210" s="331">
        <f t="shared" si="120"/>
        <v>27.6409220019852</v>
      </c>
      <c r="AE210" s="332">
        <f t="shared" si="121"/>
        <v>-9.75079181521082</v>
      </c>
      <c r="AG210" s="331">
        <f t="shared" si="122"/>
        <v>5.70266937807232</v>
      </c>
      <c r="AH210" s="332">
        <f t="shared" si="123"/>
        <v>-78.5711567779367</v>
      </c>
      <c r="AJ210" s="22">
        <f t="shared" si="124"/>
        <v>0</v>
      </c>
      <c r="AK210" s="22">
        <f t="shared" si="102"/>
        <v>0</v>
      </c>
      <c r="AM210" s="22" t="str">
        <f t="shared" si="128"/>
        <v>0.02320238937037+0.214164487878467i</v>
      </c>
      <c r="AN210" s="22" t="str">
        <f t="shared" si="129"/>
        <v>0.215836391034i</v>
      </c>
      <c r="AO210" s="22" t="str">
        <f t="shared" si="130"/>
        <v>0.992253840292995-0.107499894986268i</v>
      </c>
      <c r="AP210" s="22" t="str">
        <f t="shared" si="131"/>
        <v>0.162799601771605-0.0356940813130778i</v>
      </c>
      <c r="AQ210" s="22" t="str">
        <f t="shared" si="132"/>
        <v>0.837200398228395+0.0356940813130778i</v>
      </c>
      <c r="AR210" s="22" t="str">
        <f t="shared" si="133"/>
        <v>0.993177458432797-0.0423441711621654i</v>
      </c>
    </row>
    <row r="211" spans="7:44">
      <c r="G211" s="257">
        <v>12093</v>
      </c>
      <c r="H211" s="256">
        <f t="shared" si="125"/>
        <v>12.093</v>
      </c>
      <c r="I211" s="298">
        <f t="shared" si="105"/>
        <v>11.8407058198093</v>
      </c>
      <c r="J211" s="299">
        <f t="shared" si="106"/>
        <v>1.48624118242071</v>
      </c>
      <c r="K211" s="299">
        <f t="shared" si="107"/>
        <v>1.00002134961817</v>
      </c>
      <c r="L211" s="300">
        <f t="shared" si="108"/>
        <v>0.00653440714096395</v>
      </c>
      <c r="M211" s="299">
        <f t="shared" si="109"/>
        <v>1.00091858675299</v>
      </c>
      <c r="N211" s="300">
        <f t="shared" si="110"/>
        <v>-0.0428458664450057</v>
      </c>
      <c r="O211" s="298">
        <f t="shared" si="111"/>
        <v>21882.977254724</v>
      </c>
      <c r="P211" s="301">
        <f t="shared" si="112"/>
        <v>1.57075062917392</v>
      </c>
      <c r="Q211" s="320">
        <f t="shared" si="103"/>
        <v>9.17258040805025</v>
      </c>
      <c r="R211" s="321">
        <f t="shared" si="104"/>
        <v>1.46155862702179</v>
      </c>
      <c r="S211" s="298">
        <f t="shared" si="113"/>
        <v>1.00184576837715</v>
      </c>
      <c r="T211" s="301">
        <f t="shared" si="114"/>
        <v>0.0607113464006542</v>
      </c>
      <c r="U211" s="316">
        <f t="shared" si="126"/>
        <v>0.992065220991207</v>
      </c>
      <c r="V211" s="317">
        <f t="shared" si="127"/>
        <v>-0.15139734239814</v>
      </c>
      <c r="W211" s="318">
        <f t="shared" si="115"/>
        <v>7.76725527244846</v>
      </c>
      <c r="X211" s="319">
        <f t="shared" si="116"/>
        <v>-105.645014124165</v>
      </c>
      <c r="Y211" s="332">
        <f t="shared" si="117"/>
        <v>74.3549858758354</v>
      </c>
      <c r="AA211" s="22">
        <f t="shared" si="118"/>
        <v>1000000000</v>
      </c>
      <c r="AB211" s="22">
        <f t="shared" si="119"/>
        <v>146240649</v>
      </c>
      <c r="AD211" s="331">
        <f t="shared" si="120"/>
        <v>27.6401346772733</v>
      </c>
      <c r="AE211" s="332">
        <f t="shared" si="121"/>
        <v>-9.73474480833836</v>
      </c>
      <c r="AG211" s="331">
        <f t="shared" si="122"/>
        <v>5.65345456065293</v>
      </c>
      <c r="AH211" s="332">
        <f t="shared" si="123"/>
        <v>-78.5614117981814</v>
      </c>
      <c r="AJ211" s="22">
        <f t="shared" si="124"/>
        <v>0</v>
      </c>
      <c r="AK211" s="22">
        <f t="shared" si="102"/>
        <v>0</v>
      </c>
      <c r="AM211" s="22" t="str">
        <f t="shared" si="128"/>
        <v>0.0234722875803191+0.215391798535565i</v>
      </c>
      <c r="AN211" s="22" t="str">
        <f t="shared" si="129"/>
        <v>0.217093028094i</v>
      </c>
      <c r="AO211" s="22" t="str">
        <f t="shared" si="130"/>
        <v>0.992163591924756-0.108120872357797i</v>
      </c>
      <c r="AP211" s="22" t="str">
        <f t="shared" si="131"/>
        <v>0.162754618736613-0.0358986330892608i</v>
      </c>
      <c r="AQ211" s="22" t="str">
        <f t="shared" si="132"/>
        <v>0.837245381263387+0.0358986330892608i</v>
      </c>
      <c r="AR211" s="22" t="str">
        <f t="shared" si="133"/>
        <v>0.99310358155863-0.0425813768482154i</v>
      </c>
    </row>
    <row r="212" spans="7:44">
      <c r="G212" s="257">
        <v>12163</v>
      </c>
      <c r="H212" s="256">
        <f t="shared" si="125"/>
        <v>12.163</v>
      </c>
      <c r="I212" s="298">
        <f t="shared" si="105"/>
        <v>11.9087579564755</v>
      </c>
      <c r="J212" s="299">
        <f t="shared" si="106"/>
        <v>1.48672551442998</v>
      </c>
      <c r="K212" s="299">
        <f t="shared" si="107"/>
        <v>1.00002159749421</v>
      </c>
      <c r="L212" s="300">
        <f t="shared" si="108"/>
        <v>0.00657223029206641</v>
      </c>
      <c r="M212" s="299">
        <f t="shared" si="109"/>
        <v>1.00092924700943</v>
      </c>
      <c r="N212" s="300">
        <f t="shared" si="110"/>
        <v>-0.0430935725191905</v>
      </c>
      <c r="O212" s="298">
        <f t="shared" si="111"/>
        <v>22009.6462702405</v>
      </c>
      <c r="P212" s="301">
        <f t="shared" si="112"/>
        <v>1.570750892171</v>
      </c>
      <c r="Q212" s="320">
        <f t="shared" si="103"/>
        <v>9.22504637090416</v>
      </c>
      <c r="R212" s="321">
        <f t="shared" si="104"/>
        <v>1.46218236055993</v>
      </c>
      <c r="S212" s="298">
        <f t="shared" si="113"/>
        <v>1.00186717861191</v>
      </c>
      <c r="T212" s="301">
        <f t="shared" si="114"/>
        <v>0.0610619019822223</v>
      </c>
      <c r="U212" s="316">
        <f t="shared" si="126"/>
        <v>0.991978683466214</v>
      </c>
      <c r="V212" s="317">
        <f t="shared" si="127"/>
        <v>-0.152267132074333</v>
      </c>
      <c r="W212" s="318">
        <f t="shared" si="115"/>
        <v>7.71603659863355</v>
      </c>
      <c r="X212" s="319">
        <f t="shared" si="116"/>
        <v>-105.718988112113</v>
      </c>
      <c r="Y212" s="332">
        <f t="shared" si="117"/>
        <v>74.2810118878871</v>
      </c>
      <c r="AA212" s="22">
        <f t="shared" si="118"/>
        <v>1000000000</v>
      </c>
      <c r="AB212" s="22">
        <f t="shared" si="119"/>
        <v>147938569</v>
      </c>
      <c r="AD212" s="331">
        <f t="shared" si="120"/>
        <v>27.6393565846002</v>
      </c>
      <c r="AE212" s="332">
        <f t="shared" si="121"/>
        <v>-9.71910793297577</v>
      </c>
      <c r="AG212" s="331">
        <f t="shared" si="122"/>
        <v>5.60452938023474</v>
      </c>
      <c r="AH212" s="332">
        <f t="shared" si="123"/>
        <v>-78.5513521063588</v>
      </c>
      <c r="AJ212" s="22">
        <f t="shared" si="124"/>
        <v>0</v>
      </c>
      <c r="AK212" s="22">
        <f t="shared" si="102"/>
        <v>0</v>
      </c>
      <c r="AM212" s="22" t="str">
        <f t="shared" si="128"/>
        <v>0.023743727860815+0.216618769059613i</v>
      </c>
      <c r="AN212" s="22" t="str">
        <f t="shared" si="129"/>
        <v>0.218349665154i</v>
      </c>
      <c r="AO212" s="22" t="str">
        <f t="shared" si="130"/>
        <v>0.992072824599176-0.108741764472452i</v>
      </c>
      <c r="AP212" s="22" t="str">
        <f t="shared" si="131"/>
        <v>0.162709378689864-0.0361031281766022i</v>
      </c>
      <c r="AQ212" s="22" t="str">
        <f t="shared" si="132"/>
        <v>0.837290621310136+0.0361031281766022i</v>
      </c>
      <c r="AR212" s="22" t="str">
        <f t="shared" si="133"/>
        <v>0.993029301675471-0.0428184231962534i</v>
      </c>
    </row>
    <row r="213" spans="7:44">
      <c r="G213" s="257">
        <v>12233</v>
      </c>
      <c r="H213" s="256">
        <f t="shared" si="125"/>
        <v>12.233</v>
      </c>
      <c r="I213" s="298">
        <f t="shared" si="105"/>
        <v>11.9768128549223</v>
      </c>
      <c r="J213" s="299">
        <f t="shared" si="106"/>
        <v>1.4872043423874</v>
      </c>
      <c r="K213" s="299">
        <f t="shared" si="107"/>
        <v>1.00002184680086</v>
      </c>
      <c r="L213" s="300">
        <f t="shared" si="108"/>
        <v>0.00661005342436426</v>
      </c>
      <c r="M213" s="299">
        <f t="shared" si="109"/>
        <v>1.00093996867989</v>
      </c>
      <c r="N213" s="300">
        <f t="shared" si="110"/>
        <v>-0.0433412733019157</v>
      </c>
      <c r="O213" s="298">
        <f t="shared" si="111"/>
        <v>22136.3152857585</v>
      </c>
      <c r="P213" s="301">
        <f t="shared" si="112"/>
        <v>1.57075115215822</v>
      </c>
      <c r="Q213" s="320">
        <f t="shared" si="103"/>
        <v>9.27751588210962</v>
      </c>
      <c r="R213" s="321">
        <f t="shared" si="104"/>
        <v>1.46279903921573</v>
      </c>
      <c r="S213" s="298">
        <f t="shared" si="113"/>
        <v>1.00188871196007</v>
      </c>
      <c r="T213" s="301">
        <f t="shared" si="114"/>
        <v>0.0614124425380563</v>
      </c>
      <c r="U213" s="316">
        <f t="shared" si="126"/>
        <v>0.991891668069051</v>
      </c>
      <c r="V213" s="317">
        <f t="shared" si="127"/>
        <v>-0.15313680939057</v>
      </c>
      <c r="W213" s="318">
        <f t="shared" si="115"/>
        <v>7.66510485793276</v>
      </c>
      <c r="X213" s="319">
        <f t="shared" si="116"/>
        <v>-105.793043182888</v>
      </c>
      <c r="Y213" s="332">
        <f t="shared" si="117"/>
        <v>74.2069568171124</v>
      </c>
      <c r="AA213" s="22">
        <f t="shared" si="118"/>
        <v>1000000000</v>
      </c>
      <c r="AB213" s="22">
        <f t="shared" si="119"/>
        <v>149646289</v>
      </c>
      <c r="AD213" s="331">
        <f t="shared" si="120"/>
        <v>27.6385874914087</v>
      </c>
      <c r="AE213" s="332">
        <f t="shared" si="121"/>
        <v>-9.70387423923278</v>
      </c>
      <c r="AG213" s="331">
        <f t="shared" si="122"/>
        <v>5.55589063500355</v>
      </c>
      <c r="AH213" s="332">
        <f t="shared" si="123"/>
        <v>-78.5409831912449</v>
      </c>
      <c r="AJ213" s="22">
        <f t="shared" si="124"/>
        <v>0</v>
      </c>
      <c r="AK213" s="22">
        <f t="shared" si="102"/>
        <v>0</v>
      </c>
      <c r="AM213" s="22" t="str">
        <f t="shared" si="128"/>
        <v>0.024016709783217+0.217845397513059i</v>
      </c>
      <c r="AN213" s="22" t="str">
        <f t="shared" si="129"/>
        <v>0.219606302214i</v>
      </c>
      <c r="AO213" s="22" t="str">
        <f t="shared" si="130"/>
        <v>0.991981538402186-0.109362570841949i</v>
      </c>
      <c r="AP213" s="22" t="str">
        <f t="shared" si="131"/>
        <v>0.162663881702797-0.0363075662521765i</v>
      </c>
      <c r="AQ213" s="22" t="str">
        <f t="shared" si="132"/>
        <v>0.837336118297203+0.0363075662521765i</v>
      </c>
      <c r="AR213" s="22" t="str">
        <f t="shared" si="133"/>
        <v>0.992954619219366-0.0430553093732852i</v>
      </c>
    </row>
    <row r="214" spans="7:44">
      <c r="G214" s="257">
        <v>12303</v>
      </c>
      <c r="H214" s="256">
        <f t="shared" si="125"/>
        <v>12.303</v>
      </c>
      <c r="I214" s="298">
        <f t="shared" si="105"/>
        <v>12.0448704683367</v>
      </c>
      <c r="J214" s="299">
        <f t="shared" si="106"/>
        <v>1.48767775937083</v>
      </c>
      <c r="K214" s="299">
        <f t="shared" si="107"/>
        <v>1.00002209753814</v>
      </c>
      <c r="L214" s="300">
        <f t="shared" si="108"/>
        <v>0.0066478765377493</v>
      </c>
      <c r="M214" s="299">
        <f t="shared" si="109"/>
        <v>1.00095075176237</v>
      </c>
      <c r="N214" s="300">
        <f t="shared" si="110"/>
        <v>-0.0435889687629563</v>
      </c>
      <c r="O214" s="298">
        <f t="shared" si="111"/>
        <v>22262.984301278</v>
      </c>
      <c r="P214" s="301">
        <f t="shared" si="112"/>
        <v>1.57075140918696</v>
      </c>
      <c r="Q214" s="320">
        <f t="shared" si="103"/>
        <v>9.32998888180153</v>
      </c>
      <c r="R214" s="321">
        <f t="shared" si="104"/>
        <v>1.46340878154874</v>
      </c>
      <c r="S214" s="298">
        <f t="shared" si="113"/>
        <v>1.0019103684137</v>
      </c>
      <c r="T214" s="301">
        <f t="shared" si="114"/>
        <v>0.06176296798298</v>
      </c>
      <c r="U214" s="316">
        <f t="shared" si="126"/>
        <v>0.99180417516346</v>
      </c>
      <c r="V214" s="317">
        <f t="shared" si="127"/>
        <v>-0.154006373739869</v>
      </c>
      <c r="W214" s="318">
        <f t="shared" si="115"/>
        <v>7.61445667985273</v>
      </c>
      <c r="X214" s="319">
        <f t="shared" si="116"/>
        <v>-105.867177838056</v>
      </c>
      <c r="Y214" s="332">
        <f t="shared" si="117"/>
        <v>74.1328221619442</v>
      </c>
      <c r="AA214" s="22">
        <f t="shared" si="118"/>
        <v>1000000000</v>
      </c>
      <c r="AB214" s="22">
        <f t="shared" si="119"/>
        <v>151363809</v>
      </c>
      <c r="AD214" s="331">
        <f t="shared" si="120"/>
        <v>27.6378271716671</v>
      </c>
      <c r="AE214" s="332">
        <f t="shared" si="121"/>
        <v>-9.68903693221219</v>
      </c>
      <c r="AG214" s="331">
        <f t="shared" si="122"/>
        <v>5.50753517635268</v>
      </c>
      <c r="AH214" s="332">
        <f t="shared" si="123"/>
        <v>-78.5303104188604</v>
      </c>
      <c r="AJ214" s="22">
        <f t="shared" si="124"/>
        <v>0</v>
      </c>
      <c r="AK214" s="22">
        <f t="shared" si="102"/>
        <v>0</v>
      </c>
      <c r="AM214" s="22" t="str">
        <f t="shared" si="128"/>
        <v>0.024291232916448+0.219071681958887i</v>
      </c>
      <c r="AN214" s="22" t="str">
        <f t="shared" si="129"/>
        <v>0.220862939274i</v>
      </c>
      <c r="AO214" s="22" t="str">
        <f t="shared" si="130"/>
        <v>0.991889733420188-0.109983290978087i</v>
      </c>
      <c r="AP214" s="22" t="str">
        <f t="shared" si="131"/>
        <v>0.162618127847259-0.0365119469931478i</v>
      </c>
      <c r="AQ214" s="22" t="str">
        <f t="shared" si="132"/>
        <v>0.837381872152741+0.0365119469931478i</v>
      </c>
      <c r="AR214" s="22" t="str">
        <f t="shared" si="133"/>
        <v>0.992879534628512-0.0432920345477995i</v>
      </c>
    </row>
    <row r="215" spans="7:44">
      <c r="G215" s="257">
        <v>12374.5</v>
      </c>
      <c r="H215" s="256">
        <f t="shared" si="125"/>
        <v>12.3745</v>
      </c>
      <c r="I215" s="298">
        <f t="shared" si="105"/>
        <v>12.114389214463</v>
      </c>
      <c r="J215" s="299">
        <f t="shared" si="106"/>
        <v>1.48815582946457</v>
      </c>
      <c r="K215" s="299">
        <f t="shared" si="107"/>
        <v>1.00002235512529</v>
      </c>
      <c r="L215" s="300">
        <f t="shared" si="108"/>
        <v>0.0066865101267836</v>
      </c>
      <c r="M215" s="299">
        <f t="shared" si="109"/>
        <v>1.00096182930894</v>
      </c>
      <c r="N215" s="300">
        <f t="shared" si="110"/>
        <v>-0.0438419664584934</v>
      </c>
      <c r="O215" s="298">
        <f t="shared" si="111"/>
        <v>22392.3676528458</v>
      </c>
      <c r="P215" s="301">
        <f t="shared" si="112"/>
        <v>1.5707516687214</v>
      </c>
      <c r="Q215" s="320">
        <f t="shared" ref="Q215:Q278" si="134">SQRT(1+(G215/Zero2)^2)</f>
        <v>9.38358984348378</v>
      </c>
      <c r="R215" s="321">
        <f t="shared" ref="R215:R278" si="135">ATAN(G215/Zero2)</f>
        <v>1.46402454944172</v>
      </c>
      <c r="S215" s="298">
        <f t="shared" si="113"/>
        <v>1.00193261601657</v>
      </c>
      <c r="T215" s="301">
        <f t="shared" si="114"/>
        <v>0.0621209889988116</v>
      </c>
      <c r="U215" s="316">
        <f t="shared" si="126"/>
        <v>0.991714314823467</v>
      </c>
      <c r="V215" s="317">
        <f t="shared" si="127"/>
        <v>-0.154894454356579</v>
      </c>
      <c r="W215" s="318">
        <f t="shared" si="115"/>
        <v>7.56301248246013</v>
      </c>
      <c r="X215" s="319">
        <f t="shared" si="116"/>
        <v>-105.942981728597</v>
      </c>
      <c r="Y215" s="332">
        <f t="shared" si="117"/>
        <v>74.0570182714035</v>
      </c>
      <c r="AA215" s="22">
        <f t="shared" si="118"/>
        <v>1000000000</v>
      </c>
      <c r="AB215" s="22">
        <f t="shared" si="119"/>
        <v>153128250.25</v>
      </c>
      <c r="AD215" s="331">
        <f t="shared" si="120"/>
        <v>27.6370593884042</v>
      </c>
      <c r="AE215" s="332">
        <f t="shared" si="121"/>
        <v>-9.6742839941802</v>
      </c>
      <c r="AG215" s="331">
        <f t="shared" si="122"/>
        <v>5.45843276720551</v>
      </c>
      <c r="AH215" s="332">
        <f t="shared" si="123"/>
        <v>-78.5191007049072</v>
      </c>
      <c r="AJ215" s="22">
        <f t="shared" si="124"/>
        <v>0</v>
      </c>
      <c r="AK215" s="22">
        <f t="shared" si="102"/>
        <v>0</v>
      </c>
      <c r="AM215" s="22" t="str">
        <f t="shared" si="128"/>
        <v>0.024573229341094+0.220323886771133i</v>
      </c>
      <c r="AN215" s="22" t="str">
        <f t="shared" si="129"/>
        <v>0.222146504271i</v>
      </c>
      <c r="AO215" s="22" t="str">
        <f t="shared" si="130"/>
        <v>0.991795425699593-0.11061722272756i</v>
      </c>
      <c r="AP215" s="22" t="str">
        <f t="shared" si="131"/>
        <v>0.162571128443151-0.0367206477951888i</v>
      </c>
      <c r="AQ215" s="22" t="str">
        <f t="shared" si="132"/>
        <v>0.837428871556849+0.0367206477951888i</v>
      </c>
      <c r="AR215" s="22" t="str">
        <f t="shared" si="133"/>
        <v>0.992802426387149-0.0435336653270576i</v>
      </c>
    </row>
    <row r="216" spans="7:44">
      <c r="G216" s="257">
        <v>12446</v>
      </c>
      <c r="H216" s="256">
        <f t="shared" si="125"/>
        <v>12.446</v>
      </c>
      <c r="I216" s="298">
        <f t="shared" si="105"/>
        <v>12.183910697749</v>
      </c>
      <c r="J216" s="299">
        <f t="shared" si="106"/>
        <v>1.48862844392242</v>
      </c>
      <c r="K216" s="299">
        <f t="shared" si="107"/>
        <v>1.00002261420503</v>
      </c>
      <c r="L216" s="300">
        <f t="shared" si="108"/>
        <v>0.00672514369585765</v>
      </c>
      <c r="M216" s="299">
        <f t="shared" si="109"/>
        <v>1.00097297092348</v>
      </c>
      <c r="N216" s="300">
        <f t="shared" si="110"/>
        <v>-0.0440949585380979</v>
      </c>
      <c r="O216" s="298">
        <f t="shared" si="111"/>
        <v>22521.7510044152</v>
      </c>
      <c r="P216" s="301">
        <f t="shared" si="112"/>
        <v>1.57075192527389</v>
      </c>
      <c r="Q216" s="320">
        <f t="shared" si="134"/>
        <v>9.43719432272506</v>
      </c>
      <c r="R216" s="321">
        <f t="shared" si="135"/>
        <v>1.46463332228147</v>
      </c>
      <c r="S216" s="298">
        <f t="shared" si="113"/>
        <v>1.0019549920405</v>
      </c>
      <c r="T216" s="301">
        <f t="shared" si="114"/>
        <v>0.0624789940696188</v>
      </c>
      <c r="U216" s="316">
        <f t="shared" si="126"/>
        <v>0.991623957064108</v>
      </c>
      <c r="V216" s="317">
        <f t="shared" si="127"/>
        <v>-0.155782415835048</v>
      </c>
      <c r="W216" s="318">
        <f t="shared" si="115"/>
        <v>7.51185720697404</v>
      </c>
      <c r="X216" s="319">
        <f t="shared" si="116"/>
        <v>-106.018865590074</v>
      </c>
      <c r="Y216" s="332">
        <f t="shared" si="117"/>
        <v>73.981134409926</v>
      </c>
      <c r="AA216" s="22">
        <f t="shared" si="118"/>
        <v>1000000000</v>
      </c>
      <c r="AB216" s="22">
        <f t="shared" si="119"/>
        <v>154902916</v>
      </c>
      <c r="AD216" s="331">
        <f t="shared" si="120"/>
        <v>27.6363003018173</v>
      </c>
      <c r="AE216" s="332">
        <f t="shared" si="121"/>
        <v>-9.6599307587404</v>
      </c>
      <c r="AG216" s="331">
        <f t="shared" si="122"/>
        <v>5.40961943996416</v>
      </c>
      <c r="AH216" s="332">
        <f t="shared" si="123"/>
        <v>-78.5075849115353</v>
      </c>
      <c r="AJ216" s="22">
        <f t="shared" si="124"/>
        <v>0</v>
      </c>
      <c r="AK216" s="22">
        <f t="shared" si="102"/>
        <v>0</v>
      </c>
      <c r="AM216" s="22" t="str">
        <f t="shared" si="128"/>
        <v>0.024856832819265+0.22157572859121i</v>
      </c>
      <c r="AN216" s="22" t="str">
        <f t="shared" si="129"/>
        <v>0.223430069268i</v>
      </c>
      <c r="AO216" s="22" t="str">
        <f t="shared" si="130"/>
        <v>0.991700576905941-0.11125106347906i</v>
      </c>
      <c r="AP216" s="22" t="str">
        <f t="shared" si="131"/>
        <v>0.162523861196789-0.036929288098535i</v>
      </c>
      <c r="AQ216" s="22" t="str">
        <f t="shared" si="132"/>
        <v>0.837476138803211+0.036929288098535i</v>
      </c>
      <c r="AR216" s="22" t="str">
        <f t="shared" si="133"/>
        <v>0.992724899523004-0.0437751263808708i</v>
      </c>
    </row>
    <row r="217" spans="7:44">
      <c r="G217" s="257">
        <v>12517.5</v>
      </c>
      <c r="H217" s="256">
        <f t="shared" si="125"/>
        <v>12.5175</v>
      </c>
      <c r="I217" s="298">
        <f t="shared" si="105"/>
        <v>12.2534348716058</v>
      </c>
      <c r="J217" s="299">
        <f t="shared" si="106"/>
        <v>1.48909569539484</v>
      </c>
      <c r="K217" s="299">
        <f t="shared" si="107"/>
        <v>1.00002287477735</v>
      </c>
      <c r="L217" s="300">
        <f t="shared" si="108"/>
        <v>0.00676377724485615</v>
      </c>
      <c r="M217" s="299">
        <f t="shared" si="109"/>
        <v>1.00098417660386</v>
      </c>
      <c r="N217" s="300">
        <f t="shared" si="110"/>
        <v>-0.0443479449695724</v>
      </c>
      <c r="O217" s="298">
        <f t="shared" si="111"/>
        <v>22651.1343559859</v>
      </c>
      <c r="P217" s="301">
        <f t="shared" si="112"/>
        <v>1.57075217889552</v>
      </c>
      <c r="Q217" s="320">
        <f t="shared" si="134"/>
        <v>9.49080225992337</v>
      </c>
      <c r="R217" s="321">
        <f t="shared" si="135"/>
        <v>1.46523521814566</v>
      </c>
      <c r="S217" s="298">
        <f t="shared" si="113"/>
        <v>1.00197749647689</v>
      </c>
      <c r="T217" s="301">
        <f t="shared" si="114"/>
        <v>0.0628369831047036</v>
      </c>
      <c r="U217" s="316">
        <f t="shared" si="126"/>
        <v>0.991533102278915</v>
      </c>
      <c r="V217" s="317">
        <f t="shared" si="127"/>
        <v>-0.156670257530588</v>
      </c>
      <c r="W217" s="318">
        <f t="shared" si="115"/>
        <v>7.46098744579208</v>
      </c>
      <c r="X217" s="319">
        <f t="shared" si="116"/>
        <v>-106.094827924571</v>
      </c>
      <c r="Y217" s="332">
        <f t="shared" si="117"/>
        <v>73.9051720754289</v>
      </c>
      <c r="AA217" s="22">
        <f t="shared" si="118"/>
        <v>1000000000</v>
      </c>
      <c r="AB217" s="22">
        <f t="shared" si="119"/>
        <v>156687806.25</v>
      </c>
      <c r="AD217" s="331">
        <f t="shared" si="120"/>
        <v>27.6355496907319</v>
      </c>
      <c r="AE217" s="332">
        <f t="shared" si="121"/>
        <v>-9.6459704582712</v>
      </c>
      <c r="AG217" s="331">
        <f t="shared" si="122"/>
        <v>5.3610920037142</v>
      </c>
      <c r="AH217" s="332">
        <f t="shared" si="123"/>
        <v>-78.4957683823249</v>
      </c>
      <c r="AJ217" s="22">
        <f t="shared" si="124"/>
        <v>0</v>
      </c>
      <c r="AK217" s="22">
        <f t="shared" si="102"/>
        <v>0</v>
      </c>
      <c r="AM217" s="22" t="str">
        <f t="shared" si="128"/>
        <v>0.025142042883713+0.22282720535666i</v>
      </c>
      <c r="AN217" s="22" t="str">
        <f t="shared" si="129"/>
        <v>0.224713634265i</v>
      </c>
      <c r="AO217" s="22" t="str">
        <f t="shared" si="130"/>
        <v>0.991605187132903-0.111884812712626i</v>
      </c>
      <c r="AP217" s="22" t="str">
        <f t="shared" si="131"/>
        <v>0.162476326186048-0.0371378675594433i</v>
      </c>
      <c r="AQ217" s="22" t="str">
        <f t="shared" si="132"/>
        <v>0.837523673813952+0.0371378675594433i</v>
      </c>
      <c r="AR217" s="22" t="str">
        <f t="shared" si="133"/>
        <v>0.992646954509948-0.0440164168279551i</v>
      </c>
    </row>
    <row r="218" spans="7:44">
      <c r="G218" s="257">
        <v>12589</v>
      </c>
      <c r="H218" s="256">
        <f t="shared" si="125"/>
        <v>12.589</v>
      </c>
      <c r="I218" s="298">
        <f t="shared" si="105"/>
        <v>12.3229616904942</v>
      </c>
      <c r="J218" s="299">
        <f t="shared" si="106"/>
        <v>1.48955767445083</v>
      </c>
      <c r="K218" s="299">
        <f t="shared" si="107"/>
        <v>1.00002313684225</v>
      </c>
      <c r="L218" s="300">
        <f t="shared" si="108"/>
        <v>0.00680241077366378</v>
      </c>
      <c r="M218" s="299">
        <f t="shared" si="109"/>
        <v>1.00099544634793</v>
      </c>
      <c r="N218" s="300">
        <f t="shared" si="110"/>
        <v>-0.0446009257207238</v>
      </c>
      <c r="O218" s="298">
        <f t="shared" si="111"/>
        <v>22780.5177075582</v>
      </c>
      <c r="P218" s="301">
        <f t="shared" si="112"/>
        <v>1.57075242963623</v>
      </c>
      <c r="Q218" s="320">
        <f t="shared" si="134"/>
        <v>9.54441359681196</v>
      </c>
      <c r="R218" s="321">
        <f t="shared" si="135"/>
        <v>1.46583035247917</v>
      </c>
      <c r="S218" s="298">
        <f t="shared" si="113"/>
        <v>1.00200012931707</v>
      </c>
      <c r="T218" s="301">
        <f t="shared" si="114"/>
        <v>0.0631949560133924</v>
      </c>
      <c r="U218" s="316">
        <f t="shared" si="126"/>
        <v>0.991441750863398</v>
      </c>
      <c r="V218" s="317">
        <f t="shared" si="127"/>
        <v>-0.15755797879924</v>
      </c>
      <c r="W218" s="318">
        <f t="shared" si="115"/>
        <v>7.4103998505313</v>
      </c>
      <c r="X218" s="319">
        <f t="shared" si="116"/>
        <v>-106.170867265737</v>
      </c>
      <c r="Y218" s="332">
        <f t="shared" si="117"/>
        <v>73.829132734263</v>
      </c>
      <c r="AA218" s="22">
        <f t="shared" si="118"/>
        <v>1000000000</v>
      </c>
      <c r="AB218" s="22">
        <f t="shared" si="119"/>
        <v>158482921</v>
      </c>
      <c r="AD218" s="331">
        <f t="shared" si="120"/>
        <v>27.6348073401723</v>
      </c>
      <c r="AE218" s="332">
        <f t="shared" si="121"/>
        <v>-9.63239647593415</v>
      </c>
      <c r="AG218" s="331">
        <f t="shared" si="122"/>
        <v>5.31284732053861</v>
      </c>
      <c r="AH218" s="332">
        <f t="shared" si="123"/>
        <v>-78.4836563415556</v>
      </c>
      <c r="AJ218" s="22">
        <f t="shared" si="124"/>
        <v>0</v>
      </c>
      <c r="AK218" s="22">
        <f t="shared" ref="AK218:AK281" si="136">IF(AJ218&gt;0,Y218,0)</f>
        <v>0</v>
      </c>
      <c r="AM218" s="22" t="str">
        <f t="shared" si="128"/>
        <v>0.025428859064543+0.224078315005628i</v>
      </c>
      <c r="AN218" s="22" t="str">
        <f t="shared" si="129"/>
        <v>0.225997199262i</v>
      </c>
      <c r="AO218" s="22" t="str">
        <f t="shared" si="130"/>
        <v>0.99150925647469-0.112518469908395i</v>
      </c>
      <c r="AP218" s="22" t="str">
        <f t="shared" si="131"/>
        <v>0.162428523489243-0.0373463858342713i</v>
      </c>
      <c r="AQ218" s="22" t="str">
        <f t="shared" si="132"/>
        <v>0.837571476510757+0.0373463858342713i</v>
      </c>
      <c r="AR218" s="22" t="str">
        <f t="shared" si="133"/>
        <v>0.992568591824157-0.0442575357886704i</v>
      </c>
    </row>
    <row r="219" spans="7:44">
      <c r="G219" s="257">
        <v>12662.25</v>
      </c>
      <c r="H219" s="256">
        <f t="shared" si="125"/>
        <v>12.66225</v>
      </c>
      <c r="I219" s="298">
        <f t="shared" si="105"/>
        <v>12.3941929111344</v>
      </c>
      <c r="J219" s="299">
        <f t="shared" si="106"/>
        <v>1.49002558568244</v>
      </c>
      <c r="K219" s="299">
        <f t="shared" si="107"/>
        <v>1.00002340686916</v>
      </c>
      <c r="L219" s="300">
        <f t="shared" si="108"/>
        <v>0.00684198985729258</v>
      </c>
      <c r="M219" s="299">
        <f t="shared" si="109"/>
        <v>1.0010070583575</v>
      </c>
      <c r="N219" s="300">
        <f t="shared" si="110"/>
        <v>-0.0448600923842216</v>
      </c>
      <c r="O219" s="298">
        <f t="shared" si="111"/>
        <v>22913.06778452</v>
      </c>
      <c r="P219" s="301">
        <f t="shared" si="112"/>
        <v>1.57075268357742</v>
      </c>
      <c r="Q219" s="320">
        <f t="shared" si="134"/>
        <v>9.59934056526013</v>
      </c>
      <c r="R219" s="321">
        <f t="shared" si="135"/>
        <v>1.46643315924571</v>
      </c>
      <c r="S219" s="298">
        <f t="shared" si="113"/>
        <v>1.00202344925517</v>
      </c>
      <c r="T219" s="301">
        <f t="shared" si="114"/>
        <v>0.0635616736787195</v>
      </c>
      <c r="U219" s="316">
        <f t="shared" si="126"/>
        <v>0.991347648977622</v>
      </c>
      <c r="V219" s="317">
        <f t="shared" si="127"/>
        <v>-0.158467301954842</v>
      </c>
      <c r="W219" s="318">
        <f t="shared" si="115"/>
        <v>7.35886326722198</v>
      </c>
      <c r="X219" s="319">
        <f t="shared" si="116"/>
        <v>-106.248846065843</v>
      </c>
      <c r="Y219" s="332">
        <f t="shared" si="117"/>
        <v>73.7511539341565</v>
      </c>
      <c r="AA219" s="22">
        <f t="shared" si="118"/>
        <v>1000000000</v>
      </c>
      <c r="AB219" s="22">
        <f t="shared" si="119"/>
        <v>160332575.0625</v>
      </c>
      <c r="AD219" s="331">
        <f t="shared" si="120"/>
        <v>27.6340551680149</v>
      </c>
      <c r="AE219" s="332">
        <f t="shared" si="121"/>
        <v>-9.61888411658907</v>
      </c>
      <c r="AG219" s="331">
        <f t="shared" si="122"/>
        <v>5.26371181591245</v>
      </c>
      <c r="AH219" s="332">
        <f t="shared" si="123"/>
        <v>-78.4709467428296</v>
      </c>
      <c r="AJ219" s="22">
        <f t="shared" si="124"/>
        <v>0</v>
      </c>
      <c r="AK219" s="22">
        <f t="shared" si="136"/>
        <v>0</v>
      </c>
      <c r="AM219" s="22" t="str">
        <f t="shared" si="128"/>
        <v>0.025724360291048+0.225359663359953i</v>
      </c>
      <c r="AN219" s="22" t="str">
        <f t="shared" si="129"/>
        <v>0.2273121801855i</v>
      </c>
      <c r="AO219" s="22" t="str">
        <f t="shared" si="130"/>
        <v>0.991410417057486-0.113167540208604i</v>
      </c>
      <c r="AP219" s="22" t="str">
        <f t="shared" si="131"/>
        <v>0.162379273284825-0.0375599438933255i</v>
      </c>
      <c r="AQ219" s="22" t="str">
        <f t="shared" si="132"/>
        <v>0.837620726715175+0.0375599438933255i</v>
      </c>
      <c r="AR219" s="22" t="str">
        <f t="shared" si="133"/>
        <v>0.992487878538811-0.044504377510944i</v>
      </c>
    </row>
    <row r="220" spans="7:44">
      <c r="G220" s="257">
        <v>12735.5</v>
      </c>
      <c r="H220" s="256">
        <f t="shared" si="125"/>
        <v>12.7355</v>
      </c>
      <c r="I220" s="298">
        <f t="shared" si="105"/>
        <v>12.4654268143577</v>
      </c>
      <c r="J220" s="299">
        <f t="shared" si="106"/>
        <v>1.49048814924025</v>
      </c>
      <c r="K220" s="299">
        <f t="shared" si="107"/>
        <v>1.00002367846261</v>
      </c>
      <c r="L220" s="300">
        <f t="shared" si="108"/>
        <v>0.00688156891948506</v>
      </c>
      <c r="M220" s="299">
        <f t="shared" si="109"/>
        <v>1.00101873760051</v>
      </c>
      <c r="N220" s="300">
        <f t="shared" si="110"/>
        <v>-0.0451192530175462</v>
      </c>
      <c r="O220" s="298">
        <f t="shared" si="111"/>
        <v>23045.6178614833</v>
      </c>
      <c r="P220" s="301">
        <f t="shared" si="112"/>
        <v>1.57075293459746</v>
      </c>
      <c r="Q220" s="320">
        <f t="shared" si="134"/>
        <v>9.65427098218637</v>
      </c>
      <c r="R220" s="321">
        <f t="shared" si="135"/>
        <v>1.46702910658358</v>
      </c>
      <c r="S220" s="298">
        <f t="shared" si="113"/>
        <v>1.00204690394096</v>
      </c>
      <c r="T220" s="301">
        <f t="shared" si="114"/>
        <v>0.0639283742260041</v>
      </c>
      <c r="U220" s="316">
        <f t="shared" si="126"/>
        <v>0.991253026700146</v>
      </c>
      <c r="V220" s="317">
        <f t="shared" si="127"/>
        <v>-0.159376497350487</v>
      </c>
      <c r="W220" s="318">
        <f t="shared" si="115"/>
        <v>7.30761590125232</v>
      </c>
      <c r="X220" s="319">
        <f t="shared" si="116"/>
        <v>-106.326902670581</v>
      </c>
      <c r="Y220" s="332">
        <f t="shared" si="117"/>
        <v>73.673097329419</v>
      </c>
      <c r="AA220" s="22">
        <f t="shared" si="118"/>
        <v>1000000000</v>
      </c>
      <c r="AB220" s="22">
        <f t="shared" si="119"/>
        <v>162192960.25</v>
      </c>
      <c r="AD220" s="331">
        <f t="shared" si="120"/>
        <v>27.6333112279752</v>
      </c>
      <c r="AE220" s="332">
        <f t="shared" si="121"/>
        <v>-9.60576362539547</v>
      </c>
      <c r="AG220" s="331">
        <f t="shared" si="122"/>
        <v>5.21486657293423</v>
      </c>
      <c r="AH220" s="332">
        <f t="shared" si="123"/>
        <v>-78.4579377207953</v>
      </c>
      <c r="AJ220" s="22">
        <f t="shared" si="124"/>
        <v>0</v>
      </c>
      <c r="AK220" s="22">
        <f t="shared" si="136"/>
        <v>0</v>
      </c>
      <c r="AM220" s="22" t="str">
        <f t="shared" si="128"/>
        <v>0.026021546210222+0.226640622028077i</v>
      </c>
      <c r="AN220" s="22" t="str">
        <f t="shared" si="129"/>
        <v>0.228627161109i</v>
      </c>
      <c r="AO220" s="22" t="str">
        <f t="shared" si="130"/>
        <v>0.991311010156068-0.113816512806263i</v>
      </c>
      <c r="AP220" s="22" t="str">
        <f t="shared" si="131"/>
        <v>0.162329742298296-0.0377734370046795i</v>
      </c>
      <c r="AQ220" s="22" t="str">
        <f t="shared" si="132"/>
        <v>0.837670257701704+0.0377734370046795i</v>
      </c>
      <c r="AR220" s="22" t="str">
        <f t="shared" si="133"/>
        <v>0.99240672790419-0.044751037385952i</v>
      </c>
    </row>
    <row r="221" spans="7:44">
      <c r="G221" s="257">
        <v>12808.75</v>
      </c>
      <c r="H221" s="256">
        <f t="shared" si="125"/>
        <v>12.80875</v>
      </c>
      <c r="I221" s="298">
        <f t="shared" si="105"/>
        <v>12.5366633544364</v>
      </c>
      <c r="J221" s="299">
        <f t="shared" si="106"/>
        <v>1.49094545608518</v>
      </c>
      <c r="K221" s="299">
        <f t="shared" si="107"/>
        <v>1.0000239516226</v>
      </c>
      <c r="L221" s="300">
        <f t="shared" si="108"/>
        <v>0.00692114796011721</v>
      </c>
      <c r="M221" s="299">
        <f t="shared" si="109"/>
        <v>1.0010304840746</v>
      </c>
      <c r="N221" s="300">
        <f t="shared" si="110"/>
        <v>-0.0453784075860966</v>
      </c>
      <c r="O221" s="298">
        <f t="shared" si="111"/>
        <v>23178.167938448</v>
      </c>
      <c r="P221" s="301">
        <f t="shared" si="112"/>
        <v>1.57075318274646</v>
      </c>
      <c r="Q221" s="320">
        <f t="shared" si="134"/>
        <v>9.70920478906075</v>
      </c>
      <c r="R221" s="321">
        <f t="shared" si="135"/>
        <v>1.46761831049593</v>
      </c>
      <c r="S221" s="298">
        <f t="shared" si="113"/>
        <v>1.00207049336497</v>
      </c>
      <c r="T221" s="301">
        <f t="shared" si="114"/>
        <v>0.0642950575578315</v>
      </c>
      <c r="U221" s="316">
        <f t="shared" si="126"/>
        <v>0.991157884462654</v>
      </c>
      <c r="V221" s="317">
        <f t="shared" si="127"/>
        <v>-0.160285564296191</v>
      </c>
      <c r="W221" s="318">
        <f t="shared" si="115"/>
        <v>7.25665433683394</v>
      </c>
      <c r="X221" s="319">
        <f t="shared" si="116"/>
        <v>-106.405035600917</v>
      </c>
      <c r="Y221" s="332">
        <f t="shared" si="117"/>
        <v>73.5949643990833</v>
      </c>
      <c r="AA221" s="22">
        <f t="shared" si="118"/>
        <v>1000000000</v>
      </c>
      <c r="AB221" s="22">
        <f t="shared" si="119"/>
        <v>164064076.5625</v>
      </c>
      <c r="AD221" s="331">
        <f t="shared" si="120"/>
        <v>27.6325753078148</v>
      </c>
      <c r="AE221" s="332">
        <f t="shared" si="121"/>
        <v>-9.59302835315236</v>
      </c>
      <c r="AG221" s="331">
        <f t="shared" si="122"/>
        <v>5.16630838312931</v>
      </c>
      <c r="AH221" s="332">
        <f t="shared" si="123"/>
        <v>-78.4446345246874</v>
      </c>
      <c r="AJ221" s="22">
        <f t="shared" si="124"/>
        <v>0</v>
      </c>
      <c r="AK221" s="22">
        <f t="shared" si="136"/>
        <v>0</v>
      </c>
      <c r="AM221" s="22" t="str">
        <f t="shared" si="128"/>
        <v>0.026320416308181+0.227921188794999i</v>
      </c>
      <c r="AN221" s="22" t="str">
        <f t="shared" si="129"/>
        <v>0.2299421420325i</v>
      </c>
      <c r="AO221" s="22" t="str">
        <f t="shared" si="130"/>
        <v>0.991211035873471-0.11446538714274i</v>
      </c>
      <c r="AP221" s="22" t="str">
        <f t="shared" si="131"/>
        <v>0.162279930615303-0.0379868647991665i</v>
      </c>
      <c r="AQ221" s="22" t="str">
        <f t="shared" si="132"/>
        <v>0.837720069384697+0.0379868647991665i</v>
      </c>
      <c r="AR221" s="22" t="str">
        <f t="shared" si="133"/>
        <v>0.992325140439795-0.0449975144732864i</v>
      </c>
    </row>
    <row r="222" spans="7:44">
      <c r="G222" s="257">
        <v>12882</v>
      </c>
      <c r="H222" s="256">
        <f t="shared" si="125"/>
        <v>12.882</v>
      </c>
      <c r="I222" s="298">
        <f t="shared" si="105"/>
        <v>12.6079024866745</v>
      </c>
      <c r="J222" s="299">
        <f t="shared" si="106"/>
        <v>1.4913975951312</v>
      </c>
      <c r="K222" s="299">
        <f t="shared" si="107"/>
        <v>1.00002422634913</v>
      </c>
      <c r="L222" s="300">
        <f t="shared" si="108"/>
        <v>0.00696072697906508</v>
      </c>
      <c r="M222" s="299">
        <f t="shared" si="109"/>
        <v>1.00104229777741</v>
      </c>
      <c r="N222" s="300">
        <f t="shared" si="110"/>
        <v>-0.0456375560552768</v>
      </c>
      <c r="O222" s="298">
        <f t="shared" si="111"/>
        <v>23310.7180154142</v>
      </c>
      <c r="P222" s="301">
        <f t="shared" si="112"/>
        <v>1.57075342807339</v>
      </c>
      <c r="Q222" s="320">
        <f t="shared" si="134"/>
        <v>9.76414192866694</v>
      </c>
      <c r="R222" s="321">
        <f t="shared" si="135"/>
        <v>1.46820088439415</v>
      </c>
      <c r="S222" s="298">
        <f t="shared" si="113"/>
        <v>1.00209421751768</v>
      </c>
      <c r="T222" s="301">
        <f t="shared" si="114"/>
        <v>0.0646617235768151</v>
      </c>
      <c r="U222" s="316">
        <f t="shared" si="126"/>
        <v>0.991062222698984</v>
      </c>
      <c r="V222" s="317">
        <f t="shared" si="127"/>
        <v>-0.161194502102776</v>
      </c>
      <c r="W222" s="318">
        <f t="shared" si="115"/>
        <v>7.2059752175773</v>
      </c>
      <c r="X222" s="319">
        <f t="shared" si="116"/>
        <v>-106.483243409015</v>
      </c>
      <c r="Y222" s="332">
        <f t="shared" si="117"/>
        <v>73.5167565909846</v>
      </c>
      <c r="AA222" s="22">
        <f t="shared" si="118"/>
        <v>1000000000</v>
      </c>
      <c r="AB222" s="22">
        <f t="shared" si="119"/>
        <v>165945924</v>
      </c>
      <c r="AD222" s="331">
        <f t="shared" si="120"/>
        <v>27.6318472012546</v>
      </c>
      <c r="AE222" s="332">
        <f t="shared" si="121"/>
        <v>-9.58067179909178</v>
      </c>
      <c r="AG222" s="331">
        <f t="shared" si="122"/>
        <v>5.11803409143771</v>
      </c>
      <c r="AH222" s="332">
        <f t="shared" si="123"/>
        <v>-78.431042286413</v>
      </c>
      <c r="AJ222" s="22">
        <f t="shared" si="124"/>
        <v>0</v>
      </c>
      <c r="AK222" s="22">
        <f t="shared" si="136"/>
        <v>0</v>
      </c>
      <c r="AM222" s="22" t="str">
        <f t="shared" si="128"/>
        <v>0.026620970068125+0.229201361446395i</v>
      </c>
      <c r="AN222" s="22" t="str">
        <f t="shared" si="129"/>
        <v>0.231257122956i</v>
      </c>
      <c r="AO222" s="22" t="str">
        <f t="shared" si="130"/>
        <v>0.99111049431331-0.1151141626595i</v>
      </c>
      <c r="AP222" s="22" t="str">
        <f t="shared" si="131"/>
        <v>0.162229838321979-0.0382002269077325i</v>
      </c>
      <c r="AQ222" s="22" t="str">
        <f t="shared" si="132"/>
        <v>0.837770161678021+0.0382002269077325i</v>
      </c>
      <c r="AR222" s="22" t="str">
        <f t="shared" si="133"/>
        <v>0.992243116667645-0.0452438078343823i</v>
      </c>
    </row>
    <row r="223" spans="7:44">
      <c r="G223" s="257">
        <v>12957.25</v>
      </c>
      <c r="H223" s="256">
        <f t="shared" si="125"/>
        <v>12.95725</v>
      </c>
      <c r="I223" s="298">
        <f t="shared" si="105"/>
        <v>12.6810893680568</v>
      </c>
      <c r="J223" s="299">
        <f t="shared" si="106"/>
        <v>1.49185678922145</v>
      </c>
      <c r="K223" s="299">
        <f t="shared" si="107"/>
        <v>1.00002451020799</v>
      </c>
      <c r="L223" s="300">
        <f t="shared" si="108"/>
        <v>0.00700138663110963</v>
      </c>
      <c r="M223" s="299">
        <f t="shared" si="109"/>
        <v>1.00105450404333</v>
      </c>
      <c r="N223" s="300">
        <f t="shared" si="110"/>
        <v>-0.045903773862782</v>
      </c>
      <c r="O223" s="298">
        <f t="shared" si="111"/>
        <v>23446.8872071112</v>
      </c>
      <c r="P223" s="301">
        <f t="shared" si="112"/>
        <v>1.57075367721026</v>
      </c>
      <c r="Q223" s="320">
        <f t="shared" si="134"/>
        <v>9.82058247012891</v>
      </c>
      <c r="R223" s="321">
        <f t="shared" si="135"/>
        <v>1.46879257723269</v>
      </c>
      <c r="S223" s="298">
        <f t="shared" si="113"/>
        <v>1.00211872971559</v>
      </c>
      <c r="T223" s="301">
        <f t="shared" si="114"/>
        <v>0.0650383828240179</v>
      </c>
      <c r="U223" s="316">
        <f t="shared" si="126"/>
        <v>0.990963408470831</v>
      </c>
      <c r="V223" s="317">
        <f t="shared" si="127"/>
        <v>-0.162128122124333</v>
      </c>
      <c r="W223" s="318">
        <f t="shared" si="115"/>
        <v>7.15420302073481</v>
      </c>
      <c r="X223" s="319">
        <f t="shared" si="116"/>
        <v>-106.563663066957</v>
      </c>
      <c r="Y223" s="332">
        <f t="shared" si="117"/>
        <v>73.4363369330433</v>
      </c>
      <c r="AA223" s="22">
        <f t="shared" si="118"/>
        <v>1000000000</v>
      </c>
      <c r="AB223" s="22">
        <f t="shared" si="119"/>
        <v>167890327.5625</v>
      </c>
      <c r="AD223" s="331">
        <f t="shared" si="120"/>
        <v>27.6311071405088</v>
      </c>
      <c r="AE223" s="332">
        <f t="shared" si="121"/>
        <v>-9.56836555633249</v>
      </c>
      <c r="AG223" s="331">
        <f t="shared" si="122"/>
        <v>5.06873410141949</v>
      </c>
      <c r="AH223" s="332">
        <f t="shared" si="123"/>
        <v>-78.4167832131839</v>
      </c>
      <c r="AJ223" s="22">
        <f t="shared" si="124"/>
        <v>0</v>
      </c>
      <c r="AK223" s="22">
        <f t="shared" si="136"/>
        <v>0</v>
      </c>
      <c r="AM223" s="22" t="str">
        <f t="shared" si="128"/>
        <v>0.026931482772944+0.230516074887499i</v>
      </c>
      <c r="AN223" s="22" t="str">
        <f t="shared" si="129"/>
        <v>0.2326080077955i</v>
      </c>
      <c r="AO223" s="22" t="str">
        <f t="shared" si="130"/>
        <v>0.99100661697838-0.11578054869298i</v>
      </c>
      <c r="AP223" s="22" t="str">
        <f t="shared" si="131"/>
        <v>0.162178086204509-0.0384193458145832i</v>
      </c>
      <c r="AQ223" s="22" t="str">
        <f t="shared" si="132"/>
        <v>0.837821913795491+0.0384193458145832i</v>
      </c>
      <c r="AR223" s="22" t="str">
        <f t="shared" si="133"/>
        <v>0.992158399550119-0.0454966336252502i</v>
      </c>
    </row>
    <row r="224" spans="7:44">
      <c r="G224" s="257">
        <v>13032.5</v>
      </c>
      <c r="H224" s="256">
        <f t="shared" si="125"/>
        <v>13.0325</v>
      </c>
      <c r="I224" s="298">
        <f t="shared" si="105"/>
        <v>12.7542788926762</v>
      </c>
      <c r="J224" s="299">
        <f t="shared" si="106"/>
        <v>1.49231071330108</v>
      </c>
      <c r="K224" s="299">
        <f t="shared" si="107"/>
        <v>1.00002479572011</v>
      </c>
      <c r="L224" s="300">
        <f t="shared" si="108"/>
        <v>0.00704204626000434</v>
      </c>
      <c r="M224" s="299">
        <f t="shared" si="109"/>
        <v>1.00106678125417</v>
      </c>
      <c r="N224" s="300">
        <f t="shared" si="110"/>
        <v>-0.0461699851592954</v>
      </c>
      <c r="O224" s="298">
        <f t="shared" si="111"/>
        <v>23583.0563988097</v>
      </c>
      <c r="P224" s="301">
        <f t="shared" si="112"/>
        <v>1.57075392347009</v>
      </c>
      <c r="Q224" s="320">
        <f t="shared" si="134"/>
        <v>9.87702641048631</v>
      </c>
      <c r="R224" s="321">
        <f t="shared" si="135"/>
        <v>1.46937750761617</v>
      </c>
      <c r="S224" s="298">
        <f t="shared" si="113"/>
        <v>1.00214338407931</v>
      </c>
      <c r="T224" s="301">
        <f t="shared" si="114"/>
        <v>0.0654150235917884</v>
      </c>
      <c r="U224" s="316">
        <f t="shared" si="126"/>
        <v>0.990864046894341</v>
      </c>
      <c r="V224" s="317">
        <f t="shared" si="127"/>
        <v>-0.163061604386725</v>
      </c>
      <c r="W224" s="318">
        <f t="shared" si="115"/>
        <v>7.10272190888944</v>
      </c>
      <c r="X224" s="319">
        <f t="shared" si="116"/>
        <v>-106.644158747285</v>
      </c>
      <c r="Y224" s="332">
        <f t="shared" si="117"/>
        <v>73.3558412527147</v>
      </c>
      <c r="AA224" s="22">
        <f t="shared" si="118"/>
        <v>1000000000</v>
      </c>
      <c r="AB224" s="22">
        <f t="shared" si="119"/>
        <v>169846056.25</v>
      </c>
      <c r="AD224" s="331">
        <f t="shared" si="120"/>
        <v>27.6303749029981</v>
      </c>
      <c r="AE224" s="332">
        <f t="shared" si="121"/>
        <v>-9.55644555007108</v>
      </c>
      <c r="AG224" s="331">
        <f t="shared" si="122"/>
        <v>5.01972714197467</v>
      </c>
      <c r="AH224" s="332">
        <f t="shared" si="123"/>
        <v>-78.4022297118808</v>
      </c>
      <c r="AJ224" s="22">
        <f t="shared" si="124"/>
        <v>0</v>
      </c>
      <c r="AK224" s="22">
        <f t="shared" si="136"/>
        <v>0</v>
      </c>
      <c r="AM224" s="22" t="str">
        <f t="shared" si="128"/>
        <v>0.027243771220354+0.231830367662221i</v>
      </c>
      <c r="AN224" s="22" t="str">
        <f t="shared" si="129"/>
        <v>0.233958892635i</v>
      </c>
      <c r="AO224" s="22" t="str">
        <f t="shared" si="130"/>
        <v>0.990902141188966-0.116446829242166i</v>
      </c>
      <c r="AP224" s="22" t="str">
        <f t="shared" si="131"/>
        <v>0.162126038129941-0.0386383946103702i</v>
      </c>
      <c r="AQ224" s="22" t="str">
        <f t="shared" si="132"/>
        <v>0.837873961870059+0.0386383946103702i</v>
      </c>
      <c r="AR224" s="22" t="str">
        <f t="shared" si="133"/>
        <v>0.992073223098879-0.0457492635180147i</v>
      </c>
    </row>
    <row r="225" spans="7:44">
      <c r="G225" s="257">
        <v>13107.75</v>
      </c>
      <c r="H225" s="256">
        <f t="shared" si="125"/>
        <v>13.10775</v>
      </c>
      <c r="I225" s="298">
        <f t="shared" si="105"/>
        <v>12.8274710152881</v>
      </c>
      <c r="J225" s="299">
        <f t="shared" si="106"/>
        <v>1.4927594573917</v>
      </c>
      <c r="K225" s="299">
        <f t="shared" si="107"/>
        <v>1.00002508288547</v>
      </c>
      <c r="L225" s="300">
        <f t="shared" si="108"/>
        <v>0.00708270586561477</v>
      </c>
      <c r="M225" s="299">
        <f t="shared" si="109"/>
        <v>1.00107912940733</v>
      </c>
      <c r="N225" s="300">
        <f t="shared" si="110"/>
        <v>-0.0464361899073251</v>
      </c>
      <c r="O225" s="298">
        <f t="shared" si="111"/>
        <v>23719.2255905095</v>
      </c>
      <c r="P225" s="301">
        <f t="shared" si="112"/>
        <v>1.57075416690243</v>
      </c>
      <c r="Q225" s="320">
        <f t="shared" si="134"/>
        <v>9.93347369179957</v>
      </c>
      <c r="R225" s="321">
        <f t="shared" si="135"/>
        <v>1.46995579042449</v>
      </c>
      <c r="S225" s="298">
        <f t="shared" si="113"/>
        <v>1.00216818059835</v>
      </c>
      <c r="T225" s="301">
        <f t="shared" si="114"/>
        <v>0.0657916457746349</v>
      </c>
      <c r="U225" s="316">
        <f t="shared" si="126"/>
        <v>0.990764138446942</v>
      </c>
      <c r="V225" s="317">
        <f t="shared" si="127"/>
        <v>-0.163994948145504</v>
      </c>
      <c r="W225" s="318">
        <f t="shared" si="115"/>
        <v>7.05152843001503</v>
      </c>
      <c r="X225" s="319">
        <f t="shared" si="116"/>
        <v>-106.724728977727</v>
      </c>
      <c r="Y225" s="332">
        <f t="shared" si="117"/>
        <v>73.2752710222733</v>
      </c>
      <c r="AA225" s="22">
        <f t="shared" si="118"/>
        <v>1000000000</v>
      </c>
      <c r="AB225" s="22">
        <f t="shared" si="119"/>
        <v>171813110.0625</v>
      </c>
      <c r="AD225" s="331">
        <f t="shared" si="120"/>
        <v>27.6296502834342</v>
      </c>
      <c r="AE225" s="332">
        <f t="shared" si="121"/>
        <v>-9.54490519496967</v>
      </c>
      <c r="AG225" s="331">
        <f t="shared" si="122"/>
        <v>4.97100996091566</v>
      </c>
      <c r="AH225" s="332">
        <f t="shared" si="123"/>
        <v>-78.3873869808752</v>
      </c>
      <c r="AJ225" s="22">
        <f t="shared" si="124"/>
        <v>0</v>
      </c>
      <c r="AK225" s="22">
        <f t="shared" si="136"/>
        <v>0</v>
      </c>
      <c r="AM225" s="22" t="str">
        <f t="shared" si="128"/>
        <v>0.027557834840461+0.233144237372123i</v>
      </c>
      <c r="AN225" s="22" t="str">
        <f t="shared" si="129"/>
        <v>0.2353097774745i</v>
      </c>
      <c r="AO225" s="22" t="str">
        <f t="shared" si="130"/>
        <v>0.99079706705935-0.117113003701886i</v>
      </c>
      <c r="AP225" s="22" t="str">
        <f t="shared" si="131"/>
        <v>0.162073694193256-0.0388573728953538i</v>
      </c>
      <c r="AQ225" s="22" t="str">
        <f t="shared" si="132"/>
        <v>0.837926305806744+0.0388573728953538i</v>
      </c>
      <c r="AR225" s="22" t="str">
        <f t="shared" si="133"/>
        <v>0.991987587888116-0.0460016965012448i</v>
      </c>
    </row>
    <row r="226" spans="7:44">
      <c r="G226" s="257">
        <v>13183</v>
      </c>
      <c r="H226" s="256">
        <f t="shared" si="125"/>
        <v>13.183</v>
      </c>
      <c r="I226" s="298">
        <f t="shared" si="105"/>
        <v>12.9006656916735</v>
      </c>
      <c r="J226" s="299">
        <f t="shared" si="106"/>
        <v>1.49320310948032</v>
      </c>
      <c r="K226" s="299">
        <f t="shared" si="107"/>
        <v>1.00002537170408</v>
      </c>
      <c r="L226" s="300">
        <f t="shared" si="108"/>
        <v>0.00712336544780652</v>
      </c>
      <c r="M226" s="299">
        <f t="shared" si="109"/>
        <v>1.00109154850017</v>
      </c>
      <c r="N226" s="300">
        <f t="shared" si="110"/>
        <v>-0.0467023880693852</v>
      </c>
      <c r="O226" s="298">
        <f t="shared" si="111"/>
        <v>23855.3947822108</v>
      </c>
      <c r="P226" s="301">
        <f t="shared" si="112"/>
        <v>1.57075440755569</v>
      </c>
      <c r="Q226" s="320">
        <f t="shared" si="134"/>
        <v>9.98992425743527</v>
      </c>
      <c r="R226" s="321">
        <f t="shared" si="135"/>
        <v>1.47052753795892</v>
      </c>
      <c r="S226" s="298">
        <f t="shared" si="113"/>
        <v>1.00219311926216</v>
      </c>
      <c r="T226" s="301">
        <f t="shared" si="114"/>
        <v>0.0661682492670977</v>
      </c>
      <c r="U226" s="316">
        <f t="shared" si="126"/>
        <v>0.990663683608436</v>
      </c>
      <c r="V226" s="317">
        <f t="shared" si="127"/>
        <v>-0.164928152657169</v>
      </c>
      <c r="W226" s="318">
        <f t="shared" si="115"/>
        <v>7.00061919231449</v>
      </c>
      <c r="X226" s="319">
        <f t="shared" si="116"/>
        <v>-106.805372317168</v>
      </c>
      <c r="Y226" s="332">
        <f t="shared" si="117"/>
        <v>73.194627682832</v>
      </c>
      <c r="AA226" s="22">
        <f t="shared" si="118"/>
        <v>1000000000</v>
      </c>
      <c r="AB226" s="22">
        <f t="shared" si="119"/>
        <v>173791489</v>
      </c>
      <c r="AD226" s="331">
        <f t="shared" si="120"/>
        <v>27.6289330823187</v>
      </c>
      <c r="AE226" s="332">
        <f t="shared" si="121"/>
        <v>-9.53373805337092</v>
      </c>
      <c r="AG226" s="331">
        <f t="shared" si="122"/>
        <v>4.9225793604666</v>
      </c>
      <c r="AH226" s="332">
        <f t="shared" si="123"/>
        <v>-78.3722601019108</v>
      </c>
      <c r="AJ226" s="22">
        <f t="shared" si="124"/>
        <v>0</v>
      </c>
      <c r="AK226" s="22">
        <f t="shared" si="136"/>
        <v>0</v>
      </c>
      <c r="AM226" s="22" t="str">
        <f t="shared" si="128"/>
        <v>0.027873673060136+0.234457681619537i</v>
      </c>
      <c r="AN226" s="22" t="str">
        <f t="shared" si="129"/>
        <v>0.236660662314i</v>
      </c>
      <c r="AO226" s="22" t="str">
        <f t="shared" si="130"/>
        <v>0.990691394704456-0.117779071467118i</v>
      </c>
      <c r="AP226" s="22" t="str">
        <f t="shared" si="131"/>
        <v>0.162021054489977-0.0390762802699228i</v>
      </c>
      <c r="AQ226" s="22" t="str">
        <f t="shared" si="132"/>
        <v>0.837978945510023+0.0390762802699228i</v>
      </c>
      <c r="AR226" s="22" t="str">
        <f t="shared" si="133"/>
        <v>0.991901494494786-0.0462539315655992i</v>
      </c>
    </row>
    <row r="227" spans="7:44">
      <c r="G227" s="257">
        <v>13259.75</v>
      </c>
      <c r="H227" s="256">
        <f t="shared" si="125"/>
        <v>13.25975</v>
      </c>
      <c r="I227" s="298">
        <f t="shared" si="105"/>
        <v>12.9753219839776</v>
      </c>
      <c r="J227" s="299">
        <f t="shared" si="106"/>
        <v>1.493650449043</v>
      </c>
      <c r="K227" s="299">
        <f t="shared" si="107"/>
        <v>1.00002566798287</v>
      </c>
      <c r="L227" s="300">
        <f t="shared" si="108"/>
        <v>0.00716483549574578</v>
      </c>
      <c r="M227" s="299">
        <f t="shared" si="109"/>
        <v>1.00110428822184</v>
      </c>
      <c r="N227" s="300">
        <f t="shared" si="110"/>
        <v>-0.0469738856840348</v>
      </c>
      <c r="O227" s="298">
        <f t="shared" si="111"/>
        <v>23994.2783099607</v>
      </c>
      <c r="P227" s="301">
        <f t="shared" si="112"/>
        <v>1.57075465019236</v>
      </c>
      <c r="Q227" s="320">
        <f t="shared" si="134"/>
        <v>10.0475034092901</v>
      </c>
      <c r="R227" s="321">
        <f t="shared" si="135"/>
        <v>1.47110406431293</v>
      </c>
      <c r="S227" s="298">
        <f t="shared" si="113"/>
        <v>1.00221870145437</v>
      </c>
      <c r="T227" s="301">
        <f t="shared" si="114"/>
        <v>0.0665523404436532</v>
      </c>
      <c r="U227" s="316">
        <f t="shared" si="126"/>
        <v>0.990560664010958</v>
      </c>
      <c r="V227" s="317">
        <f t="shared" si="127"/>
        <v>-0.165879815043802</v>
      </c>
      <c r="W227" s="318">
        <f t="shared" si="115"/>
        <v>6.94898449328846</v>
      </c>
      <c r="X227" s="319">
        <f t="shared" si="116"/>
        <v>-106.887697011792</v>
      </c>
      <c r="Y227" s="332">
        <f t="shared" si="117"/>
        <v>73.1123029882084</v>
      </c>
      <c r="AA227" s="22">
        <f t="shared" si="118"/>
        <v>1000000000</v>
      </c>
      <c r="AB227" s="22">
        <f t="shared" si="119"/>
        <v>175820970.0625</v>
      </c>
      <c r="AD227" s="331">
        <f t="shared" si="120"/>
        <v>27.6282090255329</v>
      </c>
      <c r="AE227" s="332">
        <f t="shared" si="121"/>
        <v>-9.52272623191793</v>
      </c>
      <c r="AG227" s="331">
        <f t="shared" si="122"/>
        <v>4.87347531192416</v>
      </c>
      <c r="AH227" s="332">
        <f t="shared" si="123"/>
        <v>-78.3565441413124</v>
      </c>
      <c r="AJ227" s="22">
        <f t="shared" si="124"/>
        <v>0</v>
      </c>
      <c r="AK227" s="22">
        <f t="shared" si="136"/>
        <v>0</v>
      </c>
      <c r="AM227" s="22" t="str">
        <f t="shared" si="128"/>
        <v>0.028197634473844+0.235796866725935i</v>
      </c>
      <c r="AN227" s="22" t="str">
        <f t="shared" si="129"/>
        <v>0.2380384750905i</v>
      </c>
      <c r="AO227" s="22" t="str">
        <f t="shared" si="130"/>
        <v>0.990582999812477-0.118458305797512i</v>
      </c>
      <c r="AP227" s="22" t="str">
        <f t="shared" si="131"/>
        <v>0.161967060921026-0.0392994777876558i</v>
      </c>
      <c r="AQ227" s="22" t="str">
        <f t="shared" si="132"/>
        <v>0.838032939078974+0.0392994777876558i</v>
      </c>
      <c r="AR227" s="22" t="str">
        <f t="shared" si="133"/>
        <v>0.991813213581815-0.0465109896509556i</v>
      </c>
    </row>
    <row r="228" spans="7:44">
      <c r="G228" s="257">
        <v>13336.5</v>
      </c>
      <c r="H228" s="256">
        <f t="shared" si="125"/>
        <v>13.3365</v>
      </c>
      <c r="I228" s="298">
        <f t="shared" si="105"/>
        <v>13.0499808430995</v>
      </c>
      <c r="J228" s="299">
        <f t="shared" si="106"/>
        <v>1.49409267023963</v>
      </c>
      <c r="K228" s="299">
        <f t="shared" si="107"/>
        <v>1.00002596598146</v>
      </c>
      <c r="L228" s="300">
        <f t="shared" si="108"/>
        <v>0.00720630551904098</v>
      </c>
      <c r="M228" s="299">
        <f t="shared" si="109"/>
        <v>1.00111710173399</v>
      </c>
      <c r="N228" s="300">
        <f t="shared" si="110"/>
        <v>-0.0472453763687837</v>
      </c>
      <c r="O228" s="298">
        <f t="shared" si="111"/>
        <v>24133.161837712</v>
      </c>
      <c r="P228" s="301">
        <f t="shared" si="112"/>
        <v>1.57075489003634</v>
      </c>
      <c r="Q228" s="320">
        <f t="shared" si="134"/>
        <v>10.1050858627015</v>
      </c>
      <c r="R228" s="321">
        <f t="shared" si="135"/>
        <v>1.471674020341</v>
      </c>
      <c r="S228" s="298">
        <f t="shared" si="113"/>
        <v>1.00224443149236</v>
      </c>
      <c r="T228" s="301">
        <f t="shared" si="114"/>
        <v>0.0669364119557683</v>
      </c>
      <c r="U228" s="316">
        <f t="shared" si="126"/>
        <v>0.990457077037934</v>
      </c>
      <c r="V228" s="317">
        <f t="shared" si="127"/>
        <v>-0.166831331017291</v>
      </c>
      <c r="W228" s="318">
        <f t="shared" si="115"/>
        <v>6.8976385385945</v>
      </c>
      <c r="X228" s="319">
        <f t="shared" si="116"/>
        <v>-106.970094826393</v>
      </c>
      <c r="Y228" s="332">
        <f t="shared" si="117"/>
        <v>73.0299051736071</v>
      </c>
      <c r="AA228" s="22">
        <f t="shared" si="118"/>
        <v>1000000000</v>
      </c>
      <c r="AB228" s="22">
        <f t="shared" si="119"/>
        <v>177862232.25</v>
      </c>
      <c r="AD228" s="331">
        <f t="shared" si="120"/>
        <v>27.6274922842653</v>
      </c>
      <c r="AE228" s="332">
        <f t="shared" si="121"/>
        <v>-9.51208957571212</v>
      </c>
      <c r="AG228" s="331">
        <f t="shared" si="122"/>
        <v>4.82466283137761</v>
      </c>
      <c r="AH228" s="332">
        <f t="shared" si="123"/>
        <v>-78.3405429131542</v>
      </c>
      <c r="AJ228" s="22">
        <f t="shared" si="124"/>
        <v>0</v>
      </c>
      <c r="AK228" s="22">
        <f t="shared" si="136"/>
        <v>0</v>
      </c>
      <c r="AM228" s="22" t="str">
        <f t="shared" si="128"/>
        <v>0.02852344072582+0.237135604203166i</v>
      </c>
      <c r="AN228" s="22" t="str">
        <f t="shared" si="129"/>
        <v>0.239416287867i</v>
      </c>
      <c r="AO228" s="22" t="str">
        <f t="shared" si="130"/>
        <v>0.990473982851572-0.1191374278665i</v>
      </c>
      <c r="AP228" s="22" t="str">
        <f t="shared" si="131"/>
        <v>0.16191275987903-0.0395226007005277i</v>
      </c>
      <c r="AQ228" s="22" t="str">
        <f t="shared" si="132"/>
        <v>0.83808724012097+0.0395226007005277i</v>
      </c>
      <c r="AR228" s="22" t="str">
        <f t="shared" si="133"/>
        <v>0.99172445725888-0.0467678397341222i</v>
      </c>
    </row>
    <row r="229" spans="7:44">
      <c r="G229" s="257">
        <v>13413.25</v>
      </c>
      <c r="H229" s="256">
        <f t="shared" si="125"/>
        <v>13.41325</v>
      </c>
      <c r="I229" s="298">
        <f t="shared" si="105"/>
        <v>13.1246422252356</v>
      </c>
      <c r="J229" s="299">
        <f t="shared" si="106"/>
        <v>1.49452986024539</v>
      </c>
      <c r="K229" s="299">
        <f t="shared" si="107"/>
        <v>1.00002626569987</v>
      </c>
      <c r="L229" s="300">
        <f t="shared" si="108"/>
        <v>0.00724777551754948</v>
      </c>
      <c r="M229" s="299">
        <f t="shared" si="109"/>
        <v>1.00112998903377</v>
      </c>
      <c r="N229" s="300">
        <f t="shared" si="110"/>
        <v>-0.047516860083877</v>
      </c>
      <c r="O229" s="298">
        <f t="shared" si="111"/>
        <v>24272.0453654646</v>
      </c>
      <c r="P229" s="301">
        <f t="shared" si="112"/>
        <v>1.57075512713557</v>
      </c>
      <c r="Q229" s="320">
        <f t="shared" si="134"/>
        <v>10.1626715615488</v>
      </c>
      <c r="R229" s="321">
        <f t="shared" si="135"/>
        <v>1.47223751735983</v>
      </c>
      <c r="S229" s="298">
        <f t="shared" si="113"/>
        <v>1.00227030936476</v>
      </c>
      <c r="T229" s="301">
        <f t="shared" si="114"/>
        <v>0.0673204636916525</v>
      </c>
      <c r="U229" s="316">
        <f t="shared" si="126"/>
        <v>0.990352923206035</v>
      </c>
      <c r="V229" s="317">
        <f t="shared" si="127"/>
        <v>-0.167782699791794</v>
      </c>
      <c r="W229" s="318">
        <f t="shared" si="115"/>
        <v>6.84657791428609</v>
      </c>
      <c r="X229" s="319">
        <f t="shared" si="116"/>
        <v>-107.052564326811</v>
      </c>
      <c r="Y229" s="332">
        <f t="shared" si="117"/>
        <v>72.9474356731887</v>
      </c>
      <c r="AA229" s="22">
        <f t="shared" si="118"/>
        <v>1000000000</v>
      </c>
      <c r="AB229" s="22">
        <f t="shared" si="119"/>
        <v>179915275.5625</v>
      </c>
      <c r="AD229" s="331">
        <f t="shared" si="120"/>
        <v>27.6267826642328</v>
      </c>
      <c r="AE229" s="332">
        <f t="shared" si="121"/>
        <v>-9.50182170311923</v>
      </c>
      <c r="AG229" s="331">
        <f t="shared" si="122"/>
        <v>4.77613869326246</v>
      </c>
      <c r="AH229" s="332">
        <f t="shared" si="123"/>
        <v>-78.3242614549618</v>
      </c>
      <c r="AJ229" s="22">
        <f t="shared" si="124"/>
        <v>0</v>
      </c>
      <c r="AK229" s="22">
        <f t="shared" si="136"/>
        <v>0</v>
      </c>
      <c r="AM229" s="22" t="str">
        <f t="shared" si="128"/>
        <v>0.028851091197562+0.238473891509814i</v>
      </c>
      <c r="AN229" s="22" t="str">
        <f t="shared" si="129"/>
        <v>0.2407941006435i</v>
      </c>
      <c r="AO229" s="22" t="str">
        <f t="shared" si="130"/>
        <v>0.99036434394578-0.119816437032552i</v>
      </c>
      <c r="AP229" s="22" t="str">
        <f t="shared" si="131"/>
        <v>0.161858151467073-0.039745648584969i</v>
      </c>
      <c r="AQ229" s="22" t="str">
        <f t="shared" si="132"/>
        <v>0.838141848532927+0.039745648584969i</v>
      </c>
      <c r="AR229" s="22" t="str">
        <f t="shared" si="133"/>
        <v>0.991635226146962-0.0470244807509633i</v>
      </c>
    </row>
    <row r="230" spans="7:44">
      <c r="G230" s="257">
        <v>13490</v>
      </c>
      <c r="H230" s="256">
        <f t="shared" si="125"/>
        <v>13.49</v>
      </c>
      <c r="I230" s="298">
        <f t="shared" si="105"/>
        <v>13.1993060875718</v>
      </c>
      <c r="J230" s="299">
        <f t="shared" si="106"/>
        <v>1.4949621042708</v>
      </c>
      <c r="K230" s="299">
        <f t="shared" si="107"/>
        <v>1.00002656713808</v>
      </c>
      <c r="L230" s="300">
        <f t="shared" si="108"/>
        <v>0.00728924549112869</v>
      </c>
      <c r="M230" s="299">
        <f t="shared" si="109"/>
        <v>1.00114295011835</v>
      </c>
      <c r="N230" s="300">
        <f t="shared" si="110"/>
        <v>-0.0477883367895661</v>
      </c>
      <c r="O230" s="298">
        <f t="shared" si="111"/>
        <v>24410.9288932186</v>
      </c>
      <c r="P230" s="301">
        <f t="shared" si="112"/>
        <v>1.57075536153689</v>
      </c>
      <c r="Q230" s="320">
        <f t="shared" si="134"/>
        <v>10.2202604509731</v>
      </c>
      <c r="R230" s="321">
        <f t="shared" si="135"/>
        <v>1.47279466419373</v>
      </c>
      <c r="S230" s="298">
        <f t="shared" si="113"/>
        <v>1.00229633506011</v>
      </c>
      <c r="T230" s="301">
        <f t="shared" si="114"/>
        <v>0.0677044955395498</v>
      </c>
      <c r="U230" s="316">
        <f t="shared" si="126"/>
        <v>0.990248203034468</v>
      </c>
      <c r="V230" s="317">
        <f t="shared" si="127"/>
        <v>-0.168733920582515</v>
      </c>
      <c r="W230" s="318">
        <f t="shared" si="115"/>
        <v>6.79579926575649</v>
      </c>
      <c r="X230" s="319">
        <f t="shared" si="116"/>
        <v>-107.135104109122</v>
      </c>
      <c r="Y230" s="332">
        <f t="shared" si="117"/>
        <v>72.8648958908778</v>
      </c>
      <c r="AA230" s="22">
        <f t="shared" si="118"/>
        <v>1000000000</v>
      </c>
      <c r="AB230" s="22">
        <f t="shared" si="119"/>
        <v>181980100</v>
      </c>
      <c r="AD230" s="331">
        <f t="shared" si="120"/>
        <v>27.6260799766169</v>
      </c>
      <c r="AE230" s="332">
        <f t="shared" si="121"/>
        <v>-9.49191637524609</v>
      </c>
      <c r="AG230" s="331">
        <f t="shared" si="122"/>
        <v>4.72789972585934</v>
      </c>
      <c r="AH230" s="332">
        <f t="shared" si="123"/>
        <v>-78.3077046916347</v>
      </c>
      <c r="AJ230" s="22">
        <f t="shared" si="124"/>
        <v>0</v>
      </c>
      <c r="AK230" s="22">
        <f t="shared" si="136"/>
        <v>0</v>
      </c>
      <c r="AM230" s="22" t="str">
        <f t="shared" si="128"/>
        <v>0.029180585267071+0.239811726105319i</v>
      </c>
      <c r="AN230" s="22" t="str">
        <f t="shared" si="129"/>
        <v>0.24217191342i</v>
      </c>
      <c r="AO230" s="22" t="str">
        <f t="shared" si="130"/>
        <v>0.99025408321985-0.120495332654299i</v>
      </c>
      <c r="AP230" s="22" t="str">
        <f t="shared" si="131"/>
        <v>0.161803235788821-0.0399686210175532i</v>
      </c>
      <c r="AQ230" s="22" t="str">
        <f t="shared" si="132"/>
        <v>0.838196764211179+0.0399686210175532i</v>
      </c>
      <c r="AR230" s="22" t="str">
        <f t="shared" si="133"/>
        <v>0.991545520869986-0.0472809116396447i</v>
      </c>
    </row>
    <row r="231" spans="7:44">
      <c r="G231" s="257">
        <v>13568.5</v>
      </c>
      <c r="H231" s="256">
        <f t="shared" si="125"/>
        <v>13.5685</v>
      </c>
      <c r="I231" s="298">
        <f t="shared" si="105"/>
        <v>13.2756749053059</v>
      </c>
      <c r="J231" s="299">
        <f t="shared" si="106"/>
        <v>1.49539917441023</v>
      </c>
      <c r="K231" s="299">
        <f t="shared" si="107"/>
        <v>1.00002687722854</v>
      </c>
      <c r="L231" s="300">
        <f t="shared" si="108"/>
        <v>0.00733166100820098</v>
      </c>
      <c r="M231" s="299">
        <f t="shared" si="109"/>
        <v>1.0011562830571</v>
      </c>
      <c r="N231" s="300">
        <f t="shared" si="110"/>
        <v>-0.0480659962254744</v>
      </c>
      <c r="O231" s="298">
        <f t="shared" si="111"/>
        <v>24552.9791463625</v>
      </c>
      <c r="P231" s="301">
        <f t="shared" si="112"/>
        <v>1.57075559853971</v>
      </c>
      <c r="Q231" s="320">
        <f t="shared" si="134"/>
        <v>10.2791656867459</v>
      </c>
      <c r="R231" s="321">
        <f t="shared" si="135"/>
        <v>1.47335805656735</v>
      </c>
      <c r="S231" s="298">
        <f t="shared" si="113"/>
        <v>1.00232310708043</v>
      </c>
      <c r="T231" s="301">
        <f t="shared" si="114"/>
        <v>0.0680972631241327</v>
      </c>
      <c r="U231" s="316">
        <f t="shared" si="126"/>
        <v>0.990140509793575</v>
      </c>
      <c r="V231" s="317">
        <f t="shared" si="127"/>
        <v>-0.169706676546115</v>
      </c>
      <c r="W231" s="318">
        <f t="shared" si="115"/>
        <v>6.74415105525484</v>
      </c>
      <c r="X231" s="319">
        <f t="shared" si="116"/>
        <v>-107.219597177444</v>
      </c>
      <c r="Y231" s="332">
        <f t="shared" si="117"/>
        <v>72.7804028225557</v>
      </c>
      <c r="AA231" s="22">
        <f t="shared" si="118"/>
        <v>1000000000</v>
      </c>
      <c r="AB231" s="22">
        <f t="shared" si="119"/>
        <v>184104192.25</v>
      </c>
      <c r="AD231" s="331">
        <f t="shared" si="120"/>
        <v>27.6253682468543</v>
      </c>
      <c r="AE231" s="332">
        <f t="shared" si="121"/>
        <v>-9.48215387420432</v>
      </c>
      <c r="AG231" s="331">
        <f t="shared" si="122"/>
        <v>4.67885259462033</v>
      </c>
      <c r="AH231" s="332">
        <f t="shared" si="123"/>
        <v>-78.2904906384505</v>
      </c>
      <c r="AJ231" s="22">
        <f t="shared" si="124"/>
        <v>0</v>
      </c>
      <c r="AK231" s="22">
        <f t="shared" si="136"/>
        <v>0</v>
      </c>
      <c r="AM231" s="22" t="str">
        <f t="shared" si="128"/>
        <v>0.029519498710332+0.241179594113088i</v>
      </c>
      <c r="AN231" s="22" t="str">
        <f t="shared" si="129"/>
        <v>0.243581142123i</v>
      </c>
      <c r="AO231" s="22" t="str">
        <f t="shared" si="130"/>
        <v>0.99014066528722-0.121189589855136i</v>
      </c>
      <c r="AP231" s="22" t="str">
        <f t="shared" si="131"/>
        <v>0.161746750214945-0.040196599018848i</v>
      </c>
      <c r="AQ231" s="22" t="str">
        <f t="shared" si="132"/>
        <v>0.838253249785055+0.040196599018848i</v>
      </c>
      <c r="AR231" s="22" t="str">
        <f t="shared" si="133"/>
        <v>0.991453280343551-0.0475429710127701i</v>
      </c>
    </row>
    <row r="232" spans="7:44">
      <c r="G232" s="257">
        <v>13647</v>
      </c>
      <c r="H232" s="256">
        <f t="shared" si="125"/>
        <v>13.647</v>
      </c>
      <c r="I232" s="298">
        <f t="shared" si="105"/>
        <v>13.3520462300854</v>
      </c>
      <c r="J232" s="299">
        <f t="shared" si="106"/>
        <v>1.49583124470481</v>
      </c>
      <c r="K232" s="299">
        <f t="shared" si="107"/>
        <v>1.00002718911813</v>
      </c>
      <c r="L232" s="300">
        <f t="shared" si="108"/>
        <v>0.00737407649889237</v>
      </c>
      <c r="M232" s="299">
        <f t="shared" si="109"/>
        <v>1.0011696931777</v>
      </c>
      <c r="N232" s="300">
        <f t="shared" si="110"/>
        <v>-0.0483436482445952</v>
      </c>
      <c r="O232" s="298">
        <f t="shared" si="111"/>
        <v>24695.0293995078</v>
      </c>
      <c r="P232" s="301">
        <f t="shared" si="112"/>
        <v>1.57075583281596</v>
      </c>
      <c r="Q232" s="320">
        <f t="shared" si="134"/>
        <v>10.3380741480568</v>
      </c>
      <c r="R232" s="321">
        <f t="shared" si="135"/>
        <v>1.47391502846608</v>
      </c>
      <c r="S232" s="298">
        <f t="shared" si="113"/>
        <v>1.00235003371722</v>
      </c>
      <c r="T232" s="301">
        <f t="shared" si="114"/>
        <v>0.0684900096670712</v>
      </c>
      <c r="U232" s="316">
        <f t="shared" si="126"/>
        <v>0.99003222519881</v>
      </c>
      <c r="V232" s="317">
        <f t="shared" si="127"/>
        <v>-0.170679276043145</v>
      </c>
      <c r="W232" s="318">
        <f t="shared" si="115"/>
        <v>6.69279091146428</v>
      </c>
      <c r="X232" s="319">
        <f t="shared" si="116"/>
        <v>-107.304160891741</v>
      </c>
      <c r="Y232" s="332">
        <f t="shared" si="117"/>
        <v>72.6958391082594</v>
      </c>
      <c r="AA232" s="22">
        <f t="shared" si="118"/>
        <v>1000000000</v>
      </c>
      <c r="AB232" s="22">
        <f t="shared" si="119"/>
        <v>186240609</v>
      </c>
      <c r="AD232" s="331">
        <f t="shared" si="120"/>
        <v>27.6246633864106</v>
      </c>
      <c r="AE232" s="332">
        <f t="shared" si="121"/>
        <v>-9.47275787745778</v>
      </c>
      <c r="AG232" s="331">
        <f t="shared" si="122"/>
        <v>4.63009724257526</v>
      </c>
      <c r="AH232" s="332">
        <f t="shared" si="123"/>
        <v>-78.2729986566929</v>
      </c>
      <c r="AJ232" s="22">
        <f t="shared" si="124"/>
        <v>0</v>
      </c>
      <c r="AK232" s="22">
        <f t="shared" si="136"/>
        <v>0</v>
      </c>
      <c r="AM232" s="22" t="str">
        <f t="shared" si="128"/>
        <v>0.029860339455285+0.242546983156221i</v>
      </c>
      <c r="AN232" s="22" t="str">
        <f t="shared" si="129"/>
        <v>0.244990370826i</v>
      </c>
      <c r="AO232" s="22" t="str">
        <f t="shared" si="130"/>
        <v>0.990026597120773-0.121883726917956i</v>
      </c>
      <c r="AP232" s="22" t="str">
        <f t="shared" si="131"/>
        <v>0.161689943424119-0.0404244971927035i</v>
      </c>
      <c r="AQ232" s="22" t="str">
        <f t="shared" si="132"/>
        <v>0.838310056575881+0.0404244971927035i</v>
      </c>
      <c r="AR232" s="22" t="str">
        <f t="shared" si="133"/>
        <v>0.991360545112081-0.0478048083265632i</v>
      </c>
    </row>
    <row r="233" spans="7:44">
      <c r="G233" s="257">
        <v>13725.5</v>
      </c>
      <c r="H233" s="256">
        <f t="shared" si="125"/>
        <v>13.7255</v>
      </c>
      <c r="I233" s="298">
        <f t="shared" si="105"/>
        <v>13.4284200191353</v>
      </c>
      <c r="J233" s="299">
        <f t="shared" si="106"/>
        <v>1.49625840030129</v>
      </c>
      <c r="K233" s="299">
        <f t="shared" si="107"/>
        <v>1.00002750280684</v>
      </c>
      <c r="L233" s="300">
        <f t="shared" si="108"/>
        <v>0.00741649196305029</v>
      </c>
      <c r="M233" s="299">
        <f t="shared" si="109"/>
        <v>1.00118318047705</v>
      </c>
      <c r="N233" s="300">
        <f t="shared" si="110"/>
        <v>-0.0486212928044184</v>
      </c>
      <c r="O233" s="298">
        <f t="shared" si="111"/>
        <v>24837.0796526544</v>
      </c>
      <c r="P233" s="301">
        <f t="shared" si="112"/>
        <v>1.57075606441243</v>
      </c>
      <c r="Q233" s="320">
        <f t="shared" si="134"/>
        <v>10.3969857800789</v>
      </c>
      <c r="R233" s="321">
        <f t="shared" si="135"/>
        <v>1.47446568868092</v>
      </c>
      <c r="S233" s="298">
        <f t="shared" si="113"/>
        <v>1.00237711495804</v>
      </c>
      <c r="T233" s="301">
        <f t="shared" si="114"/>
        <v>0.0688827350489038</v>
      </c>
      <c r="U233" s="316">
        <f t="shared" si="126"/>
        <v>0.989923349813927</v>
      </c>
      <c r="V233" s="317">
        <f t="shared" si="127"/>
        <v>-0.171651718237256</v>
      </c>
      <c r="W233" s="318">
        <f t="shared" si="115"/>
        <v>6.64171542888628</v>
      </c>
      <c r="X233" s="319">
        <f t="shared" si="116"/>
        <v>-107.388793842785</v>
      </c>
      <c r="Y233" s="332">
        <f t="shared" si="117"/>
        <v>72.6112061572148</v>
      </c>
      <c r="AA233" s="22">
        <f t="shared" si="118"/>
        <v>1000000000</v>
      </c>
      <c r="AB233" s="22">
        <f t="shared" si="119"/>
        <v>188389350.25</v>
      </c>
      <c r="AD233" s="331">
        <f t="shared" si="120"/>
        <v>27.623965209828</v>
      </c>
      <c r="AE233" s="332">
        <f t="shared" si="121"/>
        <v>-9.46372214757842</v>
      </c>
      <c r="AG233" s="331">
        <f t="shared" si="122"/>
        <v>4.58163044324019</v>
      </c>
      <c r="AH233" s="332">
        <f t="shared" si="123"/>
        <v>-78.2552336704036</v>
      </c>
      <c r="AJ233" s="22">
        <f t="shared" si="124"/>
        <v>0</v>
      </c>
      <c r="AK233" s="22">
        <f t="shared" si="136"/>
        <v>0</v>
      </c>
      <c r="AM233" s="22" t="str">
        <f t="shared" si="128"/>
        <v>0.030203106825045+0.243913890519186i</v>
      </c>
      <c r="AN233" s="22" t="str">
        <f t="shared" si="129"/>
        <v>0.246399599529i</v>
      </c>
      <c r="AO233" s="22" t="str">
        <f t="shared" si="130"/>
        <v>0.989911878856274-0.122577743156966i</v>
      </c>
      <c r="AP233" s="22" t="str">
        <f t="shared" si="131"/>
        <v>0.161632815529159-0.040652315086531i</v>
      </c>
      <c r="AQ233" s="22" t="str">
        <f t="shared" si="132"/>
        <v>0.838367184470841+0.040652315086531i</v>
      </c>
      <c r="AR233" s="22" t="str">
        <f t="shared" si="133"/>
        <v>0.991267315852683-0.0480664224524221i</v>
      </c>
    </row>
    <row r="234" spans="7:44">
      <c r="G234" s="257">
        <v>13804</v>
      </c>
      <c r="H234" s="256">
        <f t="shared" si="125"/>
        <v>13.804</v>
      </c>
      <c r="I234" s="298">
        <f t="shared" si="105"/>
        <v>13.504796230647</v>
      </c>
      <c r="J234" s="299">
        <f t="shared" si="106"/>
        <v>1.49668072442749</v>
      </c>
      <c r="K234" s="299">
        <f t="shared" si="107"/>
        <v>1.00002781829467</v>
      </c>
      <c r="L234" s="300">
        <f t="shared" si="108"/>
        <v>0.00745890740052214</v>
      </c>
      <c r="M234" s="299">
        <f t="shared" si="109"/>
        <v>1.00119674495202</v>
      </c>
      <c r="N234" s="300">
        <f t="shared" si="110"/>
        <v>-0.0488989298624413</v>
      </c>
      <c r="O234" s="298">
        <f t="shared" si="111"/>
        <v>24979.1299058023</v>
      </c>
      <c r="P234" s="301">
        <f t="shared" si="112"/>
        <v>1.57075629337484</v>
      </c>
      <c r="Q234" s="320">
        <f t="shared" si="134"/>
        <v>10.455900529218</v>
      </c>
      <c r="R234" s="321">
        <f t="shared" si="135"/>
        <v>1.47501014356637</v>
      </c>
      <c r="S234" s="298">
        <f t="shared" si="113"/>
        <v>1.00240435079035</v>
      </c>
      <c r="T234" s="301">
        <f t="shared" si="114"/>
        <v>0.0692754391502079</v>
      </c>
      <c r="U234" s="316">
        <f t="shared" si="126"/>
        <v>0.989813884205424</v>
      </c>
      <c r="V234" s="317">
        <f t="shared" si="127"/>
        <v>-0.172624002293258</v>
      </c>
      <c r="W234" s="318">
        <f t="shared" si="115"/>
        <v>6.59092126116056</v>
      </c>
      <c r="X234" s="319">
        <f t="shared" si="116"/>
        <v>-107.473494651015</v>
      </c>
      <c r="Y234" s="332">
        <f t="shared" si="117"/>
        <v>72.5265053489853</v>
      </c>
      <c r="AA234" s="22">
        <f t="shared" si="118"/>
        <v>1000000000</v>
      </c>
      <c r="AB234" s="22">
        <f t="shared" si="119"/>
        <v>190550416</v>
      </c>
      <c r="AD234" s="331">
        <f t="shared" si="120"/>
        <v>27.623273536866</v>
      </c>
      <c r="AE234" s="332">
        <f t="shared" si="121"/>
        <v>-9.45504058667847</v>
      </c>
      <c r="AG234" s="331">
        <f t="shared" si="122"/>
        <v>4.53344902401981</v>
      </c>
      <c r="AH234" s="332">
        <f t="shared" si="123"/>
        <v>-78.2372004936118</v>
      </c>
      <c r="AJ234" s="22">
        <f t="shared" si="124"/>
        <v>0</v>
      </c>
      <c r="AK234" s="22">
        <f t="shared" si="136"/>
        <v>0</v>
      </c>
      <c r="AM234" s="22" t="str">
        <f t="shared" si="128"/>
        <v>0.030547800138904+0.245280313487407i</v>
      </c>
      <c r="AN234" s="22" t="str">
        <f t="shared" si="129"/>
        <v>0.247808828232i</v>
      </c>
      <c r="AO234" s="22" t="str">
        <f t="shared" si="130"/>
        <v>0.98979651063026-0.123271637886544i</v>
      </c>
      <c r="AP234" s="22" t="str">
        <f t="shared" si="131"/>
        <v>0.161575366643516-0.0408800522479012i</v>
      </c>
      <c r="AQ234" s="22" t="str">
        <f t="shared" si="132"/>
        <v>0.838424633356484+0.0408800522479012i</v>
      </c>
      <c r="AR234" s="22" t="str">
        <f t="shared" si="133"/>
        <v>0.991173593245645-0.0483278122643062i</v>
      </c>
    </row>
    <row r="235" spans="7:44">
      <c r="G235" s="257">
        <v>13884.25</v>
      </c>
      <c r="H235" s="256">
        <f t="shared" si="125"/>
        <v>13.88425</v>
      </c>
      <c r="I235" s="298">
        <f t="shared" si="105"/>
        <v>13.5828775580703</v>
      </c>
      <c r="J235" s="299">
        <f t="shared" si="106"/>
        <v>1.49710755390792</v>
      </c>
      <c r="K235" s="299">
        <f t="shared" si="107"/>
        <v>1.0000281426754</v>
      </c>
      <c r="L235" s="300">
        <f t="shared" si="108"/>
        <v>0.00750226837732741</v>
      </c>
      <c r="M235" s="299">
        <f t="shared" si="109"/>
        <v>1.001210691592</v>
      </c>
      <c r="N235" s="300">
        <f t="shared" si="110"/>
        <v>-0.0491827484828553</v>
      </c>
      <c r="O235" s="298">
        <f t="shared" si="111"/>
        <v>25124.3468843402</v>
      </c>
      <c r="P235" s="301">
        <f t="shared" si="112"/>
        <v>1.57075652476522</v>
      </c>
      <c r="Q235" s="320">
        <f t="shared" si="134"/>
        <v>10.5161318320541</v>
      </c>
      <c r="R235" s="321">
        <f t="shared" si="135"/>
        <v>1.47556042988077</v>
      </c>
      <c r="S235" s="298">
        <f t="shared" si="113"/>
        <v>1.00243235357713</v>
      </c>
      <c r="T235" s="301">
        <f t="shared" si="114"/>
        <v>0.0696768756797926</v>
      </c>
      <c r="U235" s="316">
        <f t="shared" si="126"/>
        <v>0.989701368766551</v>
      </c>
      <c r="V235" s="317">
        <f t="shared" si="127"/>
        <v>-0.173617797137517</v>
      </c>
      <c r="W235" s="318">
        <f t="shared" si="115"/>
        <v>6.53928210685601</v>
      </c>
      <c r="X235" s="319">
        <f t="shared" si="116"/>
        <v>-107.560152430563</v>
      </c>
      <c r="Y235" s="332">
        <f t="shared" si="117"/>
        <v>72.4398475694367</v>
      </c>
      <c r="AA235" s="22">
        <f t="shared" si="118"/>
        <v>1000000000</v>
      </c>
      <c r="AB235" s="22">
        <f t="shared" si="119"/>
        <v>192772398.0625</v>
      </c>
      <c r="AD235" s="331">
        <f t="shared" si="120"/>
        <v>27.6225729847397</v>
      </c>
      <c r="AE235" s="332">
        <f t="shared" si="121"/>
        <v>-9.44652537991013</v>
      </c>
      <c r="AG235" s="331">
        <f t="shared" si="122"/>
        <v>4.48448524205918</v>
      </c>
      <c r="AH235" s="332">
        <f t="shared" si="123"/>
        <v>-78.2184929792434</v>
      </c>
      <c r="AJ235" s="22">
        <f t="shared" si="124"/>
        <v>0</v>
      </c>
      <c r="AK235" s="22">
        <f t="shared" si="136"/>
        <v>0</v>
      </c>
      <c r="AM235" s="22" t="str">
        <f t="shared" si="128"/>
        <v>0.030902167810998+0.246676694575263i</v>
      </c>
      <c r="AN235" s="22" t="str">
        <f t="shared" si="129"/>
        <v>0.2492494728615i</v>
      </c>
      <c r="AO235" s="22" t="str">
        <f t="shared" si="130"/>
        <v>0.989677898786704-0.123980875290233i</v>
      </c>
      <c r="AP235" s="22" t="str">
        <f t="shared" si="131"/>
        <v>0.161516305364834-0.0411127824292105i</v>
      </c>
      <c r="AQ235" s="22" t="str">
        <f t="shared" si="132"/>
        <v>0.838483694635166+0.0411127824292105i</v>
      </c>
      <c r="AR235" s="22" t="str">
        <f t="shared" si="133"/>
        <v>0.991077272025354-0.0485947961970124i</v>
      </c>
    </row>
    <row r="236" spans="7:44">
      <c r="G236" s="257">
        <v>13964.5</v>
      </c>
      <c r="H236" s="256">
        <f t="shared" si="125"/>
        <v>13.9645</v>
      </c>
      <c r="I236" s="298">
        <f t="shared" si="105"/>
        <v>13.6609613317806</v>
      </c>
      <c r="J236" s="299">
        <f t="shared" si="106"/>
        <v>1.49752950409241</v>
      </c>
      <c r="K236" s="299">
        <f t="shared" si="107"/>
        <v>1.00002846893635</v>
      </c>
      <c r="L236" s="300">
        <f t="shared" si="108"/>
        <v>0.00754562932592102</v>
      </c>
      <c r="M236" s="299">
        <f t="shared" si="109"/>
        <v>1.00122471888026</v>
      </c>
      <c r="N236" s="300">
        <f t="shared" si="110"/>
        <v>-0.0494665591734592</v>
      </c>
      <c r="O236" s="298">
        <f t="shared" si="111"/>
        <v>25269.5638628795</v>
      </c>
      <c r="P236" s="301">
        <f t="shared" si="112"/>
        <v>1.57075675349614</v>
      </c>
      <c r="Q236" s="320">
        <f t="shared" si="134"/>
        <v>10.5763662830623</v>
      </c>
      <c r="R236" s="321">
        <f t="shared" si="135"/>
        <v>1.47610444838442</v>
      </c>
      <c r="S236" s="298">
        <f t="shared" si="113"/>
        <v>1.00246051789814</v>
      </c>
      <c r="T236" s="301">
        <f t="shared" si="114"/>
        <v>0.0700782897171896</v>
      </c>
      <c r="U236" s="316">
        <f t="shared" si="126"/>
        <v>0.989588237701065</v>
      </c>
      <c r="V236" s="317">
        <f t="shared" si="127"/>
        <v>-0.174611424952866</v>
      </c>
      <c r="W236" s="318">
        <f t="shared" si="115"/>
        <v>6.48793006079548</v>
      </c>
      <c r="X236" s="319">
        <f t="shared" si="116"/>
        <v>-107.646878302287</v>
      </c>
      <c r="Y236" s="332">
        <f t="shared" si="117"/>
        <v>72.3531216977127</v>
      </c>
      <c r="AA236" s="22">
        <f t="shared" si="118"/>
        <v>1000000000</v>
      </c>
      <c r="AB236" s="22">
        <f t="shared" si="119"/>
        <v>195007260.25</v>
      </c>
      <c r="AD236" s="331">
        <f t="shared" si="120"/>
        <v>27.6218788644446</v>
      </c>
      <c r="AE236" s="332">
        <f t="shared" si="121"/>
        <v>-9.43836785116112</v>
      </c>
      <c r="AG236" s="331">
        <f t="shared" si="122"/>
        <v>4.43581316808084</v>
      </c>
      <c r="AH236" s="332">
        <f t="shared" si="123"/>
        <v>-78.1995150191336</v>
      </c>
      <c r="AJ236" s="22">
        <f t="shared" si="124"/>
        <v>0</v>
      </c>
      <c r="AK236" s="22">
        <f t="shared" si="136"/>
        <v>0</v>
      </c>
      <c r="AM236" s="22" t="str">
        <f t="shared" si="128"/>
        <v>0.031258546803575+0.248072563696348i</v>
      </c>
      <c r="AN236" s="22" t="str">
        <f t="shared" si="129"/>
        <v>0.250690117491i</v>
      </c>
      <c r="AO236" s="22" t="str">
        <f t="shared" si="130"/>
        <v>0.989558607970472-0.124689984257944i</v>
      </c>
      <c r="AP236" s="22" t="str">
        <f t="shared" si="131"/>
        <v>0.161456908866071-0.0413454272827247i</v>
      </c>
      <c r="AQ236" s="22" t="str">
        <f t="shared" si="132"/>
        <v>0.838543091133929+0.0413454272827247i</v>
      </c>
      <c r="AR236" s="22" t="str">
        <f t="shared" si="133"/>
        <v>0.990980436663748-0.0488615433313967i</v>
      </c>
    </row>
    <row r="237" spans="7:44">
      <c r="G237" s="257">
        <v>14044.75</v>
      </c>
      <c r="H237" s="256">
        <f t="shared" si="125"/>
        <v>14.04475</v>
      </c>
      <c r="I237" s="298">
        <f t="shared" si="105"/>
        <v>13.7390475100686</v>
      </c>
      <c r="J237" s="299">
        <f t="shared" si="106"/>
        <v>1.49794665802419</v>
      </c>
      <c r="K237" s="299">
        <f t="shared" si="107"/>
        <v>1.00002879707752</v>
      </c>
      <c r="L237" s="300">
        <f t="shared" si="108"/>
        <v>0.00758899024613995</v>
      </c>
      <c r="M237" s="299">
        <f t="shared" si="109"/>
        <v>1.00123882681341</v>
      </c>
      <c r="N237" s="300">
        <f t="shared" si="110"/>
        <v>-0.0497503618888661</v>
      </c>
      <c r="O237" s="298">
        <f t="shared" si="111"/>
        <v>25414.78084142</v>
      </c>
      <c r="P237" s="301">
        <f t="shared" si="112"/>
        <v>1.57075697961317</v>
      </c>
      <c r="Q237" s="320">
        <f t="shared" si="134"/>
        <v>10.6366038287588</v>
      </c>
      <c r="R237" s="321">
        <f t="shared" si="135"/>
        <v>1.47664230524072</v>
      </c>
      <c r="S237" s="298">
        <f t="shared" si="113"/>
        <v>1.00248884373975</v>
      </c>
      <c r="T237" s="301">
        <f t="shared" si="114"/>
        <v>0.070479681134938</v>
      </c>
      <c r="U237" s="316">
        <f t="shared" si="126"/>
        <v>0.989474491623058</v>
      </c>
      <c r="V237" s="317">
        <f t="shared" si="127"/>
        <v>-0.175604884850748</v>
      </c>
      <c r="W237" s="318">
        <f t="shared" si="115"/>
        <v>6.43686173070716</v>
      </c>
      <c r="X237" s="319">
        <f t="shared" si="116"/>
        <v>-107.733670883305</v>
      </c>
      <c r="Y237" s="332">
        <f t="shared" si="117"/>
        <v>72.2663291166952</v>
      </c>
      <c r="AA237" s="22">
        <f t="shared" si="118"/>
        <v>1000000000</v>
      </c>
      <c r="AB237" s="22">
        <f t="shared" si="119"/>
        <v>197255002.5625</v>
      </c>
      <c r="AD237" s="331">
        <f t="shared" si="120"/>
        <v>27.6211909992105</v>
      </c>
      <c r="AE237" s="332">
        <f t="shared" si="121"/>
        <v>-9.4305619130254</v>
      </c>
      <c r="AG237" s="331">
        <f t="shared" si="122"/>
        <v>4.38742957955957</v>
      </c>
      <c r="AH237" s="332">
        <f t="shared" si="123"/>
        <v>-78.1802714196286</v>
      </c>
      <c r="AJ237" s="22">
        <f t="shared" si="124"/>
        <v>0</v>
      </c>
      <c r="AK237" s="22">
        <f t="shared" si="136"/>
        <v>0</v>
      </c>
      <c r="AM237" s="22" t="str">
        <f t="shared" si="128"/>
        <v>0.031616936376984+0.249467917953595i</v>
      </c>
      <c r="AN237" s="22" t="str">
        <f t="shared" si="129"/>
        <v>0.2521307621205i</v>
      </c>
      <c r="AO237" s="22" t="str">
        <f t="shared" si="130"/>
        <v>0.98943863832993-0.12539896405768i</v>
      </c>
      <c r="AP237" s="22" t="str">
        <f t="shared" si="131"/>
        <v>0.161397177270503-0.0415779863255992i</v>
      </c>
      <c r="AQ237" s="22" t="str">
        <f t="shared" si="132"/>
        <v>0.838602822729497+0.0415779863255992i</v>
      </c>
      <c r="AR237" s="22" t="str">
        <f t="shared" si="133"/>
        <v>0.99088308789788-0.0491280524727912i</v>
      </c>
    </row>
    <row r="238" spans="7:44">
      <c r="G238" s="257">
        <v>14125</v>
      </c>
      <c r="H238" s="256">
        <f t="shared" si="125"/>
        <v>14.125</v>
      </c>
      <c r="I238" s="298">
        <f t="shared" si="105"/>
        <v>13.8171360521666</v>
      </c>
      <c r="J238" s="299">
        <f t="shared" si="106"/>
        <v>1.49835909687594</v>
      </c>
      <c r="K238" s="299">
        <f t="shared" si="107"/>
        <v>1.00002912709892</v>
      </c>
      <c r="L238" s="300">
        <f t="shared" si="108"/>
        <v>0.00763235113782118</v>
      </c>
      <c r="M238" s="299">
        <f t="shared" si="109"/>
        <v>1.00125301538805</v>
      </c>
      <c r="N238" s="300">
        <f t="shared" si="110"/>
        <v>-0.0500341565836969</v>
      </c>
      <c r="O238" s="298">
        <f t="shared" si="111"/>
        <v>25559.9978199618</v>
      </c>
      <c r="P238" s="301">
        <f t="shared" si="112"/>
        <v>1.57075720316088</v>
      </c>
      <c r="Q238" s="320">
        <f t="shared" si="134"/>
        <v>10.696844416862</v>
      </c>
      <c r="R238" s="321">
        <f t="shared" si="135"/>
        <v>1.47717410423604</v>
      </c>
      <c r="S238" s="298">
        <f t="shared" si="113"/>
        <v>1.00251733108829</v>
      </c>
      <c r="T238" s="301">
        <f t="shared" si="114"/>
        <v>0.07088104980562</v>
      </c>
      <c r="U238" s="316">
        <f t="shared" si="126"/>
        <v>0.989360131149603</v>
      </c>
      <c r="V238" s="317">
        <f t="shared" si="127"/>
        <v>-0.176598175943891</v>
      </c>
      <c r="W238" s="318">
        <f t="shared" si="115"/>
        <v>6.38607378314672</v>
      </c>
      <c r="X238" s="319">
        <f t="shared" si="116"/>
        <v>-107.820528819772</v>
      </c>
      <c r="Y238" s="332">
        <f t="shared" si="117"/>
        <v>72.1794711802276</v>
      </c>
      <c r="AA238" s="22">
        <f t="shared" si="118"/>
        <v>1000000000</v>
      </c>
      <c r="AB238" s="22">
        <f t="shared" si="119"/>
        <v>199515625</v>
      </c>
      <c r="AD238" s="331">
        <f t="shared" si="120"/>
        <v>27.6205092172383</v>
      </c>
      <c r="AE238" s="332">
        <f t="shared" si="121"/>
        <v>-9.42310161423467</v>
      </c>
      <c r="AG238" s="331">
        <f t="shared" si="122"/>
        <v>4.33933130779141</v>
      </c>
      <c r="AH238" s="332">
        <f t="shared" si="123"/>
        <v>-78.1607668798265</v>
      </c>
      <c r="AJ238" s="22">
        <f t="shared" si="124"/>
        <v>0</v>
      </c>
      <c r="AK238" s="22">
        <f t="shared" si="136"/>
        <v>0</v>
      </c>
      <c r="AM238" s="22" t="str">
        <f t="shared" si="128"/>
        <v>0.031977335787404+0.250862754451008i</v>
      </c>
      <c r="AN238" s="22" t="str">
        <f t="shared" si="129"/>
        <v>0.25357140675i</v>
      </c>
      <c r="AO238" s="22" t="str">
        <f t="shared" si="130"/>
        <v>0.989317990014298-0.126107813957632i</v>
      </c>
      <c r="AP238" s="22" t="str">
        <f t="shared" si="131"/>
        <v>0.161337110702099-0.041810459075168i</v>
      </c>
      <c r="AQ238" s="22" t="str">
        <f t="shared" si="132"/>
        <v>0.838662889297901+0.041810459075168i</v>
      </c>
      <c r="AR238" s="22" t="str">
        <f t="shared" si="133"/>
        <v>0.99078522646823-0.0493943224293741i</v>
      </c>
    </row>
    <row r="239" spans="7:44">
      <c r="G239" s="257">
        <v>14207.25</v>
      </c>
      <c r="H239" s="256">
        <f t="shared" si="125"/>
        <v>14.20725</v>
      </c>
      <c r="I239" s="298">
        <f t="shared" si="105"/>
        <v>13.8971731373733</v>
      </c>
      <c r="J239" s="299">
        <f t="shared" si="106"/>
        <v>1.49877700478664</v>
      </c>
      <c r="K239" s="299">
        <f t="shared" si="107"/>
        <v>1.00002946729624</v>
      </c>
      <c r="L239" s="300">
        <f t="shared" si="108"/>
        <v>0.00767679264499398</v>
      </c>
      <c r="M239" s="299">
        <f t="shared" si="109"/>
        <v>1.0012676412496</v>
      </c>
      <c r="N239" s="300">
        <f t="shared" si="110"/>
        <v>-0.0503250156731338</v>
      </c>
      <c r="O239" s="298">
        <f t="shared" si="111"/>
        <v>25708.833913235</v>
      </c>
      <c r="P239" s="301">
        <f t="shared" si="112"/>
        <v>1.57075742965924</v>
      </c>
      <c r="Q239" s="320">
        <f t="shared" si="134"/>
        <v>10.7585894316464</v>
      </c>
      <c r="R239" s="321">
        <f t="shared" si="135"/>
        <v>1.47771297674479</v>
      </c>
      <c r="S239" s="298">
        <f t="shared" si="113"/>
        <v>1.0025466959822</v>
      </c>
      <c r="T239" s="301">
        <f t="shared" si="114"/>
        <v>0.071292397696066</v>
      </c>
      <c r="U239" s="316">
        <f t="shared" si="126"/>
        <v>0.989242283665348</v>
      </c>
      <c r="V239" s="317">
        <f t="shared" si="127"/>
        <v>-0.1776160458606</v>
      </c>
      <c r="W239" s="318">
        <f t="shared" si="115"/>
        <v>6.33430761621046</v>
      </c>
      <c r="X239" s="319">
        <f t="shared" si="116"/>
        <v>-107.909617872152</v>
      </c>
      <c r="Y239" s="332">
        <f t="shared" si="117"/>
        <v>72.090382127848</v>
      </c>
      <c r="AA239" s="22">
        <f t="shared" si="118"/>
        <v>1000000000</v>
      </c>
      <c r="AB239" s="22">
        <f t="shared" si="119"/>
        <v>201845952.5625</v>
      </c>
      <c r="AD239" s="331">
        <f t="shared" si="120"/>
        <v>27.6198165816798</v>
      </c>
      <c r="AE239" s="332">
        <f t="shared" si="121"/>
        <v>-9.41580796921372</v>
      </c>
      <c r="AG239" s="331">
        <f t="shared" si="122"/>
        <v>4.29032713655568</v>
      </c>
      <c r="AH239" s="332">
        <f t="shared" si="123"/>
        <v>-78.1405102764524</v>
      </c>
      <c r="AJ239" s="22">
        <f t="shared" si="124"/>
        <v>0</v>
      </c>
      <c r="AK239" s="22">
        <f t="shared" si="136"/>
        <v>0</v>
      </c>
      <c r="AM239" s="22" t="str">
        <f t="shared" si="128"/>
        <v>0.032348801927202+0.252291812923604i</v>
      </c>
      <c r="AN239" s="22" t="str">
        <f t="shared" si="129"/>
        <v>0.2550479552955i</v>
      </c>
      <c r="AO239" s="22" t="str">
        <f t="shared" si="130"/>
        <v>0.989193630787188-0.126834194336992i</v>
      </c>
      <c r="AP239" s="22" t="str">
        <f t="shared" si="131"/>
        <v>0.1612751996788-0.0420486354872673i</v>
      </c>
      <c r="AQ239" s="22" t="str">
        <f t="shared" si="132"/>
        <v>0.8387248003212+0.0420486354872673i</v>
      </c>
      <c r="AR239" s="22" t="str">
        <f t="shared" si="133"/>
        <v>0.990684394914821-0.0496669789527438i</v>
      </c>
    </row>
    <row r="240" spans="7:44">
      <c r="G240" s="257">
        <v>14289.5</v>
      </c>
      <c r="H240" s="256">
        <f t="shared" si="125"/>
        <v>14.2895</v>
      </c>
      <c r="I240" s="298">
        <f t="shared" si="105"/>
        <v>13.9772126218833</v>
      </c>
      <c r="J240" s="299">
        <f t="shared" si="106"/>
        <v>1.49919012653071</v>
      </c>
      <c r="K240" s="299">
        <f t="shared" si="107"/>
        <v>1.00002980946867</v>
      </c>
      <c r="L240" s="300">
        <f t="shared" si="108"/>
        <v>0.00772123412184215</v>
      </c>
      <c r="M240" s="299">
        <f t="shared" si="109"/>
        <v>1.00128235181493</v>
      </c>
      <c r="N240" s="300">
        <f t="shared" si="110"/>
        <v>-0.050615866240732</v>
      </c>
      <c r="O240" s="298">
        <f t="shared" si="111"/>
        <v>25857.6700065094</v>
      </c>
      <c r="P240" s="301">
        <f t="shared" si="112"/>
        <v>1.57075765355017</v>
      </c>
      <c r="Q240" s="320">
        <f t="shared" si="134"/>
        <v>10.8203375348931</v>
      </c>
      <c r="R240" s="321">
        <f t="shared" si="135"/>
        <v>1.47824569907085</v>
      </c>
      <c r="S240" s="298">
        <f t="shared" si="113"/>
        <v>1.00257623050417</v>
      </c>
      <c r="T240" s="301">
        <f t="shared" si="114"/>
        <v>0.0717037214206171</v>
      </c>
      <c r="U240" s="316">
        <f t="shared" si="126"/>
        <v>0.989123792102052</v>
      </c>
      <c r="V240" s="317">
        <f t="shared" si="127"/>
        <v>-0.17863373657059</v>
      </c>
      <c r="W240" s="318">
        <f t="shared" si="115"/>
        <v>6.28282907450089</v>
      </c>
      <c r="X240" s="319">
        <f t="shared" si="116"/>
        <v>-107.99877278858</v>
      </c>
      <c r="Y240" s="332">
        <f t="shared" si="117"/>
        <v>72.00122721142</v>
      </c>
      <c r="AA240" s="22">
        <f t="shared" si="118"/>
        <v>1000000000</v>
      </c>
      <c r="AB240" s="22">
        <f t="shared" si="119"/>
        <v>204189810.25</v>
      </c>
      <c r="AD240" s="331">
        <f t="shared" si="120"/>
        <v>27.6191299862437</v>
      </c>
      <c r="AE240" s="332">
        <f t="shared" si="121"/>
        <v>-9.40886516970584</v>
      </c>
      <c r="AG240" s="331">
        <f t="shared" si="122"/>
        <v>4.24161610878496</v>
      </c>
      <c r="AH240" s="332">
        <f t="shared" si="123"/>
        <v>-78.1199892271908</v>
      </c>
      <c r="AJ240" s="22">
        <f t="shared" si="124"/>
        <v>0</v>
      </c>
      <c r="AK240" s="22">
        <f t="shared" si="136"/>
        <v>0</v>
      </c>
      <c r="AM240" s="22" t="str">
        <f t="shared" si="128"/>
        <v>0.032722377735508+0.253720321350797i</v>
      </c>
      <c r="AN240" s="22" t="str">
        <f t="shared" si="129"/>
        <v>0.256524503841i</v>
      </c>
      <c r="AO240" s="22" t="str">
        <f t="shared" si="130"/>
        <v>0.989068558955517-0.127560436705065i</v>
      </c>
      <c r="AP240" s="22" t="str">
        <f t="shared" si="131"/>
        <v>0.161212937044082-0.0422867202251328i</v>
      </c>
      <c r="AQ240" s="22" t="str">
        <f t="shared" si="132"/>
        <v>0.838787062955918+0.0422867202251328i</v>
      </c>
      <c r="AR240" s="22" t="str">
        <f t="shared" si="133"/>
        <v>0.990583026411938-0.0499393816948371i</v>
      </c>
    </row>
    <row r="241" spans="7:44">
      <c r="G241" s="257">
        <v>14371.75</v>
      </c>
      <c r="H241" s="256">
        <f t="shared" si="125"/>
        <v>14.37175</v>
      </c>
      <c r="I241" s="298">
        <f t="shared" si="105"/>
        <v>14.0572544647129</v>
      </c>
      <c r="J241" s="299">
        <f t="shared" si="106"/>
        <v>1.49959854372305</v>
      </c>
      <c r="K241" s="299">
        <f t="shared" si="107"/>
        <v>1.0000301536162</v>
      </c>
      <c r="L241" s="300">
        <f t="shared" si="108"/>
        <v>0.00776567556819016</v>
      </c>
      <c r="M241" s="299">
        <f t="shared" si="109"/>
        <v>1.00129714708029</v>
      </c>
      <c r="N241" s="300">
        <f t="shared" si="110"/>
        <v>-0.0509067082376598</v>
      </c>
      <c r="O241" s="298">
        <f t="shared" si="111"/>
        <v>26006.5060997852</v>
      </c>
      <c r="P241" s="301">
        <f t="shared" si="112"/>
        <v>1.57075787487843</v>
      </c>
      <c r="Q241" s="320">
        <f t="shared" si="134"/>
        <v>10.8820886740278</v>
      </c>
      <c r="R241" s="321">
        <f t="shared" si="135"/>
        <v>1.47877237560811</v>
      </c>
      <c r="S241" s="298">
        <f t="shared" si="113"/>
        <v>1.0026059346392</v>
      </c>
      <c r="T241" s="301">
        <f t="shared" si="114"/>
        <v>0.0721150208422336</v>
      </c>
      <c r="U241" s="316">
        <f t="shared" si="126"/>
        <v>0.989004657133735</v>
      </c>
      <c r="V241" s="317">
        <f t="shared" si="127"/>
        <v>-0.179651247122798</v>
      </c>
      <c r="W241" s="318">
        <f t="shared" si="115"/>
        <v>6.2316347526871</v>
      </c>
      <c r="X241" s="319">
        <f t="shared" si="116"/>
        <v>-108.087992201349</v>
      </c>
      <c r="Y241" s="332">
        <f t="shared" si="117"/>
        <v>71.9120077986505</v>
      </c>
      <c r="AA241" s="22">
        <f t="shared" si="118"/>
        <v>1000000000</v>
      </c>
      <c r="AB241" s="22">
        <f t="shared" si="119"/>
        <v>206547198.0625</v>
      </c>
      <c r="AD241" s="331">
        <f t="shared" si="120"/>
        <v>27.6184492611497</v>
      </c>
      <c r="AE241" s="332">
        <f t="shared" si="121"/>
        <v>-9.40226722909447</v>
      </c>
      <c r="AG241" s="331">
        <f t="shared" si="122"/>
        <v>4.19319498121394</v>
      </c>
      <c r="AH241" s="332">
        <f t="shared" si="123"/>
        <v>-78.0992084599351</v>
      </c>
      <c r="AJ241" s="22">
        <f t="shared" si="124"/>
        <v>0</v>
      </c>
      <c r="AK241" s="22">
        <f t="shared" si="136"/>
        <v>0</v>
      </c>
      <c r="AM241" s="22" t="str">
        <f t="shared" si="128"/>
        <v>0.033098062397855+0.255148276618161i</v>
      </c>
      <c r="AN241" s="22" t="str">
        <f t="shared" si="129"/>
        <v>0.2580010523865i</v>
      </c>
      <c r="AO241" s="22" t="str">
        <f t="shared" si="130"/>
        <v>0.988942774682696-0.128286540274542i</v>
      </c>
      <c r="AP241" s="22" t="str">
        <f t="shared" si="131"/>
        <v>0.161150322933691-0.0425247127696935i</v>
      </c>
      <c r="AQ241" s="22" t="str">
        <f t="shared" si="132"/>
        <v>0.838849677066309+0.0425247127696935i</v>
      </c>
      <c r="AR241" s="22" t="str">
        <f t="shared" si="133"/>
        <v>0.990481121767937-0.0502115293818678i</v>
      </c>
    </row>
    <row r="242" spans="7:44">
      <c r="G242" s="257">
        <v>14454</v>
      </c>
      <c r="H242" s="256">
        <f t="shared" si="125"/>
        <v>14.454</v>
      </c>
      <c r="I242" s="298">
        <f t="shared" si="105"/>
        <v>14.1372986258056</v>
      </c>
      <c r="J242" s="299">
        <f t="shared" si="106"/>
        <v>1.50000233613652</v>
      </c>
      <c r="K242" s="299">
        <f t="shared" si="107"/>
        <v>1.00003049973883</v>
      </c>
      <c r="L242" s="300">
        <f t="shared" si="108"/>
        <v>0.00781011698386251</v>
      </c>
      <c r="M242" s="299">
        <f t="shared" si="109"/>
        <v>1.00131202704194</v>
      </c>
      <c r="N242" s="300">
        <f t="shared" si="110"/>
        <v>-0.0511975416150941</v>
      </c>
      <c r="O242" s="298">
        <f t="shared" si="111"/>
        <v>26155.3421930622</v>
      </c>
      <c r="P242" s="301">
        <f t="shared" si="112"/>
        <v>1.57075809368776</v>
      </c>
      <c r="Q242" s="320">
        <f t="shared" si="134"/>
        <v>10.9438427976599</v>
      </c>
      <c r="R242" s="321">
        <f t="shared" si="135"/>
        <v>1.47929310840776</v>
      </c>
      <c r="S242" s="298">
        <f t="shared" si="113"/>
        <v>1.00263580837222</v>
      </c>
      <c r="T242" s="301">
        <f t="shared" si="114"/>
        <v>0.072526295823925</v>
      </c>
      <c r="U242" s="316">
        <f t="shared" si="126"/>
        <v>0.988884879437627</v>
      </c>
      <c r="V242" s="317">
        <f t="shared" si="127"/>
        <v>-0.180668576567592</v>
      </c>
      <c r="W242" s="318">
        <f t="shared" si="115"/>
        <v>6.18072130456233</v>
      </c>
      <c r="X242" s="319">
        <f t="shared" si="116"/>
        <v>-108.177274771466</v>
      </c>
      <c r="Y242" s="332">
        <f t="shared" si="117"/>
        <v>71.8227252285339</v>
      </c>
      <c r="AA242" s="22">
        <f t="shared" si="118"/>
        <v>1000000000</v>
      </c>
      <c r="AB242" s="22">
        <f t="shared" si="119"/>
        <v>208918116</v>
      </c>
      <c r="AD242" s="331">
        <f t="shared" si="120"/>
        <v>27.6177742414026</v>
      </c>
      <c r="AE242" s="332">
        <f t="shared" si="121"/>
        <v>-9.39600829493492</v>
      </c>
      <c r="AG242" s="331">
        <f t="shared" si="122"/>
        <v>4.14506056487852</v>
      </c>
      <c r="AH242" s="332">
        <f t="shared" si="123"/>
        <v>-78.0781725969561</v>
      </c>
      <c r="AJ242" s="22">
        <f t="shared" si="124"/>
        <v>0</v>
      </c>
      <c r="AK242" s="22">
        <f t="shared" si="136"/>
        <v>0</v>
      </c>
      <c r="AM242" s="22" t="str">
        <f t="shared" si="128"/>
        <v>0.033475855095175+0.256575675612473i</v>
      </c>
      <c r="AN242" s="22" t="str">
        <f t="shared" si="129"/>
        <v>0.259477600932i</v>
      </c>
      <c r="AO242" s="22" t="str">
        <f t="shared" si="130"/>
        <v>0.98881627813305-0.129012504258307i</v>
      </c>
      <c r="AP242" s="22" t="str">
        <f t="shared" si="131"/>
        <v>0.161087357484137-0.0427626126020788i</v>
      </c>
      <c r="AQ242" s="22" t="str">
        <f t="shared" si="132"/>
        <v>0.838912642515863+0.0427626126020788i</v>
      </c>
      <c r="AR242" s="22" t="str">
        <f t="shared" si="133"/>
        <v>0.990378681794891-0.0504834207432409i</v>
      </c>
    </row>
    <row r="243" spans="7:44">
      <c r="G243" s="257">
        <v>14622.5</v>
      </c>
      <c r="H243" s="256">
        <f t="shared" si="125"/>
        <v>14.6225</v>
      </c>
      <c r="I243" s="298">
        <f t="shared" si="105"/>
        <v>14.3012867484898</v>
      </c>
      <c r="J243" s="299">
        <f t="shared" si="106"/>
        <v>1.50081544291515</v>
      </c>
      <c r="K243" s="299">
        <f t="shared" si="107"/>
        <v>1.00003121498456</v>
      </c>
      <c r="L243" s="300">
        <f t="shared" si="108"/>
        <v>0.00790116100332744</v>
      </c>
      <c r="M243" s="299">
        <f t="shared" si="109"/>
        <v>1.00134277508128</v>
      </c>
      <c r="N243" s="300">
        <f t="shared" si="110"/>
        <v>-0.0517933251200762</v>
      </c>
      <c r="O243" s="298">
        <f t="shared" si="111"/>
        <v>26460.2526090803</v>
      </c>
      <c r="P243" s="301">
        <f t="shared" si="112"/>
        <v>1.57075853426075</v>
      </c>
      <c r="Q243" s="320">
        <f t="shared" si="134"/>
        <v>11.0703633943693</v>
      </c>
      <c r="R243" s="321">
        <f t="shared" si="135"/>
        <v>1.48034175554477</v>
      </c>
      <c r="S243" s="298">
        <f t="shared" si="113"/>
        <v>1.00269753821453</v>
      </c>
      <c r="T243" s="301">
        <f t="shared" si="114"/>
        <v>0.0733687701050696</v>
      </c>
      <c r="U243" s="316">
        <f t="shared" si="126"/>
        <v>0.988637494774939</v>
      </c>
      <c r="V243" s="317">
        <f t="shared" si="127"/>
        <v>-0.182752140895499</v>
      </c>
      <c r="W243" s="318">
        <f t="shared" si="115"/>
        <v>6.07728168018603</v>
      </c>
      <c r="X243" s="319">
        <f t="shared" si="116"/>
        <v>-108.360373651473</v>
      </c>
      <c r="Y243" s="332">
        <f t="shared" si="117"/>
        <v>71.6396263485272</v>
      </c>
      <c r="AA243" s="22">
        <f t="shared" si="118"/>
        <v>1000000000</v>
      </c>
      <c r="AB243" s="22">
        <f t="shared" si="119"/>
        <v>213817506.25</v>
      </c>
      <c r="AD243" s="331">
        <f t="shared" si="120"/>
        <v>27.6164085197344</v>
      </c>
      <c r="AE243" s="332">
        <f t="shared" si="121"/>
        <v>-9.38422070340308</v>
      </c>
      <c r="AG243" s="331">
        <f t="shared" si="122"/>
        <v>4.04733302187279</v>
      </c>
      <c r="AH243" s="332">
        <f t="shared" si="123"/>
        <v>-78.0343001835556</v>
      </c>
      <c r="AJ243" s="22">
        <f t="shared" si="124"/>
        <v>0</v>
      </c>
      <c r="AK243" s="22">
        <f t="shared" si="136"/>
        <v>0</v>
      </c>
      <c r="AM243" s="22" t="str">
        <f t="shared" si="128"/>
        <v>0.034256392804527+0.259498140958807i</v>
      </c>
      <c r="AN243" s="22" t="str">
        <f t="shared" si="129"/>
        <v>0.262502505855i</v>
      </c>
      <c r="AO243" s="22" t="str">
        <f t="shared" si="130"/>
        <v>0.988554909651596-0.13049929825603i</v>
      </c>
      <c r="AP243" s="22" t="str">
        <f t="shared" si="131"/>
        <v>0.160957267865912-0.0432496901598012i</v>
      </c>
      <c r="AQ243" s="22" t="str">
        <f t="shared" si="132"/>
        <v>0.839042732134088+0.0432496901598012i</v>
      </c>
      <c r="AR243" s="22" t="str">
        <f t="shared" si="133"/>
        <v>0.990167151701878-0.0510396203642645i</v>
      </c>
    </row>
    <row r="244" spans="7:44">
      <c r="G244" s="257">
        <v>14706.75</v>
      </c>
      <c r="H244" s="256">
        <f t="shared" si="125"/>
        <v>14.70675</v>
      </c>
      <c r="I244" s="298">
        <f t="shared" si="105"/>
        <v>14.3832842948894</v>
      </c>
      <c r="J244" s="299">
        <f t="shared" si="106"/>
        <v>1.50121504331752</v>
      </c>
      <c r="K244" s="299">
        <f t="shared" si="107"/>
        <v>1.0000315757159</v>
      </c>
      <c r="L244" s="300">
        <f t="shared" si="108"/>
        <v>0.00794668296403364</v>
      </c>
      <c r="M244" s="299">
        <f t="shared" si="109"/>
        <v>1.00135828238278</v>
      </c>
      <c r="N244" s="300">
        <f t="shared" si="110"/>
        <v>-0.052091203098956</v>
      </c>
      <c r="O244" s="298">
        <f t="shared" si="111"/>
        <v>26612.7078170912</v>
      </c>
      <c r="P244" s="301">
        <f t="shared" si="112"/>
        <v>1.57075875076141</v>
      </c>
      <c r="Q244" s="320">
        <f t="shared" si="134"/>
        <v>11.1336281800237</v>
      </c>
      <c r="R244" s="321">
        <f t="shared" si="135"/>
        <v>1.48085714134879</v>
      </c>
      <c r="S244" s="298">
        <f t="shared" si="113"/>
        <v>1.00272866999007</v>
      </c>
      <c r="T244" s="301">
        <f t="shared" si="114"/>
        <v>0.0737899681979546</v>
      </c>
      <c r="U244" s="316">
        <f t="shared" si="126"/>
        <v>0.988512793807495</v>
      </c>
      <c r="V244" s="317">
        <f t="shared" si="127"/>
        <v>-0.183793633991877</v>
      </c>
      <c r="W244" s="318">
        <f t="shared" si="115"/>
        <v>6.02599012041053</v>
      </c>
      <c r="X244" s="319">
        <f t="shared" si="116"/>
        <v>-108.45201700796</v>
      </c>
      <c r="Y244" s="332">
        <f t="shared" si="117"/>
        <v>71.5479829920404</v>
      </c>
      <c r="AA244" s="22">
        <f t="shared" si="118"/>
        <v>1000000000</v>
      </c>
      <c r="AB244" s="22">
        <f t="shared" si="119"/>
        <v>216288495.5625</v>
      </c>
      <c r="AD244" s="331">
        <f t="shared" si="120"/>
        <v>27.6157339718261</v>
      </c>
      <c r="AE244" s="332">
        <f t="shared" si="121"/>
        <v>-9.37883654964081</v>
      </c>
      <c r="AG244" s="331">
        <f t="shared" si="122"/>
        <v>3.99890732312667</v>
      </c>
      <c r="AH244" s="332">
        <f t="shared" si="123"/>
        <v>-78.0119813760392</v>
      </c>
      <c r="AJ244" s="22">
        <f t="shared" si="124"/>
        <v>0</v>
      </c>
      <c r="AK244" s="22">
        <f t="shared" si="136"/>
        <v>0</v>
      </c>
      <c r="AM244" s="22" t="str">
        <f t="shared" si="128"/>
        <v>0.034649975831993+0.260958484895258i</v>
      </c>
      <c r="AN244" s="22" t="str">
        <f t="shared" si="129"/>
        <v>0.2640149583165i</v>
      </c>
      <c r="AO244" s="22" t="str">
        <f t="shared" si="130"/>
        <v>0.988423105112181-0.131242472218013i</v>
      </c>
      <c r="AP244" s="22" t="str">
        <f t="shared" si="131"/>
        <v>0.160891670694668-0.0434930808158763i</v>
      </c>
      <c r="AQ244" s="22" t="str">
        <f t="shared" si="132"/>
        <v>0.839108329305332+0.0434930808158763i</v>
      </c>
      <c r="AR244" s="22" t="str">
        <f t="shared" si="133"/>
        <v>0.990060547625563-0.051317311372821i</v>
      </c>
    </row>
    <row r="245" spans="7:44">
      <c r="G245" s="257">
        <v>14791</v>
      </c>
      <c r="H245" s="256">
        <f t="shared" si="125"/>
        <v>14.791</v>
      </c>
      <c r="I245" s="298">
        <f t="shared" si="105"/>
        <v>14.4652841119801</v>
      </c>
      <c r="J245" s="299">
        <f t="shared" si="106"/>
        <v>1.50161011332731</v>
      </c>
      <c r="K245" s="299">
        <f t="shared" si="107"/>
        <v>1.00003193851955</v>
      </c>
      <c r="L245" s="300">
        <f t="shared" si="108"/>
        <v>0.00799220489180417</v>
      </c>
      <c r="M245" s="299">
        <f t="shared" si="109"/>
        <v>1.00137387853333</v>
      </c>
      <c r="N245" s="300">
        <f t="shared" si="110"/>
        <v>-0.0523890718255137</v>
      </c>
      <c r="O245" s="298">
        <f t="shared" si="111"/>
        <v>26765.1630251034</v>
      </c>
      <c r="P245" s="301">
        <f t="shared" si="112"/>
        <v>1.57075896479567</v>
      </c>
      <c r="Q245" s="320">
        <f t="shared" si="134"/>
        <v>11.196895889601</v>
      </c>
      <c r="R245" s="321">
        <f t="shared" si="135"/>
        <v>1.48136670294419</v>
      </c>
      <c r="S245" s="298">
        <f t="shared" si="113"/>
        <v>1.00275997964645</v>
      </c>
      <c r="T245" s="301">
        <f t="shared" si="114"/>
        <v>0.0742111400630143</v>
      </c>
      <c r="U245" s="316">
        <f t="shared" si="126"/>
        <v>0.988387421403955</v>
      </c>
      <c r="V245" s="317">
        <f t="shared" si="127"/>
        <v>-0.184834933023652</v>
      </c>
      <c r="W245" s="318">
        <f t="shared" si="115"/>
        <v>5.974979571995</v>
      </c>
      <c r="X245" s="319">
        <f t="shared" si="116"/>
        <v>-108.543721203272</v>
      </c>
      <c r="Y245" s="332">
        <f t="shared" si="117"/>
        <v>71.4562787967275</v>
      </c>
      <c r="AA245" s="22">
        <f t="shared" si="118"/>
        <v>1000000000</v>
      </c>
      <c r="AB245" s="22">
        <f t="shared" si="119"/>
        <v>218773681</v>
      </c>
      <c r="AD245" s="331">
        <f t="shared" si="120"/>
        <v>27.6150647534756</v>
      </c>
      <c r="AE245" s="332">
        <f t="shared" si="121"/>
        <v>-9.37378445439399</v>
      </c>
      <c r="AG245" s="331">
        <f t="shared" si="122"/>
        <v>3.95076938371098</v>
      </c>
      <c r="AH245" s="332">
        <f t="shared" si="123"/>
        <v>-77.989413586999</v>
      </c>
      <c r="AJ245" s="22">
        <f t="shared" si="124"/>
        <v>0</v>
      </c>
      <c r="AK245" s="22">
        <f t="shared" si="136"/>
        <v>0</v>
      </c>
      <c r="AM245" s="22" t="str">
        <f t="shared" si="128"/>
        <v>0.035045767109235+0.26241823188604i</v>
      </c>
      <c r="AN245" s="22" t="str">
        <f t="shared" si="129"/>
        <v>0.265527410778i</v>
      </c>
      <c r="AO245" s="22" t="str">
        <f t="shared" si="130"/>
        <v>0.988290553947519-0.13198549636194i</v>
      </c>
      <c r="AP245" s="22" t="str">
        <f t="shared" si="131"/>
        <v>0.160825705481794-0.0437363719810067i</v>
      </c>
      <c r="AQ245" s="22" t="str">
        <f t="shared" si="132"/>
        <v>0.839174294518206+0.0437363719810067i</v>
      </c>
      <c r="AR245" s="22" t="str">
        <f t="shared" si="133"/>
        <v>0.989953385379828-0.0515947280435789i</v>
      </c>
    </row>
    <row r="246" spans="7:44">
      <c r="G246" s="257">
        <v>14877.25</v>
      </c>
      <c r="H246" s="256">
        <f t="shared" si="125"/>
        <v>14.87725</v>
      </c>
      <c r="I246" s="298">
        <f t="shared" si="105"/>
        <v>14.5492328243667</v>
      </c>
      <c r="J246" s="299">
        <f t="shared" si="106"/>
        <v>1.50200994871457</v>
      </c>
      <c r="K246" s="299">
        <f t="shared" si="107"/>
        <v>1.00003231208244</v>
      </c>
      <c r="L246" s="300">
        <f t="shared" si="108"/>
        <v>0.00803880742449492</v>
      </c>
      <c r="M246" s="299">
        <f t="shared" si="109"/>
        <v>1.00138993695244</v>
      </c>
      <c r="N246" s="300">
        <f t="shared" si="110"/>
        <v>-0.0526940019806406</v>
      </c>
      <c r="O246" s="298">
        <f t="shared" si="111"/>
        <v>26921.2373478471</v>
      </c>
      <c r="P246" s="301">
        <f t="shared" si="112"/>
        <v>1.57075918139971</v>
      </c>
      <c r="Q246" s="320">
        <f t="shared" si="134"/>
        <v>11.2616684806736</v>
      </c>
      <c r="R246" s="321">
        <f t="shared" si="135"/>
        <v>1.48188242993181</v>
      </c>
      <c r="S246" s="298">
        <f t="shared" si="113"/>
        <v>1.0027922168064</v>
      </c>
      <c r="T246" s="301">
        <f t="shared" si="114"/>
        <v>0.0746422827506601</v>
      </c>
      <c r="U246" s="316">
        <f t="shared" si="126"/>
        <v>0.988258378045174</v>
      </c>
      <c r="V246" s="317">
        <f t="shared" si="127"/>
        <v>-0.185900749233409</v>
      </c>
      <c r="W246" s="318">
        <f t="shared" si="115"/>
        <v>5.92304574769201</v>
      </c>
      <c r="X246" s="319">
        <f t="shared" si="116"/>
        <v>-108.637664023718</v>
      </c>
      <c r="Y246" s="332">
        <f t="shared" si="117"/>
        <v>71.3623359762816</v>
      </c>
      <c r="AA246" s="22">
        <f t="shared" si="118"/>
        <v>1000000000</v>
      </c>
      <c r="AB246" s="22">
        <f t="shared" si="119"/>
        <v>221332567.5625</v>
      </c>
      <c r="AD246" s="331">
        <f t="shared" si="120"/>
        <v>27.6143850090162</v>
      </c>
      <c r="AE246" s="332">
        <f t="shared" si="121"/>
        <v>-9.36895054148411</v>
      </c>
      <c r="AG246" s="331">
        <f t="shared" si="122"/>
        <v>3.90178350260048</v>
      </c>
      <c r="AH246" s="332">
        <f t="shared" si="123"/>
        <v>-77.9660567791038</v>
      </c>
      <c r="AJ246" s="22">
        <f t="shared" si="124"/>
        <v>0</v>
      </c>
      <c r="AK246" s="22">
        <f t="shared" si="136"/>
        <v>0</v>
      </c>
      <c r="AM246" s="22" t="str">
        <f t="shared" si="128"/>
        <v>0.0354532405838101+0.263912009767888i</v>
      </c>
      <c r="AN246" s="22" t="str">
        <f t="shared" si="129"/>
        <v>0.2670757671555i</v>
      </c>
      <c r="AO246" s="22" t="str">
        <f t="shared" si="130"/>
        <v>0.988154082935686-0.13274600298412i</v>
      </c>
      <c r="AP246" s="22" t="str">
        <f t="shared" si="131"/>
        <v>0.160757793236032-0.0439853349613147i</v>
      </c>
      <c r="AQ246" s="22" t="str">
        <f t="shared" si="132"/>
        <v>0.839242206763968+0.0439853349613147i</v>
      </c>
      <c r="AR246" s="22" t="str">
        <f t="shared" si="133"/>
        <v>0.989843101953303-0.0518784446821891i</v>
      </c>
    </row>
    <row r="247" spans="7:44">
      <c r="G247" s="257">
        <v>14963.5</v>
      </c>
      <c r="H247" s="256">
        <f t="shared" si="125"/>
        <v>14.9635</v>
      </c>
      <c r="I247" s="298">
        <f t="shared" si="105"/>
        <v>14.6331838360272</v>
      </c>
      <c r="J247" s="299">
        <f t="shared" si="106"/>
        <v>1.50240519642936</v>
      </c>
      <c r="K247" s="299">
        <f t="shared" si="107"/>
        <v>1.00003268781719</v>
      </c>
      <c r="L247" s="300">
        <f t="shared" si="108"/>
        <v>0.00808540992226764</v>
      </c>
      <c r="M247" s="299">
        <f t="shared" si="109"/>
        <v>1.00140608848019</v>
      </c>
      <c r="N247" s="300">
        <f t="shared" si="110"/>
        <v>-0.0529989223277741</v>
      </c>
      <c r="O247" s="298">
        <f t="shared" si="111"/>
        <v>27077.311670592</v>
      </c>
      <c r="P247" s="301">
        <f t="shared" si="112"/>
        <v>1.57075939550672</v>
      </c>
      <c r="Q247" s="320">
        <f t="shared" si="134"/>
        <v>11.3264440328018</v>
      </c>
      <c r="R247" s="321">
        <f t="shared" si="135"/>
        <v>1.48239225820318</v>
      </c>
      <c r="S247" s="298">
        <f t="shared" si="113"/>
        <v>1.00282464035739</v>
      </c>
      <c r="T247" s="301">
        <f t="shared" si="114"/>
        <v>0.0750733976388349</v>
      </c>
      <c r="U247" s="316">
        <f t="shared" si="126"/>
        <v>0.988128632578329</v>
      </c>
      <c r="V247" s="317">
        <f t="shared" si="127"/>
        <v>-0.186966359909447</v>
      </c>
      <c r="W247" s="318">
        <f t="shared" si="115"/>
        <v>5.87139950807795</v>
      </c>
      <c r="X247" s="319">
        <f t="shared" si="116"/>
        <v>-108.731667889408</v>
      </c>
      <c r="Y247" s="332">
        <f t="shared" si="117"/>
        <v>71.2683321105924</v>
      </c>
      <c r="AA247" s="22">
        <f t="shared" si="118"/>
        <v>1000000000</v>
      </c>
      <c r="AB247" s="22">
        <f t="shared" si="119"/>
        <v>223906332.25</v>
      </c>
      <c r="AD247" s="331">
        <f t="shared" si="120"/>
        <v>27.613710528824</v>
      </c>
      <c r="AE247" s="332">
        <f t="shared" si="121"/>
        <v>-9.36445286425905</v>
      </c>
      <c r="AG247" s="331">
        <f t="shared" si="122"/>
        <v>3.85309258149948</v>
      </c>
      <c r="AH247" s="332">
        <f t="shared" si="123"/>
        <v>-77.9424483331967</v>
      </c>
      <c r="AJ247" s="22">
        <f t="shared" si="124"/>
        <v>0</v>
      </c>
      <c r="AK247" s="22">
        <f t="shared" si="136"/>
        <v>0</v>
      </c>
      <c r="AM247" s="22" t="str">
        <f t="shared" si="128"/>
        <v>0.03586302646953+0.265405154945239i</v>
      </c>
      <c r="AN247" s="22" t="str">
        <f t="shared" si="129"/>
        <v>0.268624123533i</v>
      </c>
      <c r="AO247" s="22" t="str">
        <f t="shared" si="130"/>
        <v>0.988016829816234-0.133506350799221i</v>
      </c>
      <c r="AP247" s="22" t="str">
        <f t="shared" si="131"/>
        <v>0.160689495588412-0.0442341924908732i</v>
      </c>
      <c r="AQ247" s="22" t="str">
        <f t="shared" si="132"/>
        <v>0.839310504411588+0.0442341924908732i</v>
      </c>
      <c r="AR247" s="22" t="str">
        <f t="shared" si="133"/>
        <v>0.989732235440265-0.0521618709485586i</v>
      </c>
    </row>
    <row r="248" spans="7:44">
      <c r="G248" s="257">
        <v>15049.75</v>
      </c>
      <c r="H248" s="256">
        <f t="shared" si="125"/>
        <v>15.04975</v>
      </c>
      <c r="I248" s="298">
        <f t="shared" si="105"/>
        <v>14.7171371076144</v>
      </c>
      <c r="J248" s="299">
        <f t="shared" si="106"/>
        <v>1.50279593485765</v>
      </c>
      <c r="K248" s="299">
        <f t="shared" si="107"/>
        <v>1.00003306572381</v>
      </c>
      <c r="L248" s="300">
        <f t="shared" si="108"/>
        <v>0.00813201238491995</v>
      </c>
      <c r="M248" s="299">
        <f t="shared" si="109"/>
        <v>1.00142233311208</v>
      </c>
      <c r="N248" s="300">
        <f t="shared" si="110"/>
        <v>-0.0533038328106891</v>
      </c>
      <c r="O248" s="298">
        <f t="shared" si="111"/>
        <v>27233.3859933382</v>
      </c>
      <c r="P248" s="301">
        <f t="shared" si="112"/>
        <v>1.57075960715965</v>
      </c>
      <c r="Q248" s="320">
        <f t="shared" si="134"/>
        <v>11.3912224954719</v>
      </c>
      <c r="R248" s="321">
        <f t="shared" si="135"/>
        <v>1.48289628812367</v>
      </c>
      <c r="S248" s="298">
        <f t="shared" si="113"/>
        <v>1.00285725028133</v>
      </c>
      <c r="T248" s="301">
        <f t="shared" si="114"/>
        <v>0.075504484569989</v>
      </c>
      <c r="U248" s="316">
        <f t="shared" si="126"/>
        <v>0.987998185810728</v>
      </c>
      <c r="V248" s="317">
        <f t="shared" si="127"/>
        <v>-0.188031763968847</v>
      </c>
      <c r="W248" s="318">
        <f t="shared" si="115"/>
        <v>5.82003744005279</v>
      </c>
      <c r="X248" s="319">
        <f t="shared" si="116"/>
        <v>-108.82573146919</v>
      </c>
      <c r="Y248" s="332">
        <f t="shared" si="117"/>
        <v>71.1742685308096</v>
      </c>
      <c r="AA248" s="22">
        <f t="shared" si="118"/>
        <v>1000000000</v>
      </c>
      <c r="AB248" s="22">
        <f t="shared" si="119"/>
        <v>226494975.0625</v>
      </c>
      <c r="AD248" s="331">
        <f t="shared" si="120"/>
        <v>27.6130411571961</v>
      </c>
      <c r="AE248" s="332">
        <f t="shared" si="121"/>
        <v>-9.36028566563984</v>
      </c>
      <c r="AG248" s="331">
        <f t="shared" si="122"/>
        <v>3.80469335375638</v>
      </c>
      <c r="AH248" s="332">
        <f t="shared" si="123"/>
        <v>-77.9185927992997</v>
      </c>
      <c r="AJ248" s="22">
        <f t="shared" si="124"/>
        <v>0</v>
      </c>
      <c r="AK248" s="22">
        <f t="shared" si="136"/>
        <v>0</v>
      </c>
      <c r="AM248" s="22" t="str">
        <f t="shared" si="128"/>
        <v>0.036275123783973+0.266897663838415i</v>
      </c>
      <c r="AN248" s="22" t="str">
        <f t="shared" si="129"/>
        <v>0.2701724799105i</v>
      </c>
      <c r="AO248" s="22" t="str">
        <f t="shared" si="130"/>
        <v>0.987878794786316-0.134266538901334i</v>
      </c>
      <c r="AP248" s="22" t="str">
        <f t="shared" si="131"/>
        <v>0.160620812702671-0.0444829439730692i</v>
      </c>
      <c r="AQ248" s="22" t="str">
        <f t="shared" si="132"/>
        <v>0.839379187297329+0.0444829439730692i</v>
      </c>
      <c r="AR248" s="22" t="str">
        <f t="shared" si="133"/>
        <v>0.989620786807389-0.0524450054043862i</v>
      </c>
    </row>
    <row r="249" spans="7:44">
      <c r="G249" s="257">
        <v>15136</v>
      </c>
      <c r="H249" s="256">
        <f t="shared" si="125"/>
        <v>15.136</v>
      </c>
      <c r="I249" s="298">
        <f t="shared" si="105"/>
        <v>14.8010926006727</v>
      </c>
      <c r="J249" s="299">
        <f t="shared" si="106"/>
        <v>1.5031822406125</v>
      </c>
      <c r="K249" s="299">
        <f t="shared" si="107"/>
        <v>1.00003344580228</v>
      </c>
      <c r="L249" s="300">
        <f t="shared" si="108"/>
        <v>0.00817861481224947</v>
      </c>
      <c r="M249" s="299">
        <f t="shared" si="109"/>
        <v>1.00143867084359</v>
      </c>
      <c r="N249" s="300">
        <f t="shared" si="110"/>
        <v>-0.053608733373172</v>
      </c>
      <c r="O249" s="298">
        <f t="shared" si="111"/>
        <v>27389.4603160856</v>
      </c>
      <c r="P249" s="301">
        <f t="shared" si="112"/>
        <v>1.57075981640044</v>
      </c>
      <c r="Q249" s="320">
        <f t="shared" si="134"/>
        <v>11.4560038193107</v>
      </c>
      <c r="R249" s="321">
        <f t="shared" si="135"/>
        <v>1.48339461780039</v>
      </c>
      <c r="S249" s="298">
        <f t="shared" si="113"/>
        <v>1.00289004656006</v>
      </c>
      <c r="T249" s="301">
        <f t="shared" si="114"/>
        <v>0.0759355433866344</v>
      </c>
      <c r="U249" s="316">
        <f t="shared" si="126"/>
        <v>0.987867038553496</v>
      </c>
      <c r="V249" s="317">
        <f t="shared" si="127"/>
        <v>-0.18909696033048</v>
      </c>
      <c r="W249" s="318">
        <f t="shared" si="115"/>
        <v>5.76895618981597</v>
      </c>
      <c r="X249" s="319">
        <f t="shared" si="116"/>
        <v>-108.919853459775</v>
      </c>
      <c r="Y249" s="332">
        <f t="shared" si="117"/>
        <v>71.0801465402252</v>
      </c>
      <c r="AA249" s="22">
        <f t="shared" si="118"/>
        <v>1000000000</v>
      </c>
      <c r="AB249" s="22">
        <f t="shared" si="119"/>
        <v>229098496</v>
      </c>
      <c r="AD249" s="331">
        <f t="shared" si="120"/>
        <v>27.6123767428298</v>
      </c>
      <c r="AE249" s="332">
        <f t="shared" si="121"/>
        <v>-9.35644331788281</v>
      </c>
      <c r="AG249" s="331">
        <f t="shared" si="122"/>
        <v>3.75658260757314</v>
      </c>
      <c r="AH249" s="332">
        <f t="shared" si="123"/>
        <v>-77.8944946257528</v>
      </c>
      <c r="AJ249" s="22">
        <f t="shared" si="124"/>
        <v>0</v>
      </c>
      <c r="AK249" s="22">
        <f t="shared" si="136"/>
        <v>0</v>
      </c>
      <c r="AM249" s="22" t="str">
        <f t="shared" si="128"/>
        <v>0.036689531539173+0.268389532869266i</v>
      </c>
      <c r="AN249" s="22" t="str">
        <f t="shared" si="129"/>
        <v>0.271720836288i</v>
      </c>
      <c r="AO249" s="22" t="str">
        <f t="shared" si="130"/>
        <v>0.987739978044219-0.135026566384793i</v>
      </c>
      <c r="AP249" s="22" t="str">
        <f t="shared" si="131"/>
        <v>0.160551744743471-0.0447315888115443i</v>
      </c>
      <c r="AQ249" s="22" t="str">
        <f t="shared" si="132"/>
        <v>0.839448255256529+0.0447315888115443i</v>
      </c>
      <c r="AR249" s="22" t="str">
        <f t="shared" si="133"/>
        <v>0.989508757025704-0.0527278466153579i</v>
      </c>
    </row>
    <row r="250" spans="7:44">
      <c r="G250" s="257">
        <v>15224</v>
      </c>
      <c r="H250" s="256">
        <f t="shared" si="125"/>
        <v>15.224</v>
      </c>
      <c r="I250" s="298">
        <f t="shared" si="105"/>
        <v>14.8867537890577</v>
      </c>
      <c r="J250" s="299">
        <f t="shared" si="106"/>
        <v>1.50357189365955</v>
      </c>
      <c r="K250" s="299">
        <f t="shared" si="107"/>
        <v>1.0000338358309</v>
      </c>
      <c r="L250" s="300">
        <f t="shared" si="108"/>
        <v>0.00822616275946043</v>
      </c>
      <c r="M250" s="299">
        <f t="shared" si="109"/>
        <v>1.00145543601282</v>
      </c>
      <c r="N250" s="300">
        <f t="shared" si="110"/>
        <v>-0.053919810041162</v>
      </c>
      <c r="O250" s="298">
        <f t="shared" si="111"/>
        <v>27548.7013642233</v>
      </c>
      <c r="P250" s="301">
        <f t="shared" si="112"/>
        <v>1.57076002744318</v>
      </c>
      <c r="Q250" s="320">
        <f t="shared" si="134"/>
        <v>11.5221024455835</v>
      </c>
      <c r="R250" s="321">
        <f t="shared" si="135"/>
        <v>1.48389728311919</v>
      </c>
      <c r="S250" s="298">
        <f t="shared" si="113"/>
        <v>1.00292370031637</v>
      </c>
      <c r="T250" s="301">
        <f t="shared" si="114"/>
        <v>0.0763753191848963</v>
      </c>
      <c r="U250" s="316">
        <f t="shared" si="126"/>
        <v>0.987732509229933</v>
      </c>
      <c r="V250" s="317">
        <f t="shared" si="127"/>
        <v>-0.190183554190257</v>
      </c>
      <c r="W250" s="318">
        <f t="shared" si="115"/>
        <v>5.71712451110627</v>
      </c>
      <c r="X250" s="319">
        <f t="shared" si="116"/>
        <v>-109.015944048402</v>
      </c>
      <c r="Y250" s="332">
        <f t="shared" si="117"/>
        <v>70.984055951598</v>
      </c>
      <c r="AA250" s="22">
        <f t="shared" si="118"/>
        <v>1000000000</v>
      </c>
      <c r="AB250" s="22">
        <f t="shared" si="119"/>
        <v>231770176</v>
      </c>
      <c r="AD250" s="331">
        <f t="shared" si="120"/>
        <v>27.611703804188</v>
      </c>
      <c r="AE250" s="332">
        <f t="shared" si="121"/>
        <v>-9.35285210563486</v>
      </c>
      <c r="AG250" s="331">
        <f t="shared" si="122"/>
        <v>3.70778974547005</v>
      </c>
      <c r="AH250" s="332">
        <f t="shared" si="123"/>
        <v>-77.8696619420659</v>
      </c>
      <c r="AJ250" s="22">
        <f t="shared" si="124"/>
        <v>0</v>
      </c>
      <c r="AK250" s="22">
        <f t="shared" si="136"/>
        <v>0</v>
      </c>
      <c r="AM250" s="22" t="str">
        <f t="shared" si="128"/>
        <v>0.037114727770866+0.269911008527305i</v>
      </c>
      <c r="AN250" s="22" t="str">
        <f t="shared" si="129"/>
        <v>0.273300608592i</v>
      </c>
      <c r="AO250" s="22" t="str">
        <f t="shared" si="130"/>
        <v>0.987597539273119-0.135801848236178i</v>
      </c>
      <c r="AP250" s="22" t="str">
        <f t="shared" si="131"/>
        <v>0.160480878704856-0.0449851680878842i</v>
      </c>
      <c r="AQ250" s="22" t="str">
        <f t="shared" si="132"/>
        <v>0.839519121295144+0.0449851680878842i</v>
      </c>
      <c r="AR250" s="22" t="str">
        <f t="shared" si="133"/>
        <v>0.989393856232479-0.0530161229193618i</v>
      </c>
    </row>
    <row r="251" spans="7:44">
      <c r="G251" s="257">
        <v>15312</v>
      </c>
      <c r="H251" s="256">
        <f t="shared" si="125"/>
        <v>15.312</v>
      </c>
      <c r="I251" s="298">
        <f t="shared" si="105"/>
        <v>14.9724172118279</v>
      </c>
      <c r="J251" s="299">
        <f t="shared" si="106"/>
        <v>1.50395708803041</v>
      </c>
      <c r="K251" s="299">
        <f t="shared" si="107"/>
        <v>1.0000342281204</v>
      </c>
      <c r="L251" s="300">
        <f t="shared" si="108"/>
        <v>0.00827371066947505</v>
      </c>
      <c r="M251" s="299">
        <f t="shared" si="109"/>
        <v>1.00147229808833</v>
      </c>
      <c r="N251" s="300">
        <f t="shared" si="110"/>
        <v>-0.054230876263879</v>
      </c>
      <c r="O251" s="298">
        <f t="shared" si="111"/>
        <v>27707.9424123622</v>
      </c>
      <c r="P251" s="301">
        <f t="shared" si="112"/>
        <v>1.57076023606014</v>
      </c>
      <c r="Q251" s="320">
        <f t="shared" si="134"/>
        <v>11.5882039499613</v>
      </c>
      <c r="R251" s="321">
        <f t="shared" si="135"/>
        <v>1.48439421394914</v>
      </c>
      <c r="S251" s="298">
        <f t="shared" si="113"/>
        <v>1.00295754802785</v>
      </c>
      <c r="T251" s="301">
        <f t="shared" si="114"/>
        <v>0.0768150653851818</v>
      </c>
      <c r="U251" s="316">
        <f t="shared" si="126"/>
        <v>0.987597252420596</v>
      </c>
      <c r="V251" s="317">
        <f t="shared" si="127"/>
        <v>-0.191269929570489</v>
      </c>
      <c r="W251" s="318">
        <f t="shared" si="115"/>
        <v>5.66557829066424</v>
      </c>
      <c r="X251" s="319">
        <f t="shared" si="116"/>
        <v>-109.112092786589</v>
      </c>
      <c r="Y251" s="332">
        <f t="shared" si="117"/>
        <v>70.8879072134106</v>
      </c>
      <c r="AA251" s="22">
        <f t="shared" si="118"/>
        <v>1000000000</v>
      </c>
      <c r="AB251" s="22">
        <f t="shared" si="119"/>
        <v>234457344</v>
      </c>
      <c r="AD251" s="331">
        <f t="shared" si="120"/>
        <v>27.6110357211736</v>
      </c>
      <c r="AE251" s="332">
        <f t="shared" si="121"/>
        <v>-9.34958762056995</v>
      </c>
      <c r="AG251" s="331">
        <f t="shared" si="122"/>
        <v>3.65929060469074</v>
      </c>
      <c r="AH251" s="332">
        <f t="shared" si="123"/>
        <v>-77.8445857166678</v>
      </c>
      <c r="AJ251" s="22">
        <f t="shared" si="124"/>
        <v>0</v>
      </c>
      <c r="AK251" s="22">
        <f t="shared" si="136"/>
        <v>0</v>
      </c>
      <c r="AM251" s="22" t="str">
        <f t="shared" si="128"/>
        <v>0.037542327056088+0.271431810573834i</v>
      </c>
      <c r="AN251" s="22" t="str">
        <f t="shared" si="129"/>
        <v>0.274880380896i</v>
      </c>
      <c r="AO251" s="22" t="str">
        <f t="shared" si="130"/>
        <v>0.98745428716693-0.136576960981046i</v>
      </c>
      <c r="AP251" s="22" t="str">
        <f t="shared" si="131"/>
        <v>0.160409612157319-0.045238635095639i</v>
      </c>
      <c r="AQ251" s="22" t="str">
        <f t="shared" si="132"/>
        <v>0.839590387842681+0.045238635095639i</v>
      </c>
      <c r="AR251" s="22" t="str">
        <f t="shared" si="133"/>
        <v>0.989278352524266-0.053304090954226i</v>
      </c>
    </row>
    <row r="252" spans="7:44">
      <c r="G252" s="257">
        <v>15400</v>
      </c>
      <c r="H252" s="256">
        <f t="shared" si="125"/>
        <v>15.4</v>
      </c>
      <c r="I252" s="298">
        <f t="shared" si="105"/>
        <v>15.0580828308499</v>
      </c>
      <c r="J252" s="299">
        <f t="shared" si="106"/>
        <v>1.50433789970618</v>
      </c>
      <c r="K252" s="299">
        <f t="shared" si="107"/>
        <v>1.00003462267077</v>
      </c>
      <c r="L252" s="300">
        <f t="shared" si="108"/>
        <v>0.00832125854207837</v>
      </c>
      <c r="M252" s="299">
        <f t="shared" si="109"/>
        <v>1.00148925706522</v>
      </c>
      <c r="N252" s="300">
        <f t="shared" si="110"/>
        <v>-0.0545419319816533</v>
      </c>
      <c r="O252" s="298">
        <f t="shared" si="111"/>
        <v>27867.1834605023</v>
      </c>
      <c r="P252" s="301">
        <f t="shared" si="112"/>
        <v>1.57076044229291</v>
      </c>
      <c r="Q252" s="320">
        <f t="shared" si="134"/>
        <v>11.6543082834717</v>
      </c>
      <c r="R252" s="321">
        <f t="shared" si="135"/>
        <v>1.48488550762238</v>
      </c>
      <c r="S252" s="298">
        <f t="shared" si="113"/>
        <v>1.00299158967486</v>
      </c>
      <c r="T252" s="301">
        <f t="shared" si="114"/>
        <v>0.0772547818204228</v>
      </c>
      <c r="U252" s="316">
        <f t="shared" si="126"/>
        <v>0.987461268999152</v>
      </c>
      <c r="V252" s="317">
        <f t="shared" si="127"/>
        <v>-0.192356085328743</v>
      </c>
      <c r="W252" s="318">
        <f t="shared" si="115"/>
        <v>5.61431414854451</v>
      </c>
      <c r="X252" s="319">
        <f t="shared" si="116"/>
        <v>-109.20829837496</v>
      </c>
      <c r="Y252" s="332">
        <f t="shared" si="117"/>
        <v>70.79170162504</v>
      </c>
      <c r="AA252" s="22">
        <f t="shared" si="118"/>
        <v>1000000000</v>
      </c>
      <c r="AB252" s="22">
        <f t="shared" si="119"/>
        <v>237160000</v>
      </c>
      <c r="AD252" s="331">
        <f t="shared" si="120"/>
        <v>27.6103723463143</v>
      </c>
      <c r="AE252" s="332">
        <f t="shared" si="121"/>
        <v>-9.34664427877727</v>
      </c>
      <c r="AG252" s="331">
        <f t="shared" si="122"/>
        <v>3.61108194273821</v>
      </c>
      <c r="AH252" s="332">
        <f t="shared" si="123"/>
        <v>-77.8192703650049</v>
      </c>
      <c r="AJ252" s="22">
        <f t="shared" si="124"/>
        <v>0</v>
      </c>
      <c r="AK252" s="22">
        <f t="shared" si="136"/>
        <v>0</v>
      </c>
      <c r="AM252" s="22" t="str">
        <f t="shared" si="128"/>
        <v>0.037972328327688+0.272951935213419i</v>
      </c>
      <c r="AN252" s="22" t="str">
        <f t="shared" si="129"/>
        <v>0.2764601532i</v>
      </c>
      <c r="AO252" s="22" t="str">
        <f t="shared" si="130"/>
        <v>0.987310221939857-0.13735190365831i</v>
      </c>
      <c r="AP252" s="22" t="str">
        <f t="shared" si="131"/>
        <v>0.160337945278719-0.0454919892022365i</v>
      </c>
      <c r="AQ252" s="22" t="str">
        <f t="shared" si="132"/>
        <v>0.839662054721281+0.0454919892022365i</v>
      </c>
      <c r="AR252" s="22" t="str">
        <f t="shared" si="133"/>
        <v>0.989162246946281-0.0535917492094808i</v>
      </c>
    </row>
    <row r="253" spans="7:44">
      <c r="G253" s="257">
        <v>15488</v>
      </c>
      <c r="H253" s="256">
        <f t="shared" si="125"/>
        <v>15.488</v>
      </c>
      <c r="I253" s="298">
        <f t="shared" si="105"/>
        <v>15.1437506088523</v>
      </c>
      <c r="J253" s="299">
        <f t="shared" si="106"/>
        <v>1.50471440295382</v>
      </c>
      <c r="K253" s="299">
        <f t="shared" si="107"/>
        <v>1.00003501948203</v>
      </c>
      <c r="L253" s="300">
        <f t="shared" si="108"/>
        <v>0.00836880637705545</v>
      </c>
      <c r="M253" s="299">
        <f t="shared" si="109"/>
        <v>1.00150631293859</v>
      </c>
      <c r="N253" s="300">
        <f t="shared" si="110"/>
        <v>-0.0548529771348271</v>
      </c>
      <c r="O253" s="298">
        <f t="shared" si="111"/>
        <v>28026.4245086435</v>
      </c>
      <c r="P253" s="301">
        <f t="shared" si="112"/>
        <v>1.57076064618213</v>
      </c>
      <c r="Q253" s="320">
        <f t="shared" si="134"/>
        <v>11.7204153982447</v>
      </c>
      <c r="R253" s="321">
        <f t="shared" si="135"/>
        <v>1.48537125928615</v>
      </c>
      <c r="S253" s="298">
        <f t="shared" si="113"/>
        <v>1.00302582523765</v>
      </c>
      <c r="T253" s="301">
        <f t="shared" si="114"/>
        <v>0.0776944683236197</v>
      </c>
      <c r="U253" s="316">
        <f t="shared" si="126"/>
        <v>0.987324559843313</v>
      </c>
      <c r="V253" s="317">
        <f t="shared" si="127"/>
        <v>-0.19344202032458</v>
      </c>
      <c r="W253" s="318">
        <f t="shared" si="115"/>
        <v>5.56332876333649</v>
      </c>
      <c r="X253" s="319">
        <f t="shared" si="116"/>
        <v>-109.304559541174</v>
      </c>
      <c r="Y253" s="332">
        <f t="shared" si="117"/>
        <v>70.6954404588263</v>
      </c>
      <c r="AA253" s="22">
        <f t="shared" si="118"/>
        <v>1000000000</v>
      </c>
      <c r="AB253" s="22">
        <f t="shared" si="119"/>
        <v>239878144</v>
      </c>
      <c r="AD253" s="331">
        <f t="shared" si="120"/>
        <v>27.6097135362963</v>
      </c>
      <c r="AE253" s="332">
        <f t="shared" si="121"/>
        <v>-9.34401662148242</v>
      </c>
      <c r="AG253" s="331">
        <f t="shared" si="122"/>
        <v>3.56316057144358</v>
      </c>
      <c r="AH253" s="332">
        <f t="shared" si="123"/>
        <v>-77.7937202041971</v>
      </c>
      <c r="AJ253" s="22">
        <f t="shared" si="124"/>
        <v>0</v>
      </c>
      <c r="AK253" s="22">
        <f t="shared" si="136"/>
        <v>0</v>
      </c>
      <c r="AM253" s="22" t="str">
        <f t="shared" si="128"/>
        <v>0.038404730512521+0.274471378652314i</v>
      </c>
      <c r="AN253" s="22" t="str">
        <f t="shared" si="129"/>
        <v>0.278039925504i</v>
      </c>
      <c r="AO253" s="22" t="str">
        <f t="shared" si="130"/>
        <v>0.987165343807306-0.138126675307171i</v>
      </c>
      <c r="AP253" s="22" t="str">
        <f t="shared" si="131"/>
        <v>0.160265878247913-0.0457452297753857i</v>
      </c>
      <c r="AQ253" s="22" t="str">
        <f t="shared" si="132"/>
        <v>0.839734121752087+0.0457452297753857i</v>
      </c>
      <c r="AR253" s="22" t="str">
        <f t="shared" si="133"/>
        <v>0.989045540548365-0.0538790961790437i</v>
      </c>
    </row>
    <row r="254" spans="7:44">
      <c r="G254" s="257">
        <v>15578.25</v>
      </c>
      <c r="H254" s="256">
        <f t="shared" si="125"/>
        <v>15.57825</v>
      </c>
      <c r="I254" s="298">
        <f t="shared" si="105"/>
        <v>15.2316109605064</v>
      </c>
      <c r="J254" s="299">
        <f t="shared" si="106"/>
        <v>1.50509613367127</v>
      </c>
      <c r="K254" s="299">
        <f t="shared" si="107"/>
        <v>1.00003542878735</v>
      </c>
      <c r="L254" s="300">
        <f t="shared" si="108"/>
        <v>0.00841756988441553</v>
      </c>
      <c r="M254" s="299">
        <f t="shared" si="109"/>
        <v>1.00152390553878</v>
      </c>
      <c r="N254" s="300">
        <f t="shared" si="110"/>
        <v>-0.0551719641113205</v>
      </c>
      <c r="O254" s="298">
        <f t="shared" si="111"/>
        <v>28189.7370608578</v>
      </c>
      <c r="P254" s="301">
        <f t="shared" si="112"/>
        <v>1.57076085289182</v>
      </c>
      <c r="Q254" s="320">
        <f t="shared" si="134"/>
        <v>11.7882155915722</v>
      </c>
      <c r="R254" s="321">
        <f t="shared" si="135"/>
        <v>1.4858637717979</v>
      </c>
      <c r="S254" s="298">
        <f t="shared" si="113"/>
        <v>1.00306113753701</v>
      </c>
      <c r="T254" s="301">
        <f t="shared" si="114"/>
        <v>0.078145365546619</v>
      </c>
      <c r="U254" s="316">
        <f t="shared" si="126"/>
        <v>0.987183602401456</v>
      </c>
      <c r="V254" s="317">
        <f t="shared" si="127"/>
        <v>-0.194555490209969</v>
      </c>
      <c r="W254" s="318">
        <f t="shared" si="115"/>
        <v>5.5113258945217</v>
      </c>
      <c r="X254" s="319">
        <f t="shared" si="116"/>
        <v>-109.403338352846</v>
      </c>
      <c r="Y254" s="332">
        <f t="shared" si="117"/>
        <v>70.5966616471544</v>
      </c>
      <c r="AA254" s="22">
        <f t="shared" si="118"/>
        <v>1000000000</v>
      </c>
      <c r="AB254" s="22">
        <f t="shared" si="119"/>
        <v>242681873.0625</v>
      </c>
      <c r="AD254" s="331">
        <f t="shared" si="120"/>
        <v>27.6090424772201</v>
      </c>
      <c r="AE254" s="332">
        <f t="shared" si="121"/>
        <v>-9.3416440846643</v>
      </c>
      <c r="AG254" s="331">
        <f t="shared" si="122"/>
        <v>3.51430905691798</v>
      </c>
      <c r="AH254" s="332">
        <f t="shared" si="123"/>
        <v>-77.7672773024463</v>
      </c>
      <c r="AJ254" s="22">
        <f t="shared" si="124"/>
        <v>0</v>
      </c>
      <c r="AK254" s="22">
        <f t="shared" si="136"/>
        <v>0</v>
      </c>
      <c r="AM254" s="22" t="str">
        <f t="shared" si="128"/>
        <v>0.038850681083052+0.276028959976098i</v>
      </c>
      <c r="AN254" s="22" t="str">
        <f t="shared" si="129"/>
        <v>0.2796600897135i</v>
      </c>
      <c r="AO254" s="22" t="str">
        <f t="shared" si="130"/>
        <v>0.987015917283292-0.13892107780861i</v>
      </c>
      <c r="AP254" s="22" t="str">
        <f t="shared" si="131"/>
        <v>0.160191553152825-0.046004826662683i</v>
      </c>
      <c r="AQ254" s="22" t="str">
        <f t="shared" si="132"/>
        <v>0.839808446847175+0.046004826662683i</v>
      </c>
      <c r="AR254" s="22" t="str">
        <f t="shared" si="133"/>
        <v>0.988925227225521-0.0541734651891916i</v>
      </c>
    </row>
    <row r="255" spans="7:44">
      <c r="G255" s="257">
        <v>15668.5</v>
      </c>
      <c r="H255" s="256">
        <f t="shared" si="125"/>
        <v>15.6685</v>
      </c>
      <c r="I255" s="298">
        <f t="shared" si="105"/>
        <v>15.3194735062265</v>
      </c>
      <c r="J255" s="299">
        <f t="shared" si="106"/>
        <v>1.50547348572447</v>
      </c>
      <c r="K255" s="299">
        <f t="shared" si="107"/>
        <v>1.00003584047063</v>
      </c>
      <c r="L255" s="300">
        <f t="shared" si="108"/>
        <v>0.00846633335174275</v>
      </c>
      <c r="M255" s="299">
        <f t="shared" si="109"/>
        <v>1.00154160004313</v>
      </c>
      <c r="N255" s="300">
        <f t="shared" si="110"/>
        <v>-0.0554909398490125</v>
      </c>
      <c r="O255" s="298">
        <f t="shared" si="111"/>
        <v>28353.0496130732</v>
      </c>
      <c r="P255" s="301">
        <f t="shared" si="112"/>
        <v>1.57076105722024</v>
      </c>
      <c r="Q255" s="320">
        <f t="shared" si="134"/>
        <v>11.8560186116456</v>
      </c>
      <c r="R255" s="321">
        <f t="shared" si="135"/>
        <v>1.48635065119732</v>
      </c>
      <c r="S255" s="298">
        <f t="shared" si="113"/>
        <v>1.00309665375265</v>
      </c>
      <c r="T255" s="301">
        <f t="shared" si="114"/>
        <v>0.078596230931826</v>
      </c>
      <c r="U255" s="316">
        <f t="shared" si="126"/>
        <v>0.987041883522349</v>
      </c>
      <c r="V255" s="317">
        <f t="shared" si="127"/>
        <v>-0.195668725476401</v>
      </c>
      <c r="W255" s="318">
        <f t="shared" si="115"/>
        <v>5.45960932642576</v>
      </c>
      <c r="X255" s="319">
        <f t="shared" si="116"/>
        <v>-109.502172994172</v>
      </c>
      <c r="Y255" s="332">
        <f t="shared" si="117"/>
        <v>70.4978270058279</v>
      </c>
      <c r="AA255" s="22">
        <f t="shared" si="118"/>
        <v>1000000000</v>
      </c>
      <c r="AB255" s="22">
        <f t="shared" si="119"/>
        <v>245501892.25</v>
      </c>
      <c r="AD255" s="331">
        <f t="shared" si="120"/>
        <v>27.6083759268955</v>
      </c>
      <c r="AE255" s="332">
        <f t="shared" si="121"/>
        <v>-9.33959234079969</v>
      </c>
      <c r="AG255" s="331">
        <f t="shared" si="122"/>
        <v>3.46575308970862</v>
      </c>
      <c r="AH255" s="332">
        <f t="shared" si="123"/>
        <v>-77.7405963227476</v>
      </c>
      <c r="AJ255" s="22">
        <f t="shared" si="124"/>
        <v>0</v>
      </c>
      <c r="AK255" s="22">
        <f t="shared" si="136"/>
        <v>0</v>
      </c>
      <c r="AM255" s="22" t="str">
        <f t="shared" si="128"/>
        <v>0.039299154604698+0.277585816742772i</v>
      </c>
      <c r="AN255" s="22" t="str">
        <f t="shared" si="129"/>
        <v>0.281280253923i</v>
      </c>
      <c r="AO255" s="22" t="str">
        <f t="shared" si="130"/>
        <v>0.986865636216187-0.139715298378023i</v>
      </c>
      <c r="AP255" s="22" t="str">
        <f t="shared" si="131"/>
        <v>0.160116807565884-0.046264302790462i</v>
      </c>
      <c r="AQ255" s="22" t="str">
        <f t="shared" si="132"/>
        <v>0.839883192434116+0.046264302790462i</v>
      </c>
      <c r="AR255" s="22" t="str">
        <f t="shared" si="133"/>
        <v>0.988804284217727-0.0544675035977024i</v>
      </c>
    </row>
    <row r="256" spans="7:44">
      <c r="G256" s="257">
        <v>15758.75</v>
      </c>
      <c r="H256" s="256">
        <f t="shared" si="125"/>
        <v>15.75875</v>
      </c>
      <c r="I256" s="298">
        <f t="shared" si="105"/>
        <v>15.4073382084768</v>
      </c>
      <c r="J256" s="299">
        <f t="shared" si="106"/>
        <v>1.50584653391675</v>
      </c>
      <c r="K256" s="299">
        <f t="shared" si="107"/>
        <v>1.00003625453187</v>
      </c>
      <c r="L256" s="300">
        <f t="shared" si="108"/>
        <v>0.00851509677880527</v>
      </c>
      <c r="M256" s="299">
        <f t="shared" si="109"/>
        <v>1.00155939644625</v>
      </c>
      <c r="N256" s="300">
        <f t="shared" si="110"/>
        <v>-0.0558099042835917</v>
      </c>
      <c r="O256" s="298">
        <f t="shared" si="111"/>
        <v>28516.3621652898</v>
      </c>
      <c r="P256" s="301">
        <f t="shared" si="112"/>
        <v>1.57076125920828</v>
      </c>
      <c r="Q256" s="320">
        <f t="shared" si="134"/>
        <v>11.9238244102433</v>
      </c>
      <c r="R256" s="321">
        <f t="shared" si="135"/>
        <v>1.48683199335106</v>
      </c>
      <c r="S256" s="298">
        <f t="shared" si="113"/>
        <v>1.00313237386291</v>
      </c>
      <c r="T256" s="301">
        <f t="shared" si="114"/>
        <v>0.0790470642993288</v>
      </c>
      <c r="U256" s="316">
        <f t="shared" si="126"/>
        <v>0.98689940416598</v>
      </c>
      <c r="V256" s="317">
        <f t="shared" si="127"/>
        <v>-0.19678172490027</v>
      </c>
      <c r="W256" s="318">
        <f t="shared" si="115"/>
        <v>5.40817565941534</v>
      </c>
      <c r="X256" s="319">
        <f t="shared" si="116"/>
        <v>-109.60106217657</v>
      </c>
      <c r="Y256" s="332">
        <f t="shared" si="117"/>
        <v>70.3989378234305</v>
      </c>
      <c r="AA256" s="22">
        <f t="shared" si="118"/>
        <v>1000000000</v>
      </c>
      <c r="AB256" s="22">
        <f t="shared" si="119"/>
        <v>248338201.5625</v>
      </c>
      <c r="AD256" s="331">
        <f t="shared" si="120"/>
        <v>27.6077137434626</v>
      </c>
      <c r="AE256" s="332">
        <f t="shared" si="121"/>
        <v>-9.33785588917105</v>
      </c>
      <c r="AG256" s="331">
        <f t="shared" si="122"/>
        <v>3.41748940101846</v>
      </c>
      <c r="AH256" s="332">
        <f t="shared" si="123"/>
        <v>-77.7136816174522</v>
      </c>
      <c r="AJ256" s="22">
        <f t="shared" si="124"/>
        <v>0</v>
      </c>
      <c r="AK256" s="22">
        <f t="shared" si="136"/>
        <v>0</v>
      </c>
      <c r="AM256" s="22" t="str">
        <f t="shared" si="128"/>
        <v>0.0397501499002469+0.279141944865693i</v>
      </c>
      <c r="AN256" s="22" t="str">
        <f t="shared" si="129"/>
        <v>0.2829004181325i</v>
      </c>
      <c r="AO256" s="22" t="str">
        <f t="shared" si="130"/>
        <v>0.986714500842319-0.140509335979947i</v>
      </c>
      <c r="AP256" s="22" t="str">
        <f t="shared" si="131"/>
        <v>0.160041641683292-0.0465236574776155i</v>
      </c>
      <c r="AQ256" s="22" t="str">
        <f t="shared" si="132"/>
        <v>0.839958358316708+0.0465236574776155i</v>
      </c>
      <c r="AR256" s="22" t="str">
        <f t="shared" si="133"/>
        <v>0.988682712672451-0.0547612097944855i</v>
      </c>
    </row>
    <row r="257" spans="7:44">
      <c r="G257" s="257">
        <v>15849</v>
      </c>
      <c r="H257" s="256">
        <f t="shared" si="125"/>
        <v>15.849</v>
      </c>
      <c r="I257" s="298">
        <f t="shared" si="105"/>
        <v>15.4952050305716</v>
      </c>
      <c r="J257" s="299">
        <f t="shared" si="106"/>
        <v>1.50621535135956</v>
      </c>
      <c r="K257" s="299">
        <f t="shared" si="107"/>
        <v>1.00003667097106</v>
      </c>
      <c r="L257" s="300">
        <f t="shared" si="108"/>
        <v>0.00856386016537123</v>
      </c>
      <c r="M257" s="299">
        <f t="shared" si="109"/>
        <v>1.0015772947427</v>
      </c>
      <c r="N257" s="300">
        <f t="shared" si="110"/>
        <v>-0.0561288573507607</v>
      </c>
      <c r="O257" s="298">
        <f t="shared" si="111"/>
        <v>28679.6747175075</v>
      </c>
      <c r="P257" s="301">
        <f t="shared" si="112"/>
        <v>1.57076145889594</v>
      </c>
      <c r="Q257" s="320">
        <f t="shared" si="134"/>
        <v>11.9916329402326</v>
      </c>
      <c r="R257" s="321">
        <f t="shared" si="135"/>
        <v>1.48730789196777</v>
      </c>
      <c r="S257" s="298">
        <f t="shared" si="113"/>
        <v>1.00316829784601</v>
      </c>
      <c r="T257" s="301">
        <f t="shared" si="114"/>
        <v>0.079497865469293</v>
      </c>
      <c r="U257" s="316">
        <f t="shared" si="126"/>
        <v>0.986756165296772</v>
      </c>
      <c r="V257" s="317">
        <f t="shared" si="127"/>
        <v>-0.197894487260209</v>
      </c>
      <c r="W257" s="318">
        <f t="shared" si="115"/>
        <v>5.35702155284763</v>
      </c>
      <c r="X257" s="319">
        <f t="shared" si="116"/>
        <v>-109.700004638244</v>
      </c>
      <c r="Y257" s="332">
        <f t="shared" si="117"/>
        <v>70.2999953617564</v>
      </c>
      <c r="AA257" s="22">
        <f t="shared" si="118"/>
        <v>1000000000</v>
      </c>
      <c r="AB257" s="22">
        <f t="shared" si="119"/>
        <v>251190801</v>
      </c>
      <c r="AD257" s="331">
        <f t="shared" si="120"/>
        <v>27.6070557890733</v>
      </c>
      <c r="AE257" s="332">
        <f t="shared" si="121"/>
        <v>-9.33642935265458</v>
      </c>
      <c r="AG257" s="331">
        <f t="shared" si="122"/>
        <v>3.36951477697541</v>
      </c>
      <c r="AH257" s="332">
        <f t="shared" si="123"/>
        <v>-77.686537441846</v>
      </c>
      <c r="AJ257" s="22">
        <f t="shared" si="124"/>
        <v>0</v>
      </c>
      <c r="AK257" s="22">
        <f t="shared" si="136"/>
        <v>0</v>
      </c>
      <c r="AM257" s="22" t="str">
        <f t="shared" si="128"/>
        <v>0.040203665785868+0.280697340260134i</v>
      </c>
      <c r="AN257" s="22" t="str">
        <f t="shared" si="129"/>
        <v>0.284520582342i</v>
      </c>
      <c r="AO257" s="22" t="str">
        <f t="shared" si="130"/>
        <v>0.986562511399367-0.141303189579242i</v>
      </c>
      <c r="AP257" s="22" t="str">
        <f t="shared" si="131"/>
        <v>0.159966055702355-0.0467828900433557i</v>
      </c>
      <c r="AQ257" s="22" t="str">
        <f t="shared" si="132"/>
        <v>0.840033944297645+0.0467828900433557i</v>
      </c>
      <c r="AR257" s="22" t="str">
        <f t="shared" si="133"/>
        <v>0.988560513742184-0.0550545821743807i</v>
      </c>
    </row>
    <row r="258" spans="7:44">
      <c r="G258" s="257">
        <v>15941.25</v>
      </c>
      <c r="H258" s="256">
        <f t="shared" si="125"/>
        <v>15.94125</v>
      </c>
      <c r="I258" s="298">
        <f t="shared" si="105"/>
        <v>15.5850211933618</v>
      </c>
      <c r="J258" s="299">
        <f t="shared" si="106"/>
        <v>1.50658804401605</v>
      </c>
      <c r="K258" s="299">
        <f t="shared" si="107"/>
        <v>1.00003709909641</v>
      </c>
      <c r="L258" s="300">
        <f t="shared" si="108"/>
        <v>0.00861370413890832</v>
      </c>
      <c r="M258" s="299">
        <f t="shared" si="109"/>
        <v>1.00159569497701</v>
      </c>
      <c r="N258" s="300">
        <f t="shared" si="110"/>
        <v>-0.0564548668149518</v>
      </c>
      <c r="O258" s="298">
        <f t="shared" si="111"/>
        <v>28846.6063844571</v>
      </c>
      <c r="P258" s="301">
        <f t="shared" si="112"/>
        <v>1.57076166067206</v>
      </c>
      <c r="Q258" s="320">
        <f t="shared" si="134"/>
        <v>12.0609469272199</v>
      </c>
      <c r="R258" s="321">
        <f t="shared" si="135"/>
        <v>1.48778880635814</v>
      </c>
      <c r="S258" s="298">
        <f t="shared" si="113"/>
        <v>1.00320522860549</v>
      </c>
      <c r="T258" s="301">
        <f t="shared" si="114"/>
        <v>0.0799586232300145</v>
      </c>
      <c r="U258" s="316">
        <f t="shared" si="126"/>
        <v>0.98660896822137</v>
      </c>
      <c r="V258" s="317">
        <f t="shared" si="127"/>
        <v>-0.1990316629022</v>
      </c>
      <c r="W258" s="318">
        <f t="shared" si="115"/>
        <v>5.3050193415429</v>
      </c>
      <c r="X258" s="319">
        <f t="shared" si="116"/>
        <v>-109.801193507656</v>
      </c>
      <c r="Y258" s="332">
        <f t="shared" si="117"/>
        <v>70.1988064923436</v>
      </c>
      <c r="AA258" s="22">
        <f t="shared" si="118"/>
        <v>1000000000</v>
      </c>
      <c r="AB258" s="22">
        <f t="shared" si="119"/>
        <v>254123451.5625</v>
      </c>
      <c r="AD258" s="331">
        <f t="shared" si="120"/>
        <v>27.6063874851789</v>
      </c>
      <c r="AE258" s="332">
        <f t="shared" si="121"/>
        <v>-9.33528602376541</v>
      </c>
      <c r="AG258" s="331">
        <f t="shared" si="122"/>
        <v>3.32077245797949</v>
      </c>
      <c r="AH258" s="332">
        <f t="shared" si="123"/>
        <v>-77.6585589102969</v>
      </c>
      <c r="AJ258" s="22">
        <f t="shared" si="124"/>
        <v>0</v>
      </c>
      <c r="AK258" s="22">
        <f t="shared" si="136"/>
        <v>0</v>
      </c>
      <c r="AM258" s="22" t="str">
        <f t="shared" si="128"/>
        <v>0.0406698356415049+0.282286442734862i</v>
      </c>
      <c r="AN258" s="22" t="str">
        <f t="shared" si="129"/>
        <v>0.2861766504675i</v>
      </c>
      <c r="AO258" s="22" t="str">
        <f t="shared" si="130"/>
        <v>0.986406271349242-0.142114444260447i</v>
      </c>
      <c r="AP258" s="22" t="str">
        <f t="shared" si="131"/>
        <v>0.159888360726416-0.0470477404558103i</v>
      </c>
      <c r="AQ258" s="22" t="str">
        <f t="shared" si="132"/>
        <v>0.840111639273584+0.0470477404558103i</v>
      </c>
      <c r="AR258" s="22" t="str">
        <f t="shared" si="133"/>
        <v>0.988434959613546-0.055354109220005i</v>
      </c>
    </row>
    <row r="259" spans="7:44">
      <c r="G259" s="257">
        <v>16033.5</v>
      </c>
      <c r="H259" s="256">
        <f t="shared" si="125"/>
        <v>16.0335</v>
      </c>
      <c r="I259" s="298">
        <f t="shared" si="105"/>
        <v>15.6748394961005</v>
      </c>
      <c r="J259" s="299">
        <f t="shared" si="106"/>
        <v>1.50695646559537</v>
      </c>
      <c r="K259" s="299">
        <f t="shared" si="107"/>
        <v>1.00003752970627</v>
      </c>
      <c r="L259" s="300">
        <f t="shared" si="108"/>
        <v>0.00866354806964423</v>
      </c>
      <c r="M259" s="299">
        <f t="shared" si="109"/>
        <v>1.00161420165916</v>
      </c>
      <c r="N259" s="300">
        <f t="shared" si="110"/>
        <v>-0.0567808642665293</v>
      </c>
      <c r="O259" s="298">
        <f t="shared" si="111"/>
        <v>29013.5380514077</v>
      </c>
      <c r="P259" s="301">
        <f t="shared" si="112"/>
        <v>1.57076186012632</v>
      </c>
      <c r="Q259" s="320">
        <f t="shared" si="134"/>
        <v>12.1302636717679</v>
      </c>
      <c r="R259" s="321">
        <f t="shared" si="135"/>
        <v>1.48826422461747</v>
      </c>
      <c r="S259" s="298">
        <f t="shared" si="113"/>
        <v>1.00324237232744</v>
      </c>
      <c r="T259" s="301">
        <f t="shared" si="114"/>
        <v>0.0804193469706472</v>
      </c>
      <c r="U259" s="316">
        <f t="shared" si="126"/>
        <v>0.986460979649168</v>
      </c>
      <c r="V259" s="317">
        <f t="shared" si="127"/>
        <v>-0.200168588283558</v>
      </c>
      <c r="W259" s="318">
        <f t="shared" si="115"/>
        <v>5.25330234320483</v>
      </c>
      <c r="X259" s="319">
        <f t="shared" si="116"/>
        <v>-109.902435460548</v>
      </c>
      <c r="Y259" s="332">
        <f t="shared" si="117"/>
        <v>70.0975645394523</v>
      </c>
      <c r="AA259" s="22">
        <f t="shared" si="118"/>
        <v>1000000000</v>
      </c>
      <c r="AB259" s="22">
        <f t="shared" si="119"/>
        <v>257073122.25</v>
      </c>
      <c r="AD259" s="331">
        <f t="shared" si="120"/>
        <v>27.605723320851</v>
      </c>
      <c r="AE259" s="332">
        <f t="shared" si="121"/>
        <v>-9.33445551774849</v>
      </c>
      <c r="AG259" s="331">
        <f t="shared" si="122"/>
        <v>3.27232553747922</v>
      </c>
      <c r="AH259" s="332">
        <f t="shared" si="123"/>
        <v>-77.6303493171101</v>
      </c>
      <c r="AJ259" s="22">
        <f t="shared" si="124"/>
        <v>0</v>
      </c>
      <c r="AK259" s="22">
        <f t="shared" si="136"/>
        <v>0</v>
      </c>
      <c r="AM259" s="22" t="str">
        <f t="shared" si="128"/>
        <v>0.041138636518646+0.283874771021799i</v>
      </c>
      <c r="AN259" s="22" t="str">
        <f t="shared" si="129"/>
        <v>0.287832718593i</v>
      </c>
      <c r="AO259" s="22" t="str">
        <f t="shared" si="130"/>
        <v>0.986249139463545-0.142925504507417i</v>
      </c>
      <c r="AP259" s="22" t="str">
        <f t="shared" si="131"/>
        <v>0.159810227246892-0.0473124618369665i</v>
      </c>
      <c r="AQ259" s="22" t="str">
        <f t="shared" si="132"/>
        <v>0.840189772753108+0.0473124618369665i</v>
      </c>
      <c r="AR259" s="22" t="str">
        <f t="shared" si="133"/>
        <v>0.988308752436167-0.0556532841140837i</v>
      </c>
    </row>
    <row r="260" spans="7:44">
      <c r="G260" s="257">
        <v>16125.75</v>
      </c>
      <c r="H260" s="256">
        <f t="shared" si="125"/>
        <v>16.12575</v>
      </c>
      <c r="I260" s="298">
        <f t="shared" si="105"/>
        <v>15.764659902211</v>
      </c>
      <c r="J260" s="299">
        <f t="shared" si="106"/>
        <v>1.50732068900103</v>
      </c>
      <c r="K260" s="299">
        <f t="shared" si="107"/>
        <v>1.00003796280064</v>
      </c>
      <c r="L260" s="300">
        <f t="shared" si="108"/>
        <v>0.00871339195733138</v>
      </c>
      <c r="M260" s="299">
        <f t="shared" si="109"/>
        <v>1.00163281478326</v>
      </c>
      <c r="N260" s="300">
        <f t="shared" si="110"/>
        <v>-0.0571068496368705</v>
      </c>
      <c r="O260" s="298">
        <f t="shared" si="111"/>
        <v>29180.4697183595</v>
      </c>
      <c r="P260" s="301">
        <f t="shared" si="112"/>
        <v>1.57076205729856</v>
      </c>
      <c r="Q260" s="320">
        <f t="shared" si="134"/>
        <v>12.1995831268721</v>
      </c>
      <c r="R260" s="321">
        <f t="shared" si="135"/>
        <v>1.48873424021795</v>
      </c>
      <c r="S260" s="298">
        <f t="shared" si="113"/>
        <v>1.0032797289882</v>
      </c>
      <c r="T260" s="301">
        <f t="shared" si="114"/>
        <v>0.0808800364993882</v>
      </c>
      <c r="U260" s="316">
        <f t="shared" si="126"/>
        <v>0.986312200624347</v>
      </c>
      <c r="V260" s="317">
        <f t="shared" si="127"/>
        <v>-0.201305262107212</v>
      </c>
      <c r="W260" s="318">
        <f t="shared" si="115"/>
        <v>5.20186717253472</v>
      </c>
      <c r="X260" s="319">
        <f t="shared" si="116"/>
        <v>-110.003729231478</v>
      </c>
      <c r="Y260" s="332">
        <f t="shared" si="117"/>
        <v>69.9962707685224</v>
      </c>
      <c r="AA260" s="22">
        <f t="shared" si="118"/>
        <v>1000000000</v>
      </c>
      <c r="AB260" s="22">
        <f t="shared" si="119"/>
        <v>260039813.0625</v>
      </c>
      <c r="AD260" s="331">
        <f t="shared" si="120"/>
        <v>27.6050631610105</v>
      </c>
      <c r="AE260" s="332">
        <f t="shared" si="121"/>
        <v>-9.3339324703343</v>
      </c>
      <c r="AG260" s="331">
        <f t="shared" si="122"/>
        <v>3.22417075325316</v>
      </c>
      <c r="AH260" s="332">
        <f t="shared" si="123"/>
        <v>-77.601912909748</v>
      </c>
      <c r="AJ260" s="22">
        <f t="shared" si="124"/>
        <v>0</v>
      </c>
      <c r="AK260" s="22">
        <f t="shared" si="136"/>
        <v>0</v>
      </c>
      <c r="AM260" s="22" t="str">
        <f t="shared" si="128"/>
        <v>0.041610067131577+0.285462320764858i</v>
      </c>
      <c r="AN260" s="22" t="str">
        <f t="shared" si="129"/>
        <v>0.2894887867185i</v>
      </c>
      <c r="AO260" s="22" t="str">
        <f t="shared" si="130"/>
        <v>0.986091116000437-0.143736369215706i</v>
      </c>
      <c r="AP260" s="22" t="str">
        <f t="shared" si="131"/>
        <v>0.159731655478071-0.0475770534608097i</v>
      </c>
      <c r="AQ260" s="22" t="str">
        <f t="shared" si="132"/>
        <v>0.840268344521929+0.0475770534608097i</v>
      </c>
      <c r="AR260" s="22" t="str">
        <f t="shared" si="133"/>
        <v>0.988181893456968-0.0559521051584484i</v>
      </c>
    </row>
    <row r="261" spans="7:44">
      <c r="G261" s="257">
        <v>16218</v>
      </c>
      <c r="H261" s="256">
        <f t="shared" si="125"/>
        <v>16.218</v>
      </c>
      <c r="I261" s="298">
        <f t="shared" si="105"/>
        <v>15.8544823759445</v>
      </c>
      <c r="J261" s="299">
        <f t="shared" si="106"/>
        <v>1.50768078548898</v>
      </c>
      <c r="K261" s="299">
        <f t="shared" si="107"/>
        <v>1.00003839837951</v>
      </c>
      <c r="L261" s="300">
        <f t="shared" si="108"/>
        <v>0.00876323580172213</v>
      </c>
      <c r="M261" s="299">
        <f t="shared" si="109"/>
        <v>1.00165153434337</v>
      </c>
      <c r="N261" s="300">
        <f t="shared" si="110"/>
        <v>-0.0574328228573683</v>
      </c>
      <c r="O261" s="298">
        <f t="shared" si="111"/>
        <v>29347.4013853125</v>
      </c>
      <c r="P261" s="301">
        <f t="shared" si="112"/>
        <v>1.57076225222771</v>
      </c>
      <c r="Q261" s="320">
        <f t="shared" si="134"/>
        <v>12.2689052465884</v>
      </c>
      <c r="R261" s="321">
        <f t="shared" si="135"/>
        <v>1.48919894452893</v>
      </c>
      <c r="S261" s="298">
        <f t="shared" si="113"/>
        <v>1.003317298564</v>
      </c>
      <c r="T261" s="301">
        <f t="shared" si="114"/>
        <v>0.0813406916245212</v>
      </c>
      <c r="U261" s="316">
        <f t="shared" si="126"/>
        <v>0.986162632195821</v>
      </c>
      <c r="V261" s="317">
        <f t="shared" si="127"/>
        <v>-0.202441683078568</v>
      </c>
      <c r="W261" s="318">
        <f t="shared" si="115"/>
        <v>5.15071050289624</v>
      </c>
      <c r="X261" s="319">
        <f t="shared" si="116"/>
        <v>-110.105073581188</v>
      </c>
      <c r="Y261" s="332">
        <f t="shared" si="117"/>
        <v>69.8949264188121</v>
      </c>
      <c r="AA261" s="22">
        <f t="shared" si="118"/>
        <v>1000000000</v>
      </c>
      <c r="AB261" s="22">
        <f t="shared" si="119"/>
        <v>263023524</v>
      </c>
      <c r="AD261" s="331">
        <f t="shared" si="120"/>
        <v>27.6044068743977</v>
      </c>
      <c r="AE261" s="332">
        <f t="shared" si="121"/>
        <v>-9.33371163769267</v>
      </c>
      <c r="AG261" s="331">
        <f t="shared" si="122"/>
        <v>3.17630489786641</v>
      </c>
      <c r="AH261" s="332">
        <f t="shared" si="123"/>
        <v>-77.5732538411339</v>
      </c>
      <c r="AJ261" s="22">
        <f t="shared" si="124"/>
        <v>0</v>
      </c>
      <c r="AK261" s="22">
        <f t="shared" si="136"/>
        <v>0</v>
      </c>
      <c r="AM261" s="22" t="str">
        <f t="shared" si="128"/>
        <v>0.042084126187369+0.287049087610086i</v>
      </c>
      <c r="AN261" s="22" t="str">
        <f t="shared" si="129"/>
        <v>0.291144854844i</v>
      </c>
      <c r="AO261" s="22" t="str">
        <f t="shared" si="130"/>
        <v>0.985932201219532-0.144547037281213i</v>
      </c>
      <c r="AP261" s="22" t="str">
        <f t="shared" si="131"/>
        <v>0.159652645635438-0.047841514601681i</v>
      </c>
      <c r="AQ261" s="22" t="str">
        <f t="shared" si="132"/>
        <v>0.840347354364562+0.047841514601681i</v>
      </c>
      <c r="AR261" s="22" t="str">
        <f t="shared" si="133"/>
        <v>0.988054383928233-0.0562505706603923i</v>
      </c>
    </row>
    <row r="262" spans="7:44">
      <c r="G262" s="257">
        <v>16312.5</v>
      </c>
      <c r="H262" s="256">
        <f t="shared" si="125"/>
        <v>16.3125</v>
      </c>
      <c r="I262" s="298">
        <f t="shared" si="105"/>
        <v>15.9464977490807</v>
      </c>
      <c r="J262" s="299">
        <f t="shared" si="106"/>
        <v>1.50804545848885</v>
      </c>
      <c r="K262" s="299">
        <f t="shared" si="107"/>
        <v>1.0000388471584</v>
      </c>
      <c r="L262" s="300">
        <f t="shared" si="108"/>
        <v>0.00881429530448249</v>
      </c>
      <c r="M262" s="299">
        <f t="shared" si="109"/>
        <v>1.00167082083355</v>
      </c>
      <c r="N262" s="300">
        <f t="shared" si="110"/>
        <v>-0.0577667339745561</v>
      </c>
      <c r="O262" s="298">
        <f t="shared" si="111"/>
        <v>29518.4045563386</v>
      </c>
      <c r="P262" s="301">
        <f t="shared" si="112"/>
        <v>1.5707624496252</v>
      </c>
      <c r="Q262" s="320">
        <f t="shared" si="134"/>
        <v>12.339920865661</v>
      </c>
      <c r="R262" s="321">
        <f t="shared" si="135"/>
        <v>1.48966956926655</v>
      </c>
      <c r="S262" s="298">
        <f t="shared" si="113"/>
        <v>1.00335600521385</v>
      </c>
      <c r="T262" s="301">
        <f t="shared" si="114"/>
        <v>0.0818125463676894</v>
      </c>
      <c r="U262" s="316">
        <f t="shared" si="126"/>
        <v>0.98600859833915</v>
      </c>
      <c r="V262" s="317">
        <f t="shared" si="127"/>
        <v>-0.203605558105766</v>
      </c>
      <c r="W262" s="318">
        <f t="shared" si="115"/>
        <v>5.09859146543677</v>
      </c>
      <c r="X262" s="319">
        <f t="shared" si="116"/>
        <v>-110.208940919946</v>
      </c>
      <c r="Y262" s="332">
        <f t="shared" si="117"/>
        <v>69.7910590800544</v>
      </c>
      <c r="AA262" s="22">
        <f t="shared" si="118"/>
        <v>1000000000</v>
      </c>
      <c r="AB262" s="22">
        <f t="shared" si="119"/>
        <v>266097656.25</v>
      </c>
      <c r="AD262" s="331">
        <f t="shared" si="120"/>
        <v>27.6037384635506</v>
      </c>
      <c r="AE262" s="332">
        <f t="shared" si="121"/>
        <v>-9.33379342186232</v>
      </c>
      <c r="AG262" s="331">
        <f t="shared" si="122"/>
        <v>3.12756787149641</v>
      </c>
      <c r="AH262" s="332">
        <f t="shared" si="123"/>
        <v>-77.543669141691</v>
      </c>
      <c r="AJ262" s="22">
        <f t="shared" si="124"/>
        <v>0</v>
      </c>
      <c r="AK262" s="22">
        <f t="shared" si="136"/>
        <v>0</v>
      </c>
      <c r="AM262" s="22" t="str">
        <f t="shared" si="128"/>
        <v>0.042572471687276+0.288673739763401i</v>
      </c>
      <c r="AN262" s="22" t="str">
        <f t="shared" si="129"/>
        <v>0.292841314875i</v>
      </c>
      <c r="AO262" s="22" t="str">
        <f t="shared" si="130"/>
        <v>0.985768486549181-0.1453772726893i</v>
      </c>
      <c r="AP262" s="22" t="str">
        <f t="shared" si="131"/>
        <v>0.159571254718787-0.0481122899605668i</v>
      </c>
      <c r="AQ262" s="22" t="str">
        <f t="shared" si="132"/>
        <v>0.840428745281213+0.0481122899605668i</v>
      </c>
      <c r="AR262" s="22" t="str">
        <f t="shared" si="133"/>
        <v>0.987923091182014-0.05655594538926i</v>
      </c>
    </row>
    <row r="263" spans="7:44">
      <c r="G263" s="257">
        <v>16407</v>
      </c>
      <c r="H263" s="256">
        <f t="shared" si="125"/>
        <v>16.407</v>
      </c>
      <c r="I263" s="298">
        <f t="shared" si="105"/>
        <v>16.0385152185509</v>
      </c>
      <c r="J263" s="299">
        <f t="shared" si="106"/>
        <v>1.50840594707322</v>
      </c>
      <c r="K263" s="299">
        <f t="shared" si="107"/>
        <v>1.00003929854446</v>
      </c>
      <c r="L263" s="300">
        <f t="shared" si="108"/>
        <v>0.00886535476128269</v>
      </c>
      <c r="M263" s="299">
        <f t="shared" si="109"/>
        <v>1.00169021900235</v>
      </c>
      <c r="N263" s="300">
        <f t="shared" si="110"/>
        <v>-0.058100632196302</v>
      </c>
      <c r="O263" s="298">
        <f t="shared" si="111"/>
        <v>29689.4077273658</v>
      </c>
      <c r="P263" s="301">
        <f t="shared" si="112"/>
        <v>1.57076264474878</v>
      </c>
      <c r="Q263" s="320">
        <f t="shared" si="134"/>
        <v>12.4109391865951</v>
      </c>
      <c r="R263" s="321">
        <f t="shared" si="135"/>
        <v>1.49013480805477</v>
      </c>
      <c r="S263" s="298">
        <f t="shared" si="113"/>
        <v>1.00339493524054</v>
      </c>
      <c r="T263" s="301">
        <f t="shared" si="114"/>
        <v>0.0822843646015675</v>
      </c>
      <c r="U263" s="316">
        <f t="shared" si="126"/>
        <v>0.985853738345153</v>
      </c>
      <c r="V263" s="317">
        <f t="shared" si="127"/>
        <v>-0.204769165053876</v>
      </c>
      <c r="W263" s="318">
        <f t="shared" si="115"/>
        <v>5.04675779610269</v>
      </c>
      <c r="X263" s="319">
        <f t="shared" si="116"/>
        <v>-110.31285878339</v>
      </c>
      <c r="Y263" s="332">
        <f t="shared" si="117"/>
        <v>69.6871412166104</v>
      </c>
      <c r="AA263" s="22">
        <f t="shared" si="118"/>
        <v>1000000000</v>
      </c>
      <c r="AB263" s="22">
        <f t="shared" si="119"/>
        <v>269189649</v>
      </c>
      <c r="AD263" s="331">
        <f t="shared" si="120"/>
        <v>27.6030738500678</v>
      </c>
      <c r="AE263" s="332">
        <f t="shared" si="121"/>
        <v>-9.33418157608828</v>
      </c>
      <c r="AG263" s="331">
        <f t="shared" si="122"/>
        <v>3.07912739724021</v>
      </c>
      <c r="AH263" s="332">
        <f t="shared" si="123"/>
        <v>-77.5138593164793</v>
      </c>
      <c r="AJ263" s="22">
        <f t="shared" si="124"/>
        <v>0</v>
      </c>
      <c r="AK263" s="22">
        <f t="shared" si="136"/>
        <v>0</v>
      </c>
      <c r="AM263" s="22" t="str">
        <f t="shared" si="128"/>
        <v>0.04306357264058+0.290297561120637i</v>
      </c>
      <c r="AN263" s="22" t="str">
        <f t="shared" si="129"/>
        <v>0.294537774906i</v>
      </c>
      <c r="AO263" s="22" t="str">
        <f t="shared" si="130"/>
        <v>0.985603837108105-0.14620729940098i</v>
      </c>
      <c r="AP263" s="22" t="str">
        <f t="shared" si="131"/>
        <v>0.159489404559903-0.0483829268534395i</v>
      </c>
      <c r="AQ263" s="22" t="str">
        <f t="shared" si="132"/>
        <v>0.840510595440097+0.0483829268534395i</v>
      </c>
      <c r="AR263" s="22" t="str">
        <f t="shared" si="133"/>
        <v>0.987791118442574-0.0568609434424321i</v>
      </c>
    </row>
    <row r="264" spans="7:44">
      <c r="G264" s="257">
        <v>16501.5</v>
      </c>
      <c r="H264" s="256">
        <f t="shared" si="125"/>
        <v>16.5015</v>
      </c>
      <c r="I264" s="298">
        <f t="shared" si="105"/>
        <v>16.1305347484791</v>
      </c>
      <c r="J264" s="299">
        <f t="shared" si="106"/>
        <v>1.50876232275984</v>
      </c>
      <c r="K264" s="299">
        <f t="shared" si="107"/>
        <v>1.00003975253768</v>
      </c>
      <c r="L264" s="300">
        <f t="shared" si="108"/>
        <v>0.00891641417185655</v>
      </c>
      <c r="M264" s="299">
        <f t="shared" si="109"/>
        <v>1.00170972884328</v>
      </c>
      <c r="N264" s="300">
        <f t="shared" si="110"/>
        <v>-0.0584345174489057</v>
      </c>
      <c r="O264" s="298">
        <f t="shared" si="111"/>
        <v>29860.4108983942</v>
      </c>
      <c r="P264" s="301">
        <f t="shared" si="112"/>
        <v>1.57076283763751</v>
      </c>
      <c r="Q264" s="320">
        <f t="shared" si="134"/>
        <v>12.4819601632726</v>
      </c>
      <c r="R264" s="321">
        <f t="shared" si="135"/>
        <v>1.49059475262681</v>
      </c>
      <c r="S264" s="298">
        <f t="shared" si="113"/>
        <v>1.00343408861807</v>
      </c>
      <c r="T264" s="301">
        <f t="shared" si="114"/>
        <v>0.082756146120352</v>
      </c>
      <c r="U264" s="316">
        <f t="shared" si="126"/>
        <v>0.985698053356762</v>
      </c>
      <c r="V264" s="317">
        <f t="shared" si="127"/>
        <v>-0.205932502539439</v>
      </c>
      <c r="W264" s="318">
        <f t="shared" si="115"/>
        <v>4.99520610164014</v>
      </c>
      <c r="X264" s="319">
        <f t="shared" si="116"/>
        <v>-110.416825920231</v>
      </c>
      <c r="Y264" s="332">
        <f t="shared" si="117"/>
        <v>69.5831740797686</v>
      </c>
      <c r="AA264" s="22">
        <f t="shared" si="118"/>
        <v>1000000000</v>
      </c>
      <c r="AB264" s="22">
        <f t="shared" si="119"/>
        <v>272299502.25</v>
      </c>
      <c r="AD264" s="331">
        <f t="shared" si="120"/>
        <v>27.6024129044917</v>
      </c>
      <c r="AE264" s="332">
        <f t="shared" si="121"/>
        <v>-9.33487083488988</v>
      </c>
      <c r="AG264" s="331">
        <f t="shared" si="122"/>
        <v>3.03098019815244</v>
      </c>
      <c r="AH264" s="332">
        <f t="shared" si="123"/>
        <v>-77.4838285382228</v>
      </c>
      <c r="AJ264" s="22">
        <f t="shared" si="124"/>
        <v>0</v>
      </c>
      <c r="AK264" s="22">
        <f t="shared" si="136"/>
        <v>0</v>
      </c>
      <c r="AM264" s="22" t="str">
        <f t="shared" si="128"/>
        <v>0.043557427633905+0.291920547008475i</v>
      </c>
      <c r="AN264" s="22" t="str">
        <f t="shared" si="129"/>
        <v>0.296234234937i</v>
      </c>
      <c r="AO264" s="22" t="str">
        <f t="shared" si="130"/>
        <v>0.985438253180148-0.147037116230568i</v>
      </c>
      <c r="AP264" s="22" t="str">
        <f t="shared" si="131"/>
        <v>0.159407095394349-0.0486534245014125i</v>
      </c>
      <c r="AQ264" s="22" t="str">
        <f t="shared" si="132"/>
        <v>0.840592904605651+0.0486534245014125i</v>
      </c>
      <c r="AR264" s="22" t="str">
        <f t="shared" si="133"/>
        <v>0.987658467073419-0.057165563018261i</v>
      </c>
    </row>
    <row r="265" spans="7:44">
      <c r="G265" s="257">
        <v>16596</v>
      </c>
      <c r="H265" s="256">
        <f t="shared" si="125"/>
        <v>16.596</v>
      </c>
      <c r="I265" s="298">
        <f t="shared" si="105"/>
        <v>16.2225563038025</v>
      </c>
      <c r="J265" s="299">
        <f t="shared" si="106"/>
        <v>1.50911465544795</v>
      </c>
      <c r="K265" s="299">
        <f t="shared" si="107"/>
        <v>1.00004020913807</v>
      </c>
      <c r="L265" s="300">
        <f t="shared" si="108"/>
        <v>0.00896747353593791</v>
      </c>
      <c r="M265" s="299">
        <f t="shared" si="109"/>
        <v>1.00172935034981</v>
      </c>
      <c r="N265" s="300">
        <f t="shared" si="110"/>
        <v>-0.0587683896586848</v>
      </c>
      <c r="O265" s="298">
        <f t="shared" si="111"/>
        <v>30031.4140694236</v>
      </c>
      <c r="P265" s="301">
        <f t="shared" si="112"/>
        <v>1.57076302832957</v>
      </c>
      <c r="Q265" s="320">
        <f t="shared" si="134"/>
        <v>12.5529837506172</v>
      </c>
      <c r="R265" s="321">
        <f t="shared" si="135"/>
        <v>1.49104949264892</v>
      </c>
      <c r="S265" s="298">
        <f t="shared" si="113"/>
        <v>1.0034734653203</v>
      </c>
      <c r="T265" s="301">
        <f t="shared" si="114"/>
        <v>0.0832278907183364</v>
      </c>
      <c r="U265" s="316">
        <f t="shared" si="126"/>
        <v>0.985541544522053</v>
      </c>
      <c r="V265" s="317">
        <f t="shared" si="127"/>
        <v>-0.207095569181767</v>
      </c>
      <c r="W265" s="318">
        <f t="shared" si="115"/>
        <v>4.94393304764615</v>
      </c>
      <c r="X265" s="319">
        <f t="shared" si="116"/>
        <v>-110.520841104992</v>
      </c>
      <c r="Y265" s="332">
        <f t="shared" si="117"/>
        <v>69.4791588950079</v>
      </c>
      <c r="AA265" s="22">
        <f t="shared" si="118"/>
        <v>1000000000</v>
      </c>
      <c r="AB265" s="22">
        <f t="shared" si="119"/>
        <v>275427216</v>
      </c>
      <c r="AD265" s="331">
        <f t="shared" si="120"/>
        <v>27.6017555010313</v>
      </c>
      <c r="AE265" s="332">
        <f t="shared" si="121"/>
        <v>-9.33585605117121</v>
      </c>
      <c r="AG265" s="331">
        <f t="shared" si="122"/>
        <v>2.98312305240937</v>
      </c>
      <c r="AH265" s="332">
        <f t="shared" si="123"/>
        <v>-77.4535808867542</v>
      </c>
      <c r="AJ265" s="22">
        <f t="shared" si="124"/>
        <v>0</v>
      </c>
      <c r="AK265" s="22">
        <f t="shared" si="136"/>
        <v>0</v>
      </c>
      <c r="AM265" s="22" t="str">
        <f t="shared" si="128"/>
        <v>0.044054035245947+0.293542692756i</v>
      </c>
      <c r="AN265" s="22" t="str">
        <f t="shared" si="129"/>
        <v>0.297930694968i</v>
      </c>
      <c r="AO265" s="22" t="str">
        <f t="shared" si="130"/>
        <v>0.98527173505076-0.147866721992773i</v>
      </c>
      <c r="AP265" s="22" t="str">
        <f t="shared" si="131"/>
        <v>0.159324327459009-0.048923782126i</v>
      </c>
      <c r="AQ265" s="22" t="str">
        <f t="shared" si="132"/>
        <v>0.840675672540991+0.048923782126i</v>
      </c>
      <c r="AR265" s="22" t="str">
        <f t="shared" si="133"/>
        <v>0.987525138443843-0.0574698023212023i</v>
      </c>
    </row>
    <row r="266" spans="7:44">
      <c r="G266" s="257">
        <v>16692.5</v>
      </c>
      <c r="H266" s="256">
        <f t="shared" si="125"/>
        <v>16.6925</v>
      </c>
      <c r="I266" s="298">
        <f t="shared" si="105"/>
        <v>16.3165274598042</v>
      </c>
      <c r="J266" s="299">
        <f t="shared" si="106"/>
        <v>1.509470343659</v>
      </c>
      <c r="K266" s="299">
        <f t="shared" si="107"/>
        <v>1.00004067809248</v>
      </c>
      <c r="L266" s="300">
        <f t="shared" si="108"/>
        <v>0.00901961347322583</v>
      </c>
      <c r="M266" s="299">
        <f t="shared" si="109"/>
        <v>1.00174950235505</v>
      </c>
      <c r="N266" s="300">
        <f t="shared" si="110"/>
        <v>-0.0591093144106175</v>
      </c>
      <c r="O266" s="298">
        <f t="shared" si="111"/>
        <v>30206.036355185</v>
      </c>
      <c r="P266" s="301">
        <f t="shared" si="112"/>
        <v>1.57076322082931</v>
      </c>
      <c r="Q266" s="320">
        <f t="shared" si="134"/>
        <v>12.6255131310102</v>
      </c>
      <c r="R266" s="321">
        <f t="shared" si="135"/>
        <v>1.49150857694591</v>
      </c>
      <c r="S266" s="298">
        <f t="shared" si="113"/>
        <v>1.00351390582894</v>
      </c>
      <c r="T266" s="301">
        <f t="shared" si="114"/>
        <v>0.0837095810141412</v>
      </c>
      <c r="U266" s="316">
        <f t="shared" si="126"/>
        <v>0.985380874344859</v>
      </c>
      <c r="V266" s="317">
        <f t="shared" si="127"/>
        <v>-0.208282970057091</v>
      </c>
      <c r="W266" s="318">
        <f t="shared" si="115"/>
        <v>4.89185899304106</v>
      </c>
      <c r="X266" s="319">
        <f t="shared" si="116"/>
        <v>-110.627106005988</v>
      </c>
      <c r="Y266" s="332">
        <f t="shared" si="117"/>
        <v>69.3728939940115</v>
      </c>
      <c r="AA266" s="22">
        <f t="shared" si="118"/>
        <v>1000000000</v>
      </c>
      <c r="AB266" s="22">
        <f t="shared" si="119"/>
        <v>278639556.25</v>
      </c>
      <c r="AD266" s="331">
        <f t="shared" si="120"/>
        <v>27.6010877126011</v>
      </c>
      <c r="AE266" s="332">
        <f t="shared" si="121"/>
        <v>-9.3371623089191</v>
      </c>
      <c r="AG266" s="331">
        <f t="shared" si="122"/>
        <v>2.93454909138655</v>
      </c>
      <c r="AH266" s="332">
        <f t="shared" si="123"/>
        <v>-77.4224734123548</v>
      </c>
      <c r="AJ266" s="22">
        <f t="shared" si="124"/>
        <v>0</v>
      </c>
      <c r="AK266" s="22">
        <f t="shared" si="136"/>
        <v>0</v>
      </c>
      <c r="AM266" s="22" t="str">
        <f t="shared" si="128"/>
        <v>0.0445639922065449+0.295198297779144i</v>
      </c>
      <c r="AN266" s="22" t="str">
        <f t="shared" si="129"/>
        <v>0.299663058915i</v>
      </c>
      <c r="AO266" s="22" t="str">
        <f t="shared" si="130"/>
        <v>0.985100728958645-0.148713666502302i</v>
      </c>
      <c r="AP266" s="22" t="str">
        <f t="shared" si="131"/>
        <v>0.159239334632243-0.049199716296524i</v>
      </c>
      <c r="AQ266" s="22" t="str">
        <f t="shared" si="132"/>
        <v>0.840760665367757+0.049199716296524i</v>
      </c>
      <c r="AR266" s="22" t="str">
        <f t="shared" si="133"/>
        <v>0.987388290560945-0.057780086261361i</v>
      </c>
    </row>
    <row r="267" spans="7:44">
      <c r="G267" s="257">
        <v>16789</v>
      </c>
      <c r="H267" s="256">
        <f t="shared" si="125"/>
        <v>16.789</v>
      </c>
      <c r="I267" s="298">
        <f t="shared" si="105"/>
        <v>16.4105006564353</v>
      </c>
      <c r="J267" s="299">
        <f t="shared" si="106"/>
        <v>1.5098219582836</v>
      </c>
      <c r="K267" s="299">
        <f t="shared" si="107"/>
        <v>1.00004114976556</v>
      </c>
      <c r="L267" s="300">
        <f t="shared" si="108"/>
        <v>0.00907175336147151</v>
      </c>
      <c r="M267" s="299">
        <f t="shared" si="109"/>
        <v>1.00176977078863</v>
      </c>
      <c r="N267" s="300">
        <f t="shared" si="110"/>
        <v>-0.0594502254065665</v>
      </c>
      <c r="O267" s="298">
        <f t="shared" si="111"/>
        <v>30380.6586409474</v>
      </c>
      <c r="P267" s="301">
        <f t="shared" si="112"/>
        <v>1.57076341111614</v>
      </c>
      <c r="Q267" s="320">
        <f t="shared" si="134"/>
        <v>12.6980451419381</v>
      </c>
      <c r="R267" s="321">
        <f t="shared" si="135"/>
        <v>1.49196241670244</v>
      </c>
      <c r="S267" s="298">
        <f t="shared" si="113"/>
        <v>1.00355457915965</v>
      </c>
      <c r="T267" s="301">
        <f t="shared" si="114"/>
        <v>0.0841912323765855</v>
      </c>
      <c r="U267" s="316">
        <f t="shared" si="126"/>
        <v>0.985219347516525</v>
      </c>
      <c r="V267" s="317">
        <f t="shared" si="127"/>
        <v>-0.209470085602566</v>
      </c>
      <c r="W267" s="318">
        <f t="shared" si="115"/>
        <v>4.84006865220214</v>
      </c>
      <c r="X267" s="319">
        <f t="shared" si="116"/>
        <v>-110.733418506654</v>
      </c>
      <c r="Y267" s="332">
        <f t="shared" si="117"/>
        <v>69.2665814933459</v>
      </c>
      <c r="AA267" s="22">
        <f t="shared" si="118"/>
        <v>1000000000</v>
      </c>
      <c r="AB267" s="22">
        <f t="shared" si="119"/>
        <v>281870521</v>
      </c>
      <c r="AD267" s="331">
        <f t="shared" si="120"/>
        <v>27.6004233638509</v>
      </c>
      <c r="AE267" s="332">
        <f t="shared" si="121"/>
        <v>-9.33876669919361</v>
      </c>
      <c r="AG267" s="331">
        <f t="shared" si="122"/>
        <v>2.88627097111285</v>
      </c>
      <c r="AH267" s="332">
        <f t="shared" si="123"/>
        <v>-77.3911481014903</v>
      </c>
      <c r="AJ267" s="22">
        <f t="shared" si="124"/>
        <v>0</v>
      </c>
      <c r="AK267" s="22">
        <f t="shared" si="136"/>
        <v>0</v>
      </c>
      <c r="AM267" s="22" t="str">
        <f t="shared" si="128"/>
        <v>0.045076816510948+0.296853016887372i</v>
      </c>
      <c r="AN267" s="22" t="str">
        <f t="shared" si="129"/>
        <v>0.301395422862i</v>
      </c>
      <c r="AO267" s="22" t="str">
        <f t="shared" si="130"/>
        <v>0.984928749310477-0.149560388418995i</v>
      </c>
      <c r="AP267" s="22" t="str">
        <f t="shared" si="131"/>
        <v>0.159153863914842-0.049475502814562i</v>
      </c>
      <c r="AQ267" s="22" t="str">
        <f t="shared" si="132"/>
        <v>0.840846136085158+0.049475502814562i</v>
      </c>
      <c r="AR267" s="22" t="str">
        <f t="shared" si="133"/>
        <v>0.987250739351409-0.0580899698973133i</v>
      </c>
    </row>
    <row r="268" spans="7:44">
      <c r="G268" s="257">
        <v>16885.5</v>
      </c>
      <c r="H268" s="256">
        <f t="shared" si="125"/>
        <v>16.8855</v>
      </c>
      <c r="I268" s="298">
        <f t="shared" si="105"/>
        <v>16.5044758588391</v>
      </c>
      <c r="J268" s="299">
        <f t="shared" si="106"/>
        <v>1.51016956881808</v>
      </c>
      <c r="K268" s="299">
        <f t="shared" si="107"/>
        <v>1.00004162415732</v>
      </c>
      <c r="L268" s="300">
        <f t="shared" si="108"/>
        <v>0.00912389320039152</v>
      </c>
      <c r="M268" s="299">
        <f t="shared" si="109"/>
        <v>1.00179015564349</v>
      </c>
      <c r="N268" s="300">
        <f t="shared" si="110"/>
        <v>-0.0597911225681276</v>
      </c>
      <c r="O268" s="298">
        <f t="shared" si="111"/>
        <v>30555.280926711</v>
      </c>
      <c r="P268" s="301">
        <f t="shared" si="112"/>
        <v>1.57076359922801</v>
      </c>
      <c r="Q268" s="320">
        <f t="shared" si="134"/>
        <v>12.7705797385794</v>
      </c>
      <c r="R268" s="321">
        <f t="shared" si="135"/>
        <v>1.49241110109409</v>
      </c>
      <c r="S268" s="298">
        <f t="shared" si="113"/>
        <v>1.00359548528411</v>
      </c>
      <c r="T268" s="301">
        <f t="shared" si="114"/>
        <v>0.0846728445869417</v>
      </c>
      <c r="U268" s="316">
        <f t="shared" si="126"/>
        <v>0.985056965276022</v>
      </c>
      <c r="V268" s="317">
        <f t="shared" si="127"/>
        <v>-0.210656914357047</v>
      </c>
      <c r="W268" s="318">
        <f t="shared" si="115"/>
        <v>4.78855865586186</v>
      </c>
      <c r="X268" s="319">
        <f t="shared" si="116"/>
        <v>-110.8397773809</v>
      </c>
      <c r="Y268" s="332">
        <f t="shared" si="117"/>
        <v>69.1602226191004</v>
      </c>
      <c r="AA268" s="22">
        <f t="shared" si="118"/>
        <v>1000000000</v>
      </c>
      <c r="AB268" s="22">
        <f t="shared" si="119"/>
        <v>285120110.25</v>
      </c>
      <c r="AD268" s="331">
        <f t="shared" si="120"/>
        <v>27.5997623318894</v>
      </c>
      <c r="AE268" s="332">
        <f t="shared" si="121"/>
        <v>-9.34066410225236</v>
      </c>
      <c r="AG268" s="331">
        <f t="shared" si="122"/>
        <v>2.8382854309437</v>
      </c>
      <c r="AH268" s="332">
        <f t="shared" si="123"/>
        <v>-77.3596090152485</v>
      </c>
      <c r="AJ268" s="22">
        <f t="shared" si="124"/>
        <v>0</v>
      </c>
      <c r="AK268" s="22">
        <f t="shared" si="136"/>
        <v>0</v>
      </c>
      <c r="AM268" s="22" t="str">
        <f t="shared" si="128"/>
        <v>0.045592506620129+0.298506845114733i</v>
      </c>
      <c r="AN268" s="22" t="str">
        <f t="shared" si="129"/>
        <v>0.303127786809i</v>
      </c>
      <c r="AO268" s="22" t="str">
        <f t="shared" si="130"/>
        <v>0.984755796415396-0.150406886482026i</v>
      </c>
      <c r="AP268" s="22" t="str">
        <f t="shared" si="131"/>
        <v>0.159067915563312-0.0497511408524555i</v>
      </c>
      <c r="AQ268" s="22" t="str">
        <f t="shared" si="132"/>
        <v>0.840932084436688+0.0497511408524555i</v>
      </c>
      <c r="AR268" s="22" t="str">
        <f t="shared" si="133"/>
        <v>0.987112486291783-0.0583994513369259i</v>
      </c>
    </row>
    <row r="269" spans="7:44">
      <c r="G269" s="257">
        <v>16982</v>
      </c>
      <c r="H269" s="256">
        <f t="shared" si="125"/>
        <v>16.982</v>
      </c>
      <c r="I269" s="298">
        <f t="shared" ref="I269:I332" si="137">SQRT(1+(G269/pole1)^2)</f>
        <v>16.5984530329475</v>
      </c>
      <c r="J269" s="299">
        <f t="shared" ref="J269:J332" si="138">ATAN(G269/pole1)</f>
        <v>1.51051324318885</v>
      </c>
      <c r="K269" s="299">
        <f t="shared" ref="K269:K332" si="139">SQRT(1+(G269/Zero1)^2)</f>
        <v>1.00004210126776</v>
      </c>
      <c r="L269" s="300">
        <f t="shared" ref="L269:L332" si="140">ATAN(G269/Zero1)</f>
        <v>0.00917603298970245</v>
      </c>
      <c r="M269" s="299">
        <f t="shared" ref="M269:M332" si="141">SQRT(1+(G269/z_RHP)^2)</f>
        <v>1.00181065691251</v>
      </c>
      <c r="N269" s="300">
        <f t="shared" ref="N269:N332" si="142">-ATAN(G269/z_RHP)</f>
        <v>-0.0601320058169159</v>
      </c>
      <c r="O269" s="298">
        <f t="shared" ref="O269:O332" si="143">SQRT(1+(G269/Pole2)^2)</f>
        <v>30729.9032124756</v>
      </c>
      <c r="P269" s="301">
        <f t="shared" ref="P269:P332" si="144">ATAN(G269/Pole2)</f>
        <v>1.570763785202</v>
      </c>
      <c r="Q269" s="320">
        <f t="shared" si="134"/>
        <v>12.8431168771239</v>
      </c>
      <c r="R269" s="321">
        <f t="shared" si="135"/>
        <v>1.49285471729022</v>
      </c>
      <c r="S269" s="298">
        <f t="shared" ref="S269:S332" si="145">SQRT(1+(G269/pole4)^2)</f>
        <v>1.00363662417385</v>
      </c>
      <c r="T269" s="301">
        <f t="shared" ref="T269:T332" si="146">ATAN(G269/pole4)</f>
        <v>0.0851544174265907</v>
      </c>
      <c r="U269" s="316">
        <f t="shared" si="126"/>
        <v>0.984893728867799</v>
      </c>
      <c r="V269" s="317">
        <f t="shared" si="127"/>
        <v>-0.211843454862459</v>
      </c>
      <c r="W269" s="318">
        <f t="shared" ref="W269:W332" si="147">20*LOG10(((K269*Q269*M269*U269)/(I269*O269*S269))*Adc)</f>
        <v>4.73732569305768</v>
      </c>
      <c r="X269" s="319">
        <f t="shared" ref="X269:X332" si="148">((L269+R269+N269+V269)-(J269+P269+T269))*radconv</f>
        <v>-110.946181427767</v>
      </c>
      <c r="Y269" s="332">
        <f t="shared" ref="Y269:Y332" si="149">IF(X269&gt;0,X269,X269+180)</f>
        <v>69.0538185722325</v>
      </c>
      <c r="AA269" s="22">
        <f t="shared" ref="AA269:AA332" si="150">IF(W269&lt;0,G269,1000000000)</f>
        <v>1000000000</v>
      </c>
      <c r="AB269" s="22">
        <f t="shared" ref="AB269:AB332" si="151">G269^2</f>
        <v>288388324</v>
      </c>
      <c r="AD269" s="331">
        <f t="shared" ref="AD269:AD332" si="152">20*LOG10((Q269/(O269*S269))*Aea)</f>
        <v>27.599104497302</v>
      </c>
      <c r="AE269" s="332">
        <f t="shared" ref="AE269:AE332" si="153">(R269-(P269+T269))*radconv</f>
        <v>-9.34284951325779</v>
      </c>
      <c r="AG269" s="331">
        <f t="shared" ref="AG269:AG332" si="154">20*LOG10((K269*M269/(I269*U269))*Acs*Am)</f>
        <v>2.79058926499566</v>
      </c>
      <c r="AH269" s="332">
        <f t="shared" ref="AH269:AH332" si="155">(L269+N269-(J269+V269))*radconv</f>
        <v>-77.3278601245928</v>
      </c>
      <c r="AJ269" s="22">
        <f t="shared" ref="AJ269:AJ332" si="156">SUM((W270&lt;0)*(W269&gt;0))*G269</f>
        <v>0</v>
      </c>
      <c r="AK269" s="22">
        <f t="shared" si="136"/>
        <v>0</v>
      </c>
      <c r="AM269" s="22" t="str">
        <f t="shared" si="128"/>
        <v>0.046111060986458+0.300159777497949i</v>
      </c>
      <c r="AN269" s="22" t="str">
        <f t="shared" si="129"/>
        <v>0.304860150756i</v>
      </c>
      <c r="AO269" s="22" t="str">
        <f t="shared" si="130"/>
        <v>0.984581870584283-0.151253159431007i</v>
      </c>
      <c r="AP269" s="22" t="str">
        <f t="shared" si="131"/>
        <v>0.15898148983559-0.0500266295829915i</v>
      </c>
      <c r="AQ269" s="22" t="str">
        <f t="shared" si="132"/>
        <v>0.84101851016441+0.0500266295829915i</v>
      </c>
      <c r="AR269" s="22" t="str">
        <f t="shared" si="133"/>
        <v>0.986973532864758-0.0587085286947959i</v>
      </c>
    </row>
    <row r="270" spans="7:44">
      <c r="G270" s="257">
        <v>17081</v>
      </c>
      <c r="H270" s="256">
        <f t="shared" ref="H270:H333" si="157">G270/1000</f>
        <v>17.081</v>
      </c>
      <c r="I270" s="298">
        <f t="shared" si="137"/>
        <v>16.6948668629582</v>
      </c>
      <c r="J270" s="299">
        <f t="shared" si="138"/>
        <v>1.51086180018518</v>
      </c>
      <c r="K270" s="299">
        <f t="shared" si="139"/>
        <v>1.0000425935638</v>
      </c>
      <c r="L270" s="300">
        <f t="shared" si="140"/>
        <v>0.00922952349890657</v>
      </c>
      <c r="M270" s="299">
        <f t="shared" si="141"/>
        <v>1.00183181027209</v>
      </c>
      <c r="N270" s="300">
        <f t="shared" si="142"/>
        <v>-0.0604817056977187</v>
      </c>
      <c r="O270" s="298">
        <f t="shared" si="143"/>
        <v>30909.0493916549</v>
      </c>
      <c r="P270" s="301">
        <f t="shared" si="144"/>
        <v>1.57076397381026</v>
      </c>
      <c r="Q270" s="320">
        <f t="shared" si="134"/>
        <v>12.9175358127995</v>
      </c>
      <c r="R270" s="321">
        <f t="shared" si="135"/>
        <v>1.49330464859815</v>
      </c>
      <c r="S270" s="298">
        <f t="shared" si="145"/>
        <v>1.00367907069663</v>
      </c>
      <c r="T270" s="301">
        <f t="shared" si="146"/>
        <v>0.0856484251036372</v>
      </c>
      <c r="U270" s="316">
        <f t="shared" ref="U270:U333" si="158">IMABS(IMPRODUCT(AO270,AR270))</f>
        <v>0.984725377199843</v>
      </c>
      <c r="V270" s="317">
        <f t="shared" ref="V270:V333" si="159">IMARGUMENT(IMPRODUCT(AO270,AR270))</f>
        <v>-0.213060433686958</v>
      </c>
      <c r="W270" s="318">
        <f t="shared" si="147"/>
        <v>4.68504993312107</v>
      </c>
      <c r="X270" s="319">
        <f t="shared" si="148"/>
        <v>-111.055387766331</v>
      </c>
      <c r="Y270" s="332">
        <f t="shared" si="149"/>
        <v>68.944612233669</v>
      </c>
      <c r="AA270" s="22">
        <f t="shared" si="150"/>
        <v>1000000000</v>
      </c>
      <c r="AB270" s="22">
        <f t="shared" si="151"/>
        <v>291760561</v>
      </c>
      <c r="AD270" s="331">
        <f t="shared" si="152"/>
        <v>27.598432821443</v>
      </c>
      <c r="AE270" s="332">
        <f t="shared" si="153"/>
        <v>-9.3453857096443</v>
      </c>
      <c r="AG270" s="331">
        <f t="shared" si="154"/>
        <v>2.74195485968967</v>
      </c>
      <c r="AH270" s="332">
        <f t="shared" si="155"/>
        <v>-77.295074765809</v>
      </c>
      <c r="AJ270" s="22">
        <f t="shared" si="156"/>
        <v>0</v>
      </c>
      <c r="AK270" s="22">
        <f t="shared" si="136"/>
        <v>0</v>
      </c>
      <c r="AM270" s="22" t="str">
        <f t="shared" ref="AM270:AM333" si="160">IMSUB(1,IMEXP(COMPLEX(0,-2*Pi*G270*Tsw)))</f>
        <v>0.046646024296144+0.301854595806743i</v>
      </c>
      <c r="AN270" s="22" t="str">
        <f t="shared" ref="AN270:AN333" si="161">COMPLEX(0,2*Pi*G270*Tsw)</f>
        <v>0.306637394598i</v>
      </c>
      <c r="AO270" s="22" t="str">
        <f t="shared" ref="AO270:AO333" si="162">IMDIV(AM270,AN270)</f>
        <v>0.984402428159399-0.152121121291474i</v>
      </c>
      <c r="AP270" s="22" t="str">
        <f t="shared" ref="AP270:AP333" si="163">IMDIV(IMEXP(COMPLEX(0,-2*Pi*G270*Tsw)),6)</f>
        <v>0.158892329283976-0.0503090993011238i</v>
      </c>
      <c r="AQ270" s="22" t="str">
        <f t="shared" ref="AQ270:AQ333" si="164">IMSUB(1,AP270)</f>
        <v>0.841107670716024+0.0503090993011238i</v>
      </c>
      <c r="AR270" s="22" t="str">
        <f t="shared" ref="AR270:AR333" si="165">IMDIV(0.833,AQ270)</f>
        <v>0.986830253349801-0.0590251913490039i</v>
      </c>
    </row>
    <row r="271" spans="7:44">
      <c r="G271" s="257">
        <v>17180</v>
      </c>
      <c r="H271" s="256">
        <f t="shared" si="157"/>
        <v>17.18</v>
      </c>
      <c r="I271" s="298">
        <f t="shared" si="137"/>
        <v>16.7912826979688</v>
      </c>
      <c r="J271" s="299">
        <f t="shared" si="138"/>
        <v>1.5112063543824</v>
      </c>
      <c r="K271" s="299">
        <f t="shared" si="139"/>
        <v>1.00004308872119</v>
      </c>
      <c r="L271" s="300">
        <f t="shared" si="140"/>
        <v>0.00928301395529358</v>
      </c>
      <c r="M271" s="299">
        <f t="shared" si="141"/>
        <v>1.00185308614051</v>
      </c>
      <c r="N271" s="300">
        <f t="shared" si="142"/>
        <v>-0.0608313907684693</v>
      </c>
      <c r="O271" s="298">
        <f t="shared" si="143"/>
        <v>31088.1955708353</v>
      </c>
      <c r="P271" s="301">
        <f t="shared" si="144"/>
        <v>1.5707641602448</v>
      </c>
      <c r="Q271" s="320">
        <f t="shared" si="134"/>
        <v>12.9919573335195</v>
      </c>
      <c r="R271" s="321">
        <f t="shared" si="135"/>
        <v>1.49374942533361</v>
      </c>
      <c r="S271" s="298">
        <f t="shared" si="145"/>
        <v>1.00372176214009</v>
      </c>
      <c r="T271" s="301">
        <f t="shared" si="146"/>
        <v>0.0861423908778238</v>
      </c>
      <c r="U271" s="316">
        <f t="shared" si="158"/>
        <v>0.98455612920458</v>
      </c>
      <c r="V271" s="317">
        <f t="shared" si="159"/>
        <v>-0.214277106034781</v>
      </c>
      <c r="W271" s="318">
        <f t="shared" si="147"/>
        <v>4.63305886957053</v>
      </c>
      <c r="X271" s="319">
        <f t="shared" si="148"/>
        <v>-111.164639165898</v>
      </c>
      <c r="Y271" s="332">
        <f t="shared" si="149"/>
        <v>68.8353608341022</v>
      </c>
      <c r="AA271" s="22">
        <f t="shared" si="150"/>
        <v>1000000000</v>
      </c>
      <c r="AB271" s="22">
        <f t="shared" si="151"/>
        <v>295152400</v>
      </c>
      <c r="AD271" s="331">
        <f t="shared" si="152"/>
        <v>27.5977642668823</v>
      </c>
      <c r="AE271" s="332">
        <f t="shared" si="153"/>
        <v>-9.3482147158774</v>
      </c>
      <c r="AG271" s="331">
        <f t="shared" si="154"/>
        <v>2.69361835225851</v>
      </c>
      <c r="AH271" s="332">
        <f t="shared" si="155"/>
        <v>-77.2620767778226</v>
      </c>
      <c r="AJ271" s="22">
        <f t="shared" si="156"/>
        <v>0</v>
      </c>
      <c r="AK271" s="22">
        <f t="shared" si="136"/>
        <v>0</v>
      </c>
      <c r="AM271" s="22" t="str">
        <f t="shared" si="160"/>
        <v>0.047183998864782+0.303548460679167i</v>
      </c>
      <c r="AN271" s="22" t="str">
        <f t="shared" si="161"/>
        <v>0.30841463844i</v>
      </c>
      <c r="AO271" s="22" t="str">
        <f t="shared" si="162"/>
        <v>0.984221962402801-0.152988843536885i</v>
      </c>
      <c r="AP271" s="22" t="str">
        <f t="shared" si="163"/>
        <v>0.15880266685587-0.0505914101131945i</v>
      </c>
      <c r="AQ271" s="22" t="str">
        <f t="shared" si="164"/>
        <v>0.84119733314413+0.0505914101131945i</v>
      </c>
      <c r="AR271" s="22" t="str">
        <f t="shared" si="165"/>
        <v>0.98668623989007-0.0593414247151108i</v>
      </c>
    </row>
    <row r="272" spans="7:44">
      <c r="G272" s="257">
        <v>17279</v>
      </c>
      <c r="H272" s="256">
        <f t="shared" si="157"/>
        <v>17.279</v>
      </c>
      <c r="I272" s="298">
        <f t="shared" si="137"/>
        <v>16.8877005036381</v>
      </c>
      <c r="J272" s="299">
        <f t="shared" si="138"/>
        <v>1.51154697425814</v>
      </c>
      <c r="K272" s="299">
        <f t="shared" si="139"/>
        <v>1.00004358673993</v>
      </c>
      <c r="L272" s="300">
        <f t="shared" si="140"/>
        <v>0.00933650435855747</v>
      </c>
      <c r="M272" s="299">
        <f t="shared" si="141"/>
        <v>1.00187448450996</v>
      </c>
      <c r="N272" s="300">
        <f t="shared" si="142"/>
        <v>-0.061181060944595</v>
      </c>
      <c r="O272" s="298">
        <f t="shared" si="143"/>
        <v>31267.3417500167</v>
      </c>
      <c r="P272" s="301">
        <f t="shared" si="144"/>
        <v>1.57076434454299</v>
      </c>
      <c r="Q272" s="320">
        <f t="shared" si="134"/>
        <v>13.0663813951131</v>
      </c>
      <c r="R272" s="321">
        <f t="shared" si="135"/>
        <v>1.49418913539801</v>
      </c>
      <c r="S272" s="298">
        <f t="shared" si="145"/>
        <v>1.00376469847298</v>
      </c>
      <c r="T272" s="301">
        <f t="shared" si="146"/>
        <v>0.0866363145134551</v>
      </c>
      <c r="U272" s="316">
        <f t="shared" si="158"/>
        <v>0.984385986243543</v>
      </c>
      <c r="V272" s="317">
        <f t="shared" si="159"/>
        <v>-0.215493470341743</v>
      </c>
      <c r="W272" s="318">
        <f t="shared" si="147"/>
        <v>4.58134911001198</v>
      </c>
      <c r="X272" s="319">
        <f t="shared" si="148"/>
        <v>-111.273934407755</v>
      </c>
      <c r="Y272" s="332">
        <f t="shared" si="149"/>
        <v>68.7260655922453</v>
      </c>
      <c r="AA272" s="22">
        <f t="shared" si="150"/>
        <v>1000000000</v>
      </c>
      <c r="AB272" s="22">
        <f t="shared" si="151"/>
        <v>298563841</v>
      </c>
      <c r="AD272" s="331">
        <f t="shared" si="152"/>
        <v>27.5970987153372</v>
      </c>
      <c r="AE272" s="332">
        <f t="shared" si="153"/>
        <v>-9.35133148421339</v>
      </c>
      <c r="AG272" s="331">
        <f t="shared" si="154"/>
        <v>2.64557645289469</v>
      </c>
      <c r="AH272" s="332">
        <f t="shared" si="155"/>
        <v>-77.2288701689056</v>
      </c>
      <c r="AJ272" s="22">
        <f t="shared" si="156"/>
        <v>0</v>
      </c>
      <c r="AK272" s="22">
        <f t="shared" si="136"/>
        <v>0</v>
      </c>
      <c r="AM272" s="22" t="str">
        <f t="shared" si="160"/>
        <v>0.047724982993126+0.305241366764989i</v>
      </c>
      <c r="AN272" s="22" t="str">
        <f t="shared" si="161"/>
        <v>0.310191882282i</v>
      </c>
      <c r="AO272" s="22" t="str">
        <f t="shared" si="162"/>
        <v>0.984040473655882-0.153856324807812i</v>
      </c>
      <c r="AP272" s="22" t="str">
        <f t="shared" si="163"/>
        <v>0.158712502834479-0.0508735611274982i</v>
      </c>
      <c r="AQ272" s="22" t="str">
        <f t="shared" si="164"/>
        <v>0.841287497165521+0.0508735611274982i</v>
      </c>
      <c r="AR272" s="22" t="str">
        <f t="shared" si="165"/>
        <v>0.986541494106429-0.0596572267795896i</v>
      </c>
    </row>
    <row r="273" spans="7:44">
      <c r="G273" s="257">
        <v>17378</v>
      </c>
      <c r="H273" s="256">
        <f t="shared" si="157"/>
        <v>17.378</v>
      </c>
      <c r="I273" s="298">
        <f t="shared" si="137"/>
        <v>16.9841202464042</v>
      </c>
      <c r="J273" s="299">
        <f t="shared" si="138"/>
        <v>1.51188372673873</v>
      </c>
      <c r="K273" s="299">
        <f t="shared" si="139"/>
        <v>1.00004408762002</v>
      </c>
      <c r="L273" s="300">
        <f t="shared" si="140"/>
        <v>0.0093899947083922</v>
      </c>
      <c r="M273" s="299">
        <f t="shared" si="141"/>
        <v>1.0018960053726</v>
      </c>
      <c r="N273" s="300">
        <f t="shared" si="142"/>
        <v>-0.0615307161415454</v>
      </c>
      <c r="O273" s="298">
        <f t="shared" si="143"/>
        <v>31446.4879291992</v>
      </c>
      <c r="P273" s="301">
        <f t="shared" si="144"/>
        <v>1.57076452674134</v>
      </c>
      <c r="Q273" s="320">
        <f t="shared" si="134"/>
        <v>13.1408079544092</v>
      </c>
      <c r="R273" s="321">
        <f t="shared" si="135"/>
        <v>1.49462386470929</v>
      </c>
      <c r="S273" s="298">
        <f t="shared" si="145"/>
        <v>1.00380787966389</v>
      </c>
      <c r="T273" s="301">
        <f t="shared" si="146"/>
        <v>0.0871301957749581</v>
      </c>
      <c r="U273" s="316">
        <f t="shared" si="158"/>
        <v>0.984214949684233</v>
      </c>
      <c r="V273" s="317">
        <f t="shared" si="159"/>
        <v>-0.216709525047137</v>
      </c>
      <c r="W273" s="318">
        <f t="shared" si="147"/>
        <v>4.52991732089747</v>
      </c>
      <c r="X273" s="319">
        <f t="shared" si="148"/>
        <v>-111.383272298108</v>
      </c>
      <c r="Y273" s="332">
        <f t="shared" si="149"/>
        <v>68.6167277018919</v>
      </c>
      <c r="AA273" s="22">
        <f t="shared" si="150"/>
        <v>1000000000</v>
      </c>
      <c r="AB273" s="22">
        <f t="shared" si="151"/>
        <v>301994884</v>
      </c>
      <c r="AD273" s="331">
        <f t="shared" si="152"/>
        <v>27.596436051883</v>
      </c>
      <c r="AE273" s="332">
        <f t="shared" si="153"/>
        <v>-9.35473108051163</v>
      </c>
      <c r="AG273" s="331">
        <f t="shared" si="154"/>
        <v>2.59782592720531</v>
      </c>
      <c r="AH273" s="332">
        <f t="shared" si="155"/>
        <v>-77.1954588582496</v>
      </c>
      <c r="AJ273" s="22">
        <f t="shared" si="156"/>
        <v>0</v>
      </c>
      <c r="AK273" s="22">
        <f t="shared" si="136"/>
        <v>0</v>
      </c>
      <c r="AM273" s="22" t="str">
        <f t="shared" si="160"/>
        <v>0.048268974972428+0.306933308717004i</v>
      </c>
      <c r="AN273" s="22" t="str">
        <f t="shared" si="161"/>
        <v>0.311969126124i</v>
      </c>
      <c r="AO273" s="22" t="str">
        <f t="shared" si="162"/>
        <v>0.983857962261963-0.15472356374535i</v>
      </c>
      <c r="AP273" s="22" t="str">
        <f t="shared" si="163"/>
        <v>0.158621837504595-0.051155551452834i</v>
      </c>
      <c r="AQ273" s="22" t="str">
        <f t="shared" si="164"/>
        <v>0.841378162495405+0.051155551452834i</v>
      </c>
      <c r="AR273" s="22" t="str">
        <f t="shared" si="165"/>
        <v>0.986396017626386-0.0599725955364723i</v>
      </c>
    </row>
    <row r="274" spans="7:44">
      <c r="G274" s="257">
        <v>17479.25</v>
      </c>
      <c r="H274" s="256">
        <f t="shared" si="157"/>
        <v>17.47925</v>
      </c>
      <c r="I274" s="298">
        <f t="shared" si="137"/>
        <v>17.0827333164107</v>
      </c>
      <c r="J274" s="299">
        <f t="shared" si="138"/>
        <v>1.51222420061743</v>
      </c>
      <c r="K274" s="299">
        <f t="shared" si="139"/>
        <v>1.00004460284337</v>
      </c>
      <c r="L274" s="300">
        <f t="shared" si="140"/>
        <v>0.00944470069241259</v>
      </c>
      <c r="M274" s="299">
        <f t="shared" si="141"/>
        <v>1.00191814203824</v>
      </c>
      <c r="N274" s="300">
        <f t="shared" si="142"/>
        <v>-0.061888302465725</v>
      </c>
      <c r="O274" s="298">
        <f t="shared" si="143"/>
        <v>31629.7056124551</v>
      </c>
      <c r="P274" s="301">
        <f t="shared" si="144"/>
        <v>1.57076471094578</v>
      </c>
      <c r="Q274" s="320">
        <f t="shared" si="134"/>
        <v>13.2169285659382</v>
      </c>
      <c r="R274" s="321">
        <f t="shared" si="135"/>
        <v>1.49506340991627</v>
      </c>
      <c r="S274" s="298">
        <f t="shared" si="145"/>
        <v>1.00385229548125</v>
      </c>
      <c r="T274" s="301">
        <f t="shared" si="146"/>
        <v>0.0876352575355599</v>
      </c>
      <c r="U274" s="316">
        <f t="shared" si="158"/>
        <v>0.984039103069162</v>
      </c>
      <c r="V274" s="317">
        <f t="shared" si="159"/>
        <v>-0.217952895500443</v>
      </c>
      <c r="W274" s="318">
        <f t="shared" si="147"/>
        <v>4.4776007320645</v>
      </c>
      <c r="X274" s="319">
        <f t="shared" si="148"/>
        <v>-111.495138035202</v>
      </c>
      <c r="Y274" s="332">
        <f t="shared" si="149"/>
        <v>68.504861964798</v>
      </c>
      <c r="AA274" s="22">
        <f t="shared" si="150"/>
        <v>1000000000</v>
      </c>
      <c r="AB274" s="22">
        <f t="shared" si="151"/>
        <v>305524180.5625</v>
      </c>
      <c r="AD274" s="331">
        <f t="shared" si="152"/>
        <v>27.5957611988183</v>
      </c>
      <c r="AE274" s="332">
        <f t="shared" si="153"/>
        <v>-9.35849545666353</v>
      </c>
      <c r="AG274" s="331">
        <f t="shared" si="154"/>
        <v>2.54928823035649</v>
      </c>
      <c r="AH274" s="332">
        <f t="shared" si="155"/>
        <v>-77.1610804603372</v>
      </c>
      <c r="AJ274" s="22">
        <f t="shared" si="156"/>
        <v>0</v>
      </c>
      <c r="AK274" s="22">
        <f t="shared" si="136"/>
        <v>0</v>
      </c>
      <c r="AM274" s="22" t="str">
        <f t="shared" si="160"/>
        <v>0.048828439783166+0.30866270107461i</v>
      </c>
      <c r="AN274" s="22" t="str">
        <f t="shared" si="161"/>
        <v>0.3137867618715i</v>
      </c>
      <c r="AO274" s="22" t="str">
        <f t="shared" si="162"/>
        <v>0.983670245467563-0.155610260585696i</v>
      </c>
      <c r="AP274" s="22" t="str">
        <f t="shared" si="163"/>
        <v>0.158528593369472-0.051443783512435i</v>
      </c>
      <c r="AQ274" s="22" t="str">
        <f t="shared" si="164"/>
        <v>0.841471406630528+0.051443783512435i</v>
      </c>
      <c r="AR274" s="22" t="str">
        <f t="shared" si="165"/>
        <v>0.986246480770571-0.0602946814911078i</v>
      </c>
    </row>
    <row r="275" spans="7:44">
      <c r="G275" s="257">
        <v>17580.5</v>
      </c>
      <c r="H275" s="256">
        <f t="shared" si="157"/>
        <v>17.5805</v>
      </c>
      <c r="I275" s="298">
        <f t="shared" si="137"/>
        <v>17.1813483439579</v>
      </c>
      <c r="J275" s="299">
        <f t="shared" si="138"/>
        <v>1.51256076612896</v>
      </c>
      <c r="K275" s="299">
        <f t="shared" si="139"/>
        <v>1.00004512105959</v>
      </c>
      <c r="L275" s="300">
        <f t="shared" si="140"/>
        <v>0.00949940661990021</v>
      </c>
      <c r="M275" s="299">
        <f t="shared" si="141"/>
        <v>1.00194040681146</v>
      </c>
      <c r="N275" s="300">
        <f t="shared" si="142"/>
        <v>-0.0622458729433055</v>
      </c>
      <c r="O275" s="298">
        <f t="shared" si="143"/>
        <v>31812.9232957121</v>
      </c>
      <c r="P275" s="301">
        <f t="shared" si="144"/>
        <v>1.57076489302847</v>
      </c>
      <c r="Q275" s="320">
        <f t="shared" si="134"/>
        <v>13.2930517017328</v>
      </c>
      <c r="R275" s="321">
        <f t="shared" si="135"/>
        <v>1.49549792106372</v>
      </c>
      <c r="S275" s="298">
        <f t="shared" si="145"/>
        <v>1.00389696734597</v>
      </c>
      <c r="T275" s="301">
        <f t="shared" si="146"/>
        <v>0.0881402744760389</v>
      </c>
      <c r="U275" s="316">
        <f t="shared" si="158"/>
        <v>0.983862324688337</v>
      </c>
      <c r="V275" s="317">
        <f t="shared" si="159"/>
        <v>-0.219195938828597</v>
      </c>
      <c r="W275" s="318">
        <f t="shared" si="147"/>
        <v>4.42556802207742</v>
      </c>
      <c r="X275" s="319">
        <f t="shared" si="148"/>
        <v>-111.607045932551</v>
      </c>
      <c r="Y275" s="332">
        <f t="shared" si="149"/>
        <v>68.3929540674488</v>
      </c>
      <c r="AA275" s="22">
        <f t="shared" si="150"/>
        <v>1000000000</v>
      </c>
      <c r="AB275" s="22">
        <f t="shared" si="151"/>
        <v>309073980.25</v>
      </c>
      <c r="AD275" s="331">
        <f t="shared" si="152"/>
        <v>27.5950891337363</v>
      </c>
      <c r="AE275" s="332">
        <f t="shared" si="153"/>
        <v>-9.36254557360978</v>
      </c>
      <c r="AG275" s="331">
        <f t="shared" si="154"/>
        <v>2.5010486310255</v>
      </c>
      <c r="AH275" s="332">
        <f t="shared" si="155"/>
        <v>-77.1264959676673</v>
      </c>
      <c r="AJ275" s="22">
        <f t="shared" si="156"/>
        <v>0</v>
      </c>
      <c r="AK275" s="22">
        <f t="shared" si="136"/>
        <v>0</v>
      </c>
      <c r="AM275" s="22" t="str">
        <f t="shared" si="160"/>
        <v>0.0493910470733639+0.310391073672754i</v>
      </c>
      <c r="AN275" s="22" t="str">
        <f t="shared" si="161"/>
        <v>0.315604397619i</v>
      </c>
      <c r="AO275" s="22" t="str">
        <f t="shared" si="162"/>
        <v>0.983481459746516-0.15649670107889i</v>
      </c>
      <c r="AP275" s="22" t="str">
        <f t="shared" si="163"/>
        <v>0.158434825487773-0.0517318456121257i</v>
      </c>
      <c r="AQ275" s="22" t="str">
        <f t="shared" si="164"/>
        <v>0.841565174512227+0.0517318456121257i</v>
      </c>
      <c r="AR275" s="22" t="str">
        <f t="shared" si="165"/>
        <v>0.986096183091888-0.0606163099987865i</v>
      </c>
    </row>
    <row r="276" spans="7:44">
      <c r="G276" s="257">
        <v>17681.75</v>
      </c>
      <c r="H276" s="256">
        <f t="shared" si="157"/>
        <v>17.68175</v>
      </c>
      <c r="I276" s="298">
        <f t="shared" si="137"/>
        <v>17.2799652955312</v>
      </c>
      <c r="J276" s="299">
        <f t="shared" si="138"/>
        <v>1.51289349011168</v>
      </c>
      <c r="K276" s="299">
        <f t="shared" si="139"/>
        <v>1.00004564226869</v>
      </c>
      <c r="L276" s="300">
        <f t="shared" si="140"/>
        <v>0.00955411249052769</v>
      </c>
      <c r="M276" s="299">
        <f t="shared" si="141"/>
        <v>1.00196279968372</v>
      </c>
      <c r="N276" s="300">
        <f t="shared" si="142"/>
        <v>-0.0626034274839107</v>
      </c>
      <c r="O276" s="298">
        <f t="shared" si="143"/>
        <v>31996.1409789701</v>
      </c>
      <c r="P276" s="301">
        <f t="shared" si="144"/>
        <v>1.57076507302586</v>
      </c>
      <c r="Q276" s="320">
        <f t="shared" si="134"/>
        <v>13.369177318674</v>
      </c>
      <c r="R276" s="321">
        <f t="shared" si="135"/>
        <v>1.49592748397966</v>
      </c>
      <c r="S276" s="298">
        <f t="shared" si="145"/>
        <v>1.00394189522387</v>
      </c>
      <c r="T276" s="301">
        <f t="shared" si="146"/>
        <v>0.0886452463447941</v>
      </c>
      <c r="U276" s="316">
        <f t="shared" si="158"/>
        <v>0.983684616023788</v>
      </c>
      <c r="V276" s="317">
        <f t="shared" si="159"/>
        <v>-0.22043865337338</v>
      </c>
      <c r="W276" s="318">
        <f t="shared" si="147"/>
        <v>4.37381580721143</v>
      </c>
      <c r="X276" s="319">
        <f t="shared" si="148"/>
        <v>-111.718994789633</v>
      </c>
      <c r="Y276" s="332">
        <f t="shared" si="149"/>
        <v>68.2810052103672</v>
      </c>
      <c r="AA276" s="22">
        <f t="shared" si="150"/>
        <v>1000000000</v>
      </c>
      <c r="AB276" s="22">
        <f t="shared" si="151"/>
        <v>312644283.0625</v>
      </c>
      <c r="AD276" s="331">
        <f t="shared" si="152"/>
        <v>27.5944197438763</v>
      </c>
      <c r="AE276" s="332">
        <f t="shared" si="153"/>
        <v>-9.36687650143899</v>
      </c>
      <c r="AG276" s="331">
        <f t="shared" si="154"/>
        <v>2.45310384114398</v>
      </c>
      <c r="AH276" s="332">
        <f t="shared" si="155"/>
        <v>-77.0917092996455</v>
      </c>
      <c r="AJ276" s="22">
        <f t="shared" si="156"/>
        <v>0</v>
      </c>
      <c r="AK276" s="22">
        <f t="shared" si="136"/>
        <v>0</v>
      </c>
      <c r="AM276" s="22" t="str">
        <f t="shared" si="160"/>
        <v>0.049956794984281+0.312118420801241i</v>
      </c>
      <c r="AN276" s="22" t="str">
        <f t="shared" si="161"/>
        <v>0.3174220333665i</v>
      </c>
      <c r="AO276" s="22" t="str">
        <f t="shared" si="162"/>
        <v>0.983291605472342-0.157382883772911i</v>
      </c>
      <c r="AP276" s="22" t="str">
        <f t="shared" si="163"/>
        <v>0.158340534169287-0.0520197368002068i</v>
      </c>
      <c r="AQ276" s="22" t="str">
        <f t="shared" si="164"/>
        <v>0.841659465830713+0.0520197368002068i</v>
      </c>
      <c r="AR276" s="22" t="str">
        <f t="shared" si="165"/>
        <v>0.985945126352642-0.060937478938337i</v>
      </c>
    </row>
    <row r="277" spans="7:44">
      <c r="G277" s="257">
        <v>17783</v>
      </c>
      <c r="H277" s="256">
        <f t="shared" si="157"/>
        <v>17.783</v>
      </c>
      <c r="I277" s="298">
        <f t="shared" si="137"/>
        <v>17.3785841383764</v>
      </c>
      <c r="J277" s="299">
        <f t="shared" si="138"/>
        <v>1.51322243789026</v>
      </c>
      <c r="K277" s="299">
        <f t="shared" si="139"/>
        <v>1.00004616647065</v>
      </c>
      <c r="L277" s="300">
        <f t="shared" si="140"/>
        <v>0.00960881830396769</v>
      </c>
      <c r="M277" s="299">
        <f t="shared" si="141"/>
        <v>1.00198532064643</v>
      </c>
      <c r="N277" s="300">
        <f t="shared" si="142"/>
        <v>-0.0629609659971891</v>
      </c>
      <c r="O277" s="298">
        <f t="shared" si="143"/>
        <v>32179.3586622291</v>
      </c>
      <c r="P277" s="301">
        <f t="shared" si="144"/>
        <v>1.57076525097357</v>
      </c>
      <c r="Q277" s="320">
        <f t="shared" si="134"/>
        <v>13.445305374618</v>
      </c>
      <c r="R277" s="321">
        <f t="shared" si="135"/>
        <v>1.49635218255569</v>
      </c>
      <c r="S277" s="298">
        <f t="shared" si="145"/>
        <v>1.00398707908057</v>
      </c>
      <c r="T277" s="301">
        <f t="shared" si="146"/>
        <v>0.0891501728903616</v>
      </c>
      <c r="U277" s="316">
        <f t="shared" si="158"/>
        <v>0.983505978563925</v>
      </c>
      <c r="V277" s="317">
        <f t="shared" si="159"/>
        <v>-0.221681037480421</v>
      </c>
      <c r="W277" s="318">
        <f t="shared" si="147"/>
        <v>4.32234076239793</v>
      </c>
      <c r="X277" s="319">
        <f t="shared" si="148"/>
        <v>-111.830983430327</v>
      </c>
      <c r="Y277" s="332">
        <f t="shared" si="149"/>
        <v>68.1690165696734</v>
      </c>
      <c r="AA277" s="22">
        <f t="shared" si="150"/>
        <v>1000000000</v>
      </c>
      <c r="AB277" s="22">
        <f t="shared" si="151"/>
        <v>316235089</v>
      </c>
      <c r="AD277" s="331">
        <f t="shared" si="152"/>
        <v>27.5937529196802</v>
      </c>
      <c r="AE277" s="332">
        <f t="shared" si="153"/>
        <v>-9.37148342115049</v>
      </c>
      <c r="AG277" s="331">
        <f t="shared" si="154"/>
        <v>2.4054506280182</v>
      </c>
      <c r="AH277" s="332">
        <f t="shared" si="155"/>
        <v>-77.0567242887301</v>
      </c>
      <c r="AJ277" s="22">
        <f t="shared" si="156"/>
        <v>0</v>
      </c>
      <c r="AK277" s="22">
        <f t="shared" si="136"/>
        <v>0</v>
      </c>
      <c r="AM277" s="22" t="str">
        <f t="shared" si="160"/>
        <v>0.050525681646799+0.313844736753263i</v>
      </c>
      <c r="AN277" s="22" t="str">
        <f t="shared" si="161"/>
        <v>0.319239669114i</v>
      </c>
      <c r="AO277" s="22" t="str">
        <f t="shared" si="162"/>
        <v>0.98310068302066-0.1582688072163i</v>
      </c>
      <c r="AP277" s="22" t="str">
        <f t="shared" si="163"/>
        <v>0.158245719725534-0.0523074561255438i</v>
      </c>
      <c r="AQ277" s="22" t="str">
        <f t="shared" si="164"/>
        <v>0.841754280274466+0.0523074561255438i</v>
      </c>
      <c r="AR277" s="22" t="str">
        <f t="shared" si="165"/>
        <v>0.985793312322219-0.0612581861969691i</v>
      </c>
    </row>
    <row r="278" spans="7:44">
      <c r="G278" s="257">
        <v>17886.5</v>
      </c>
      <c r="H278" s="256">
        <f t="shared" si="157"/>
        <v>17.8865</v>
      </c>
      <c r="I278" s="298">
        <f t="shared" si="137"/>
        <v>17.479396432512</v>
      </c>
      <c r="J278" s="299">
        <f t="shared" si="138"/>
        <v>1.51355485908774</v>
      </c>
      <c r="K278" s="299">
        <f t="shared" si="139"/>
        <v>1.0000467054149</v>
      </c>
      <c r="L278" s="300">
        <f t="shared" si="140"/>
        <v>0.0096647397427021</v>
      </c>
      <c r="M278" s="299">
        <f t="shared" si="141"/>
        <v>1.00200847445774</v>
      </c>
      <c r="N278" s="300">
        <f t="shared" si="142"/>
        <v>-0.0633264331511821</v>
      </c>
      <c r="O278" s="298">
        <f t="shared" si="143"/>
        <v>32366.6478495616</v>
      </c>
      <c r="P278" s="301">
        <f t="shared" si="144"/>
        <v>1.57076543079341</v>
      </c>
      <c r="Q278" s="320">
        <f t="shared" si="134"/>
        <v>13.5231276431543</v>
      </c>
      <c r="R278" s="321">
        <f t="shared" si="135"/>
        <v>1.49678137657266</v>
      </c>
      <c r="S278" s="298">
        <f t="shared" si="145"/>
        <v>1.00403353156164</v>
      </c>
      <c r="T278" s="301">
        <f t="shared" si="146"/>
        <v>0.0896662729189895</v>
      </c>
      <c r="U278" s="316">
        <f t="shared" si="158"/>
        <v>0.9833224129547</v>
      </c>
      <c r="V278" s="317">
        <f t="shared" si="159"/>
        <v>-0.222950686870718</v>
      </c>
      <c r="W278" s="318">
        <f t="shared" si="147"/>
        <v>4.27000490300906</v>
      </c>
      <c r="X278" s="319">
        <f t="shared" si="148"/>
        <v>-111.94550062727</v>
      </c>
      <c r="Y278" s="332">
        <f t="shared" si="149"/>
        <v>68.05449937273</v>
      </c>
      <c r="AA278" s="22">
        <f t="shared" si="150"/>
        <v>1000000000</v>
      </c>
      <c r="AB278" s="22">
        <f t="shared" si="151"/>
        <v>319926882.25</v>
      </c>
      <c r="AD278" s="331">
        <f t="shared" si="152"/>
        <v>27.5930738181529</v>
      </c>
      <c r="AE278" s="332">
        <f t="shared" si="153"/>
        <v>-9.37647307175616</v>
      </c>
      <c r="AG278" s="331">
        <f t="shared" si="154"/>
        <v>2.35703651325573</v>
      </c>
      <c r="AH278" s="332">
        <f t="shared" si="155"/>
        <v>-77.0207607318506</v>
      </c>
      <c r="AJ278" s="22">
        <f t="shared" si="156"/>
        <v>0</v>
      </c>
      <c r="AK278" s="22">
        <f t="shared" si="136"/>
        <v>0</v>
      </c>
      <c r="AM278" s="22" t="str">
        <f t="shared" si="160"/>
        <v>0.051110452429757+0.315608343539804i</v>
      </c>
      <c r="AN278" s="22" t="str">
        <f t="shared" si="161"/>
        <v>0.321097696767i</v>
      </c>
      <c r="AO278" s="22" t="str">
        <f t="shared" si="162"/>
        <v>0.982904414193979-0.159174148380281i</v>
      </c>
      <c r="AP278" s="22" t="str">
        <f t="shared" si="163"/>
        <v>0.158148257928374-0.0526013905899673i</v>
      </c>
      <c r="AQ278" s="22" t="str">
        <f t="shared" si="164"/>
        <v>0.841851742071626+0.0526013905899673i</v>
      </c>
      <c r="AR278" s="22" t="str">
        <f t="shared" si="165"/>
        <v>0.98563734377519-0.0615855409081823i</v>
      </c>
    </row>
    <row r="279" spans="7:44">
      <c r="G279" s="257">
        <v>17990</v>
      </c>
      <c r="H279" s="256">
        <f t="shared" si="157"/>
        <v>17.99</v>
      </c>
      <c r="I279" s="298">
        <f t="shared" si="137"/>
        <v>17.5802106360356</v>
      </c>
      <c r="J279" s="299">
        <f t="shared" si="138"/>
        <v>1.51388346776411</v>
      </c>
      <c r="K279" s="299">
        <f t="shared" si="139"/>
        <v>1.00004724748651</v>
      </c>
      <c r="L279" s="300">
        <f t="shared" si="140"/>
        <v>0.0097206611209874</v>
      </c>
      <c r="M279" s="299">
        <f t="shared" si="141"/>
        <v>1.00203176209736</v>
      </c>
      <c r="N279" s="300">
        <f t="shared" si="142"/>
        <v>-0.0636918833667643</v>
      </c>
      <c r="O279" s="298">
        <f t="shared" si="143"/>
        <v>32553.9370368951</v>
      </c>
      <c r="P279" s="301">
        <f t="shared" si="144"/>
        <v>1.57076560854417</v>
      </c>
      <c r="Q279" s="320">
        <f t="shared" ref="Q279:Q342" si="166">SQRT(1+(G279/Zero2)^2)</f>
        <v>13.600952374245</v>
      </c>
      <c r="R279" s="321">
        <f t="shared" ref="R279:R342" si="167">ATAN(G279/Zero2)</f>
        <v>1.49720565896557</v>
      </c>
      <c r="S279" s="298">
        <f t="shared" si="145"/>
        <v>1.00408025145152</v>
      </c>
      <c r="T279" s="301">
        <f t="shared" si="146"/>
        <v>0.0901823250567566</v>
      </c>
      <c r="U279" s="316">
        <f t="shared" si="158"/>
        <v>0.983137879977165</v>
      </c>
      <c r="V279" s="317">
        <f t="shared" si="159"/>
        <v>-0.224219987490516</v>
      </c>
      <c r="W279" s="318">
        <f t="shared" si="147"/>
        <v>4.21795182481812</v>
      </c>
      <c r="X279" s="319">
        <f t="shared" si="148"/>
        <v>-112.060056985566</v>
      </c>
      <c r="Y279" s="332">
        <f t="shared" si="149"/>
        <v>67.9399430144336</v>
      </c>
      <c r="AA279" s="22">
        <f t="shared" si="150"/>
        <v>1000000000</v>
      </c>
      <c r="AB279" s="22">
        <f t="shared" si="151"/>
        <v>323640100</v>
      </c>
      <c r="AD279" s="331">
        <f t="shared" si="152"/>
        <v>27.5923971758619</v>
      </c>
      <c r="AE279" s="332">
        <f t="shared" si="153"/>
        <v>-9.38174127519822</v>
      </c>
      <c r="AG279" s="331">
        <f t="shared" si="154"/>
        <v>2.30892041897144</v>
      </c>
      <c r="AH279" s="332">
        <f t="shared" si="155"/>
        <v>-76.9845977496436</v>
      </c>
      <c r="AJ279" s="22">
        <f t="shared" si="156"/>
        <v>0</v>
      </c>
      <c r="AK279" s="22">
        <f t="shared" si="136"/>
        <v>0</v>
      </c>
      <c r="AM279" s="22" t="str">
        <f t="shared" si="160"/>
        <v>0.0516984990316151+0.317370860762465i</v>
      </c>
      <c r="AN279" s="22" t="str">
        <f t="shared" si="161"/>
        <v>0.32295572442i</v>
      </c>
      <c r="AO279" s="22" t="str">
        <f t="shared" si="162"/>
        <v>0.982707029988198-0.160079215578114i</v>
      </c>
      <c r="AP279" s="22" t="str">
        <f t="shared" si="163"/>
        <v>0.158050250161397-0.0528951434604108i</v>
      </c>
      <c r="AQ279" s="22" t="str">
        <f t="shared" si="164"/>
        <v>0.841949749838603+0.0528951434604108i</v>
      </c>
      <c r="AR279" s="22" t="str">
        <f t="shared" si="165"/>
        <v>0.985480587666956-0.0619124087537125i</v>
      </c>
    </row>
    <row r="280" spans="7:44">
      <c r="G280" s="257">
        <v>18093.5</v>
      </c>
      <c r="H280" s="256">
        <f t="shared" si="157"/>
        <v>18.0935</v>
      </c>
      <c r="I280" s="298">
        <f t="shared" si="137"/>
        <v>17.6810267162862</v>
      </c>
      <c r="J280" s="299">
        <f t="shared" si="138"/>
        <v>1.51420832906404</v>
      </c>
      <c r="K280" s="299">
        <f t="shared" si="139"/>
        <v>1.00004779268546</v>
      </c>
      <c r="L280" s="300">
        <f t="shared" si="140"/>
        <v>0.00977658243847395</v>
      </c>
      <c r="M280" s="299">
        <f t="shared" si="141"/>
        <v>1.00205518355596</v>
      </c>
      <c r="N280" s="300">
        <f t="shared" si="142"/>
        <v>-0.0640573165475055</v>
      </c>
      <c r="O280" s="298">
        <f t="shared" si="143"/>
        <v>32741.2262242297</v>
      </c>
      <c r="P280" s="301">
        <f t="shared" si="144"/>
        <v>1.57076578426135</v>
      </c>
      <c r="Q280" s="320">
        <f t="shared" si="166"/>
        <v>13.6787795258585</v>
      </c>
      <c r="R280" s="321">
        <f t="shared" si="167"/>
        <v>1.49762511341625</v>
      </c>
      <c r="S280" s="298">
        <f t="shared" si="145"/>
        <v>1.0041272387129</v>
      </c>
      <c r="T280" s="301">
        <f t="shared" si="146"/>
        <v>0.0906983290355075</v>
      </c>
      <c r="U280" s="316">
        <f t="shared" si="158"/>
        <v>0.98295238124167</v>
      </c>
      <c r="V280" s="317">
        <f t="shared" si="159"/>
        <v>-0.225488937585273</v>
      </c>
      <c r="W280" s="318">
        <f t="shared" si="147"/>
        <v>4.1661781575473</v>
      </c>
      <c r="X280" s="319">
        <f t="shared" si="148"/>
        <v>-112.174651323752</v>
      </c>
      <c r="Y280" s="332">
        <f t="shared" si="149"/>
        <v>67.8253486762482</v>
      </c>
      <c r="AA280" s="22">
        <f t="shared" si="150"/>
        <v>1000000000</v>
      </c>
      <c r="AB280" s="22">
        <f t="shared" si="151"/>
        <v>327374742.25</v>
      </c>
      <c r="AD280" s="331">
        <f t="shared" si="152"/>
        <v>27.591722885474</v>
      </c>
      <c r="AE280" s="332">
        <f t="shared" si="153"/>
        <v>-9.38728322352996</v>
      </c>
      <c r="AG280" s="331">
        <f t="shared" si="154"/>
        <v>2.26109906361385</v>
      </c>
      <c r="AH280" s="332">
        <f t="shared" si="155"/>
        <v>-76.9482391696466</v>
      </c>
      <c r="AJ280" s="22">
        <f t="shared" si="156"/>
        <v>0</v>
      </c>
      <c r="AK280" s="22">
        <f t="shared" si="136"/>
        <v>0</v>
      </c>
      <c r="AM280" s="22" t="str">
        <f t="shared" si="160"/>
        <v>0.0522898194222809+0.319132282336569i</v>
      </c>
      <c r="AN280" s="22" t="str">
        <f t="shared" si="161"/>
        <v>0.324813752073i</v>
      </c>
      <c r="AO280" s="22" t="str">
        <f t="shared" si="162"/>
        <v>0.982508530811361-0.160984007261272i</v>
      </c>
      <c r="AP280" s="22" t="str">
        <f t="shared" si="163"/>
        <v>0.157951696762953-0.0531887137227615i</v>
      </c>
      <c r="AQ280" s="22" t="str">
        <f t="shared" si="164"/>
        <v>0.842048303237047+0.0531887137227615i</v>
      </c>
      <c r="AR280" s="22" t="str">
        <f t="shared" si="165"/>
        <v>0.985323045910141-0.0622387875040945i</v>
      </c>
    </row>
    <row r="281" spans="7:44">
      <c r="G281" s="257">
        <v>18197</v>
      </c>
      <c r="H281" s="256">
        <f t="shared" si="157"/>
        <v>18.197</v>
      </c>
      <c r="I281" s="298">
        <f t="shared" si="137"/>
        <v>17.7818446413428</v>
      </c>
      <c r="J281" s="299">
        <f t="shared" si="138"/>
        <v>1.514529506658</v>
      </c>
      <c r="K281" s="299">
        <f t="shared" si="139"/>
        <v>1.00004834101175</v>
      </c>
      <c r="L281" s="300">
        <f t="shared" si="140"/>
        <v>0.00983250369481208</v>
      </c>
      <c r="M281" s="299">
        <f t="shared" si="141"/>
        <v>1.00207873882416</v>
      </c>
      <c r="N281" s="300">
        <f t="shared" si="142"/>
        <v>-0.0644227325970026</v>
      </c>
      <c r="O281" s="298">
        <f t="shared" si="143"/>
        <v>32928.5154115652</v>
      </c>
      <c r="P281" s="301">
        <f t="shared" si="144"/>
        <v>1.57076595797967</v>
      </c>
      <c r="Q281" s="320">
        <f t="shared" si="166"/>
        <v>13.7566090569129</v>
      </c>
      <c r="R281" s="321">
        <f t="shared" si="167"/>
        <v>1.4980398217197</v>
      </c>
      <c r="S281" s="298">
        <f t="shared" si="145"/>
        <v>1.00417449330825</v>
      </c>
      <c r="T281" s="301">
        <f t="shared" si="146"/>
        <v>0.0912142845872392</v>
      </c>
      <c r="U281" s="316">
        <f t="shared" si="158"/>
        <v>0.982765918365391</v>
      </c>
      <c r="V281" s="317">
        <f t="shared" si="159"/>
        <v>-0.226757535404722</v>
      </c>
      <c r="W281" s="318">
        <f t="shared" si="147"/>
        <v>4.11468058927854</v>
      </c>
      <c r="X281" s="319">
        <f t="shared" si="148"/>
        <v>-112.289282484214</v>
      </c>
      <c r="Y281" s="332">
        <f t="shared" si="149"/>
        <v>67.7107175157855</v>
      </c>
      <c r="AA281" s="22">
        <f t="shared" si="150"/>
        <v>1000000000</v>
      </c>
      <c r="AB281" s="22">
        <f t="shared" si="151"/>
        <v>331130809</v>
      </c>
      <c r="AD281" s="331">
        <f t="shared" si="152"/>
        <v>27.5910508427054</v>
      </c>
      <c r="AE281" s="332">
        <f t="shared" si="153"/>
        <v>-9.39309421687706</v>
      </c>
      <c r="AG281" s="331">
        <f t="shared" si="154"/>
        <v>2.21356922085761</v>
      </c>
      <c r="AH281" s="332">
        <f t="shared" si="155"/>
        <v>-76.9116887346882</v>
      </c>
      <c r="AJ281" s="22">
        <f t="shared" si="156"/>
        <v>0</v>
      </c>
      <c r="AK281" s="22">
        <f t="shared" si="136"/>
        <v>0</v>
      </c>
      <c r="AM281" s="22" t="str">
        <f t="shared" si="160"/>
        <v>0.0528844115603599+0.320892602181219i</v>
      </c>
      <c r="AN281" s="22" t="str">
        <f t="shared" si="161"/>
        <v>0.326671779726i</v>
      </c>
      <c r="AO281" s="22" t="str">
        <f t="shared" si="162"/>
        <v>0.982308917073803-0.161888521881864i</v>
      </c>
      <c r="AP281" s="22" t="str">
        <f t="shared" si="163"/>
        <v>0.157852598073273-0.0534821003635365i</v>
      </c>
      <c r="AQ281" s="22" t="str">
        <f t="shared" si="164"/>
        <v>0.842147401926727+0.0534821003635365i</v>
      </c>
      <c r="AR281" s="22" t="str">
        <f t="shared" si="165"/>
        <v>0.985164720424892-0.0625646749391311i</v>
      </c>
    </row>
    <row r="282" spans="7:44">
      <c r="G282" s="257">
        <v>18303</v>
      </c>
      <c r="H282" s="256">
        <f t="shared" si="157"/>
        <v>18.303</v>
      </c>
      <c r="I282" s="298">
        <f t="shared" si="137"/>
        <v>17.8850996615684</v>
      </c>
      <c r="J282" s="299">
        <f t="shared" si="138"/>
        <v>1.51485468893806</v>
      </c>
      <c r="K282" s="299">
        <f t="shared" si="139"/>
        <v>1.0000489058242</v>
      </c>
      <c r="L282" s="300">
        <f t="shared" si="140"/>
        <v>0.0098897756423871</v>
      </c>
      <c r="M282" s="299">
        <f t="shared" si="141"/>
        <v>1.00210300174713</v>
      </c>
      <c r="N282" s="300">
        <f t="shared" si="142"/>
        <v>-0.0647969572634865</v>
      </c>
      <c r="O282" s="298">
        <f t="shared" si="143"/>
        <v>33120.3284923157</v>
      </c>
      <c r="P282" s="301">
        <f t="shared" si="144"/>
        <v>1.57076613385764</v>
      </c>
      <c r="Q282" s="320">
        <f t="shared" si="166"/>
        <v>13.8363209527227</v>
      </c>
      <c r="R282" s="321">
        <f t="shared" si="167"/>
        <v>1.49845971117564</v>
      </c>
      <c r="S282" s="298">
        <f t="shared" si="145"/>
        <v>1.00422316637747</v>
      </c>
      <c r="T282" s="301">
        <f t="shared" si="146"/>
        <v>0.0917426523578422</v>
      </c>
      <c r="U282" s="316">
        <f t="shared" si="158"/>
        <v>0.9825739538971</v>
      </c>
      <c r="V282" s="317">
        <f t="shared" si="159"/>
        <v>-0.22805640871761</v>
      </c>
      <c r="W282" s="318">
        <f t="shared" si="147"/>
        <v>4.06222190094157</v>
      </c>
      <c r="X282" s="319">
        <f t="shared" si="148"/>
        <v>-112.406719495282</v>
      </c>
      <c r="Y282" s="332">
        <f t="shared" si="149"/>
        <v>67.5932805047178</v>
      </c>
      <c r="AA282" s="22">
        <f t="shared" si="150"/>
        <v>1000000000</v>
      </c>
      <c r="AB282" s="22">
        <f t="shared" si="151"/>
        <v>334999809</v>
      </c>
      <c r="AD282" s="331">
        <f t="shared" si="152"/>
        <v>27.5903647908639</v>
      </c>
      <c r="AE282" s="332">
        <f t="shared" si="153"/>
        <v>-9.3993196435482</v>
      </c>
      <c r="AG282" s="331">
        <f t="shared" si="154"/>
        <v>2.16519015962076</v>
      </c>
      <c r="AH282" s="332">
        <f t="shared" si="155"/>
        <v>-76.8740604010131</v>
      </c>
      <c r="AJ282" s="22">
        <f t="shared" si="156"/>
        <v>0</v>
      </c>
      <c r="AK282" s="22">
        <f t="shared" ref="AK282:AK345" si="168">IF(AJ282&gt;0,Y282,0)</f>
        <v>0</v>
      </c>
      <c r="AM282" s="22" t="str">
        <f t="shared" si="160"/>
        <v>0.05349675492594+0.322694293510552i</v>
      </c>
      <c r="AN282" s="22" t="str">
        <f t="shared" si="161"/>
        <v>0.328574687274i</v>
      </c>
      <c r="AO282" s="22" t="str">
        <f t="shared" si="162"/>
        <v>0.982103326911046-0.162814595883123i</v>
      </c>
      <c r="AP282" s="22" t="str">
        <f t="shared" si="163"/>
        <v>0.157750540845677-0.0537823822517587i</v>
      </c>
      <c r="AQ282" s="22" t="str">
        <f t="shared" si="164"/>
        <v>0.842249459154323+0.0537823822517587i</v>
      </c>
      <c r="AR282" s="22" t="str">
        <f t="shared" si="165"/>
        <v>0.985001760313696-0.0628979224813486i</v>
      </c>
    </row>
    <row r="283" spans="7:44">
      <c r="G283" s="257">
        <v>18409</v>
      </c>
      <c r="H283" s="256">
        <f t="shared" si="157"/>
        <v>18.409</v>
      </c>
      <c r="I283" s="298">
        <f t="shared" si="137"/>
        <v>17.9883565513154</v>
      </c>
      <c r="J283" s="299">
        <f t="shared" si="138"/>
        <v>1.5151761380246</v>
      </c>
      <c r="K283" s="299">
        <f t="shared" si="139"/>
        <v>1.00004947391687</v>
      </c>
      <c r="L283" s="300">
        <f t="shared" si="140"/>
        <v>0.00994704752508165</v>
      </c>
      <c r="M283" s="299">
        <f t="shared" si="141"/>
        <v>1.00212740500191</v>
      </c>
      <c r="N283" s="300">
        <f t="shared" si="142"/>
        <v>-0.0651711637565476</v>
      </c>
      <c r="O283" s="298">
        <f t="shared" si="143"/>
        <v>33312.1415730671</v>
      </c>
      <c r="P283" s="301">
        <f t="shared" si="144"/>
        <v>1.57076630771017</v>
      </c>
      <c r="Q283" s="320">
        <f t="shared" si="166"/>
        <v>13.9160352600281</v>
      </c>
      <c r="R283" s="321">
        <f t="shared" si="167"/>
        <v>1.49887479025389</v>
      </c>
      <c r="S283" s="298">
        <f t="shared" si="145"/>
        <v>1.00427211977096</v>
      </c>
      <c r="T283" s="301">
        <f t="shared" si="146"/>
        <v>0.0922709687651939</v>
      </c>
      <c r="U283" s="316">
        <f t="shared" si="158"/>
        <v>0.982380981603901</v>
      </c>
      <c r="V283" s="317">
        <f t="shared" si="159"/>
        <v>-0.229354908829305</v>
      </c>
      <c r="W283" s="318">
        <f t="shared" si="147"/>
        <v>4.01004596108165</v>
      </c>
      <c r="X283" s="319">
        <f t="shared" si="148"/>
        <v>-112.524192745114</v>
      </c>
      <c r="Y283" s="332">
        <f t="shared" si="149"/>
        <v>67.4758072548864</v>
      </c>
      <c r="AA283" s="22">
        <f t="shared" si="150"/>
        <v>1000000000</v>
      </c>
      <c r="AB283" s="22">
        <f t="shared" si="151"/>
        <v>338891281</v>
      </c>
      <c r="AD283" s="331">
        <f t="shared" si="152"/>
        <v>27.58968088449</v>
      </c>
      <c r="AE283" s="332">
        <f t="shared" si="153"/>
        <v>-9.40581762561312</v>
      </c>
      <c r="AG283" s="331">
        <f t="shared" si="154"/>
        <v>2.11711018616116</v>
      </c>
      <c r="AH283" s="332">
        <f t="shared" si="155"/>
        <v>-76.8362385164152</v>
      </c>
      <c r="AJ283" s="22">
        <f t="shared" si="156"/>
        <v>0</v>
      </c>
      <c r="AK283" s="22">
        <f t="shared" si="168"/>
        <v>0</v>
      </c>
      <c r="AM283" s="22" t="str">
        <f t="shared" si="160"/>
        <v>0.054112525632816+0.324494816345763i</v>
      </c>
      <c r="AN283" s="22" t="str">
        <f t="shared" si="161"/>
        <v>0.330477594822i</v>
      </c>
      <c r="AO283" s="22" t="str">
        <f t="shared" si="162"/>
        <v>0.981896568572343-0.163740375991183i</v>
      </c>
      <c r="AP283" s="22" t="str">
        <f t="shared" si="163"/>
        <v>0.157647912394531-0.0540824693909605i</v>
      </c>
      <c r="AQ283" s="22" t="str">
        <f t="shared" si="164"/>
        <v>0.842352087605469+0.0540824693909605i</v>
      </c>
      <c r="AR283" s="22" t="str">
        <f t="shared" si="165"/>
        <v>0.984837982256189-0.0632306500027006i</v>
      </c>
    </row>
    <row r="284" spans="7:44">
      <c r="G284" s="257">
        <v>18515</v>
      </c>
      <c r="H284" s="256">
        <f t="shared" si="157"/>
        <v>18.515</v>
      </c>
      <c r="I284" s="298">
        <f t="shared" si="137"/>
        <v>18.0916152785733</v>
      </c>
      <c r="J284" s="299">
        <f t="shared" si="138"/>
        <v>1.51549391777274</v>
      </c>
      <c r="K284" s="299">
        <f t="shared" si="139"/>
        <v>1.00005004528977</v>
      </c>
      <c r="L284" s="300">
        <f t="shared" si="140"/>
        <v>0.0100043193425201</v>
      </c>
      <c r="M284" s="299">
        <f t="shared" si="141"/>
        <v>1.00215194857824</v>
      </c>
      <c r="N284" s="300">
        <f t="shared" si="142"/>
        <v>-0.0655453519727168</v>
      </c>
      <c r="O284" s="298">
        <f t="shared" si="143"/>
        <v>33503.9546538196</v>
      </c>
      <c r="P284" s="301">
        <f t="shared" si="144"/>
        <v>1.57076647957207</v>
      </c>
      <c r="Q284" s="320">
        <f t="shared" si="166"/>
        <v>13.9957519376243</v>
      </c>
      <c r="R284" s="321">
        <f t="shared" si="167"/>
        <v>1.49928514100669</v>
      </c>
      <c r="S284" s="298">
        <f t="shared" si="145"/>
        <v>1.00432135344773</v>
      </c>
      <c r="T284" s="301">
        <f t="shared" si="146"/>
        <v>0.0927992335219013</v>
      </c>
      <c r="U284" s="316">
        <f t="shared" si="158"/>
        <v>0.982187003245035</v>
      </c>
      <c r="V284" s="317">
        <f t="shared" si="159"/>
        <v>-0.230653033873671</v>
      </c>
      <c r="W284" s="318">
        <f t="shared" si="147"/>
        <v>3.95814939365358</v>
      </c>
      <c r="X284" s="319">
        <f t="shared" si="148"/>
        <v>-112.64170106379</v>
      </c>
      <c r="Y284" s="332">
        <f t="shared" si="149"/>
        <v>67.35829893621</v>
      </c>
      <c r="AA284" s="22">
        <f t="shared" si="150"/>
        <v>1000000000</v>
      </c>
      <c r="AB284" s="22">
        <f t="shared" si="151"/>
        <v>342805225</v>
      </c>
      <c r="AD284" s="331">
        <f t="shared" si="152"/>
        <v>27.5889990208471</v>
      </c>
      <c r="AE284" s="332">
        <f t="shared" si="153"/>
        <v>-9.41258344735111</v>
      </c>
      <c r="AG284" s="331">
        <f t="shared" si="154"/>
        <v>2.06932600681849</v>
      </c>
      <c r="AH284" s="332">
        <f t="shared" si="155"/>
        <v>-76.7982268405383</v>
      </c>
      <c r="AJ284" s="22">
        <f t="shared" si="156"/>
        <v>0</v>
      </c>
      <c r="AK284" s="22">
        <f t="shared" si="168"/>
        <v>0</v>
      </c>
      <c r="AM284" s="22" t="str">
        <f t="shared" si="160"/>
        <v>0.054731721451248+0.326294164167059i</v>
      </c>
      <c r="AN284" s="22" t="str">
        <f t="shared" si="161"/>
        <v>0.33238050237i</v>
      </c>
      <c r="AO284" s="22" t="str">
        <f t="shared" si="162"/>
        <v>0.981688642505974-0.164665860545339i</v>
      </c>
      <c r="AP284" s="22" t="str">
        <f t="shared" si="163"/>
        <v>0.157544713091459-0.0543823606945098i</v>
      </c>
      <c r="AQ284" s="22" t="str">
        <f t="shared" si="164"/>
        <v>0.842455286908541+0.0543823606945098i</v>
      </c>
      <c r="AR284" s="22" t="str">
        <f t="shared" si="165"/>
        <v>0.984673388339235-0.0635628551486113i</v>
      </c>
    </row>
    <row r="285" spans="7:44">
      <c r="G285" s="257">
        <v>18621</v>
      </c>
      <c r="H285" s="256">
        <f t="shared" si="157"/>
        <v>18.621</v>
      </c>
      <c r="I285" s="298">
        <f t="shared" si="137"/>
        <v>18.1948758120575</v>
      </c>
      <c r="J285" s="299">
        <f t="shared" si="138"/>
        <v>1.51580809059103</v>
      </c>
      <c r="K285" s="299">
        <f t="shared" si="139"/>
        <v>1.0000506199429</v>
      </c>
      <c r="L285" s="300">
        <f t="shared" si="140"/>
        <v>0.0100615910943269</v>
      </c>
      <c r="M285" s="299">
        <f t="shared" si="141"/>
        <v>1.00217663246583</v>
      </c>
      <c r="N285" s="300">
        <f t="shared" si="142"/>
        <v>-0.0659195218085555</v>
      </c>
      <c r="O285" s="298">
        <f t="shared" si="143"/>
        <v>33695.7677345731</v>
      </c>
      <c r="P285" s="301">
        <f t="shared" si="144"/>
        <v>1.57076664947732</v>
      </c>
      <c r="Q285" s="320">
        <f t="shared" si="166"/>
        <v>14.0754709452387</v>
      </c>
      <c r="R285" s="321">
        <f t="shared" si="167"/>
        <v>1.49969084363388</v>
      </c>
      <c r="S285" s="298">
        <f t="shared" si="145"/>
        <v>1.00437086736657</v>
      </c>
      <c r="T285" s="301">
        <f t="shared" si="146"/>
        <v>0.0933274463407427</v>
      </c>
      <c r="U285" s="316">
        <f t="shared" si="158"/>
        <v>0.981992020587075</v>
      </c>
      <c r="V285" s="317">
        <f t="shared" si="159"/>
        <v>-0.231950781989347</v>
      </c>
      <c r="W285" s="318">
        <f t="shared" si="147"/>
        <v>3.90652888111918</v>
      </c>
      <c r="X285" s="319">
        <f t="shared" si="148"/>
        <v>-112.759243304883</v>
      </c>
      <c r="Y285" s="332">
        <f t="shared" si="149"/>
        <v>67.2407566951171</v>
      </c>
      <c r="AA285" s="22">
        <f t="shared" si="150"/>
        <v>1000000000</v>
      </c>
      <c r="AB285" s="22">
        <f t="shared" si="151"/>
        <v>346741641</v>
      </c>
      <c r="AD285" s="331">
        <f t="shared" si="152"/>
        <v>27.5883191001233</v>
      </c>
      <c r="AE285" s="332">
        <f t="shared" si="153"/>
        <v>-9.41961249914176</v>
      </c>
      <c r="AG285" s="331">
        <f t="shared" si="154"/>
        <v>2.02183438342359</v>
      </c>
      <c r="AH285" s="332">
        <f t="shared" si="155"/>
        <v>-76.7600290498719</v>
      </c>
      <c r="AJ285" s="22">
        <f t="shared" si="156"/>
        <v>0</v>
      </c>
      <c r="AK285" s="22">
        <f t="shared" si="168"/>
        <v>0</v>
      </c>
      <c r="AM285" s="22" t="str">
        <f t="shared" si="160"/>
        <v>0.055354340139093+0.328092330458899i</v>
      </c>
      <c r="AN285" s="22" t="str">
        <f t="shared" si="161"/>
        <v>0.334283409918i</v>
      </c>
      <c r="AO285" s="22" t="str">
        <f t="shared" si="162"/>
        <v>0.981479549162731-0.165591047885599i</v>
      </c>
      <c r="AP285" s="22" t="str">
        <f t="shared" si="163"/>
        <v>0.157440943310151-0.0546820550764832i</v>
      </c>
      <c r="AQ285" s="22" t="str">
        <f t="shared" si="164"/>
        <v>0.842559056689849+0.0546820550764832i</v>
      </c>
      <c r="AR285" s="22" t="str">
        <f t="shared" si="165"/>
        <v>0.984507980657737-0.0638945355748286i</v>
      </c>
    </row>
    <row r="286" spans="7:44">
      <c r="G286" s="257">
        <v>18729.5</v>
      </c>
      <c r="H286" s="256">
        <f t="shared" si="157"/>
        <v>18.7295</v>
      </c>
      <c r="I286" s="298">
        <f t="shared" si="137"/>
        <v>18.3005735741969</v>
      </c>
      <c r="J286" s="299">
        <f t="shared" si="138"/>
        <v>1.51612600127488</v>
      </c>
      <c r="K286" s="299">
        <f t="shared" si="139"/>
        <v>1.00005121154634</v>
      </c>
      <c r="L286" s="300">
        <f t="shared" si="140"/>
        <v>0.0101202135266333</v>
      </c>
      <c r="M286" s="299">
        <f t="shared" si="141"/>
        <v>1.00220204382385</v>
      </c>
      <c r="N286" s="300">
        <f t="shared" si="142"/>
        <v>-0.0663024972610466</v>
      </c>
      <c r="O286" s="298">
        <f t="shared" si="143"/>
        <v>33892.1047087415</v>
      </c>
      <c r="P286" s="301">
        <f t="shared" si="144"/>
        <v>1.57076682139803</v>
      </c>
      <c r="Q286" s="320">
        <f t="shared" si="166"/>
        <v>14.1570724901381</v>
      </c>
      <c r="R286" s="321">
        <f t="shared" si="167"/>
        <v>1.50010138268464</v>
      </c>
      <c r="S286" s="298">
        <f t="shared" si="145"/>
        <v>1.00442183925748</v>
      </c>
      <c r="T286" s="301">
        <f t="shared" si="146"/>
        <v>0.0938680629197295</v>
      </c>
      <c r="U286" s="316">
        <f t="shared" si="158"/>
        <v>0.981791401025274</v>
      </c>
      <c r="V286" s="317">
        <f t="shared" si="159"/>
        <v>-0.233278745065787</v>
      </c>
      <c r="W286" s="318">
        <f t="shared" si="147"/>
        <v>3.85397339860892</v>
      </c>
      <c r="X286" s="319">
        <f t="shared" si="148"/>
        <v>-112.879591727933</v>
      </c>
      <c r="Y286" s="332">
        <f t="shared" si="149"/>
        <v>67.1204082720667</v>
      </c>
      <c r="AA286" s="22">
        <f t="shared" si="150"/>
        <v>1000000000</v>
      </c>
      <c r="AB286" s="22">
        <f t="shared" si="151"/>
        <v>350794170.25</v>
      </c>
      <c r="AD286" s="331">
        <f t="shared" si="152"/>
        <v>27.5876250545118</v>
      </c>
      <c r="AE286" s="332">
        <f t="shared" si="153"/>
        <v>-9.42707524285831</v>
      </c>
      <c r="AG286" s="331">
        <f t="shared" si="154"/>
        <v>1.97352233870297</v>
      </c>
      <c r="AH286" s="332">
        <f t="shared" si="155"/>
        <v>-76.7207413697734</v>
      </c>
      <c r="AJ286" s="22">
        <f t="shared" si="156"/>
        <v>0</v>
      </c>
      <c r="AK286" s="22">
        <f t="shared" si="168"/>
        <v>0</v>
      </c>
      <c r="AM286" s="22" t="str">
        <f t="shared" si="160"/>
        <v>0.055995185790069+0.329931675879225i</v>
      </c>
      <c r="AN286" s="22" t="str">
        <f t="shared" si="161"/>
        <v>0.336231197361i</v>
      </c>
      <c r="AO286" s="22" t="str">
        <f t="shared" si="162"/>
        <v>0.981264315949209-0.166537746138854i</v>
      </c>
      <c r="AP286" s="22" t="str">
        <f t="shared" si="163"/>
        <v>0.157334135701655-0.0549886126465375i</v>
      </c>
      <c r="AQ286" s="22" t="str">
        <f t="shared" si="164"/>
        <v>0.842665864298345+0.0549886126465375i</v>
      </c>
      <c r="AR286" s="22" t="str">
        <f t="shared" si="165"/>
        <v>0.984337831266996-0.0642334927877295i</v>
      </c>
    </row>
    <row r="287" spans="7:44">
      <c r="G287" s="257">
        <v>18838</v>
      </c>
      <c r="H287" s="256">
        <f t="shared" si="157"/>
        <v>18.838</v>
      </c>
      <c r="I287" s="298">
        <f t="shared" si="137"/>
        <v>18.4062731646815</v>
      </c>
      <c r="J287" s="299">
        <f t="shared" si="138"/>
        <v>1.51644026073185</v>
      </c>
      <c r="K287" s="299">
        <f t="shared" si="139"/>
        <v>1.00005180658653</v>
      </c>
      <c r="L287" s="300">
        <f t="shared" si="140"/>
        <v>0.0101788358893793</v>
      </c>
      <c r="M287" s="299">
        <f t="shared" si="141"/>
        <v>1.00222760216759</v>
      </c>
      <c r="N287" s="300">
        <f t="shared" si="142"/>
        <v>-0.0666854532367787</v>
      </c>
      <c r="O287" s="298">
        <f t="shared" si="143"/>
        <v>34088.4416829109</v>
      </c>
      <c r="P287" s="301">
        <f t="shared" si="144"/>
        <v>1.57076699133834</v>
      </c>
      <c r="Q287" s="320">
        <f t="shared" si="166"/>
        <v>14.2386763937539</v>
      </c>
      <c r="R287" s="321">
        <f t="shared" si="167"/>
        <v>1.50050721608638</v>
      </c>
      <c r="S287" s="298">
        <f t="shared" si="145"/>
        <v>1.00447310467719</v>
      </c>
      <c r="T287" s="301">
        <f t="shared" si="146"/>
        <v>0.0944086244736586</v>
      </c>
      <c r="U287" s="316">
        <f t="shared" si="158"/>
        <v>0.981589733001954</v>
      </c>
      <c r="V287" s="317">
        <f t="shared" si="159"/>
        <v>-0.234606309293238</v>
      </c>
      <c r="W287" s="318">
        <f t="shared" si="147"/>
        <v>3.80170029432192</v>
      </c>
      <c r="X287" s="319">
        <f t="shared" si="148"/>
        <v>-112.999973334436</v>
      </c>
      <c r="Y287" s="332">
        <f t="shared" si="149"/>
        <v>67.0000266655643</v>
      </c>
      <c r="AA287" s="22">
        <f t="shared" si="150"/>
        <v>1000000000</v>
      </c>
      <c r="AB287" s="22">
        <f t="shared" si="151"/>
        <v>354870244</v>
      </c>
      <c r="AD287" s="331">
        <f t="shared" si="152"/>
        <v>27.586932841897</v>
      </c>
      <c r="AE287" s="332">
        <f t="shared" si="153"/>
        <v>-9.43480433423168</v>
      </c>
      <c r="AG287" s="331">
        <f t="shared" si="154"/>
        <v>1.9255101198064</v>
      </c>
      <c r="AH287" s="332">
        <f t="shared" si="155"/>
        <v>-76.6812662301976</v>
      </c>
      <c r="AJ287" s="22">
        <f t="shared" si="156"/>
        <v>0</v>
      </c>
      <c r="AK287" s="22">
        <f t="shared" si="168"/>
        <v>0</v>
      </c>
      <c r="AM287" s="22" t="str">
        <f t="shared" si="160"/>
        <v>0.056639612877049+0.331769769580106i</v>
      </c>
      <c r="AN287" s="22" t="str">
        <f t="shared" si="161"/>
        <v>0.338178984804i</v>
      </c>
      <c r="AO287" s="22" t="str">
        <f t="shared" si="162"/>
        <v>0.981047860713141-0.167484129476218i</v>
      </c>
      <c r="AP287" s="22" t="str">
        <f t="shared" si="163"/>
        <v>0.157226731187158-0.0552949615966843i</v>
      </c>
      <c r="AQ287" s="22" t="str">
        <f t="shared" si="164"/>
        <v>0.842773268812842+0.0552949615966843i</v>
      </c>
      <c r="AR287" s="22" t="str">
        <f t="shared" si="165"/>
        <v>0.984166833741009-0.0645718953012078i</v>
      </c>
    </row>
    <row r="288" spans="7:44">
      <c r="G288" s="257">
        <v>18946.5</v>
      </c>
      <c r="H288" s="256">
        <f t="shared" si="157"/>
        <v>18.9465</v>
      </c>
      <c r="I288" s="298">
        <f t="shared" si="137"/>
        <v>18.5119745521928</v>
      </c>
      <c r="J288" s="299">
        <f t="shared" si="138"/>
        <v>1.51675093144369</v>
      </c>
      <c r="K288" s="299">
        <f t="shared" si="139"/>
        <v>1.00005240506349</v>
      </c>
      <c r="L288" s="300">
        <f t="shared" si="140"/>
        <v>0.0102374581821621</v>
      </c>
      <c r="M288" s="299">
        <f t="shared" si="141"/>
        <v>1.00225330748578</v>
      </c>
      <c r="N288" s="300">
        <f t="shared" si="142"/>
        <v>-0.0670683896249209</v>
      </c>
      <c r="O288" s="298">
        <f t="shared" si="143"/>
        <v>34284.7786570813</v>
      </c>
      <c r="P288" s="301">
        <f t="shared" si="144"/>
        <v>1.57076715933227</v>
      </c>
      <c r="Q288" s="320">
        <f t="shared" si="166"/>
        <v>14.320282615763</v>
      </c>
      <c r="R288" s="321">
        <f t="shared" si="167"/>
        <v>1.50090842415175</v>
      </c>
      <c r="S288" s="298">
        <f t="shared" si="145"/>
        <v>1.00452466358075</v>
      </c>
      <c r="T288" s="301">
        <f t="shared" si="146"/>
        <v>0.0949491306950674</v>
      </c>
      <c r="U288" s="316">
        <f t="shared" si="158"/>
        <v>0.981387018435268</v>
      </c>
      <c r="V288" s="317">
        <f t="shared" si="159"/>
        <v>-0.235933472691176</v>
      </c>
      <c r="W288" s="318">
        <f t="shared" si="147"/>
        <v>3.7497061922234</v>
      </c>
      <c r="X288" s="319">
        <f t="shared" si="148"/>
        <v>-113.120386967285</v>
      </c>
      <c r="Y288" s="332">
        <f t="shared" si="149"/>
        <v>66.879613032715</v>
      </c>
      <c r="AA288" s="22">
        <f t="shared" si="150"/>
        <v>1000000000</v>
      </c>
      <c r="AB288" s="22">
        <f t="shared" si="151"/>
        <v>358969862.25</v>
      </c>
      <c r="AD288" s="331">
        <f t="shared" si="152"/>
        <v>27.5862423641281</v>
      </c>
      <c r="AE288" s="332">
        <f t="shared" si="153"/>
        <v>-9.44279515601923</v>
      </c>
      <c r="AG288" s="331">
        <f t="shared" si="154"/>
        <v>1.87779442663121</v>
      </c>
      <c r="AH288" s="332">
        <f t="shared" si="155"/>
        <v>-76.6416073182337</v>
      </c>
      <c r="AJ288" s="22">
        <f t="shared" si="156"/>
        <v>0</v>
      </c>
      <c r="AK288" s="22">
        <f t="shared" si="168"/>
        <v>0</v>
      </c>
      <c r="AM288" s="22" t="str">
        <f t="shared" si="160"/>
        <v>0.057287618955157+0.333606604588044i</v>
      </c>
      <c r="AN288" s="22" t="str">
        <f t="shared" si="161"/>
        <v>0.340126772247i</v>
      </c>
      <c r="AO288" s="22" t="str">
        <f t="shared" si="162"/>
        <v>0.980830183946176-0.168430196119801i</v>
      </c>
      <c r="AP288" s="22" t="str">
        <f t="shared" si="163"/>
        <v>0.15711873017414-0.055601100764674i</v>
      </c>
      <c r="AQ288" s="22" t="str">
        <f t="shared" si="164"/>
        <v>0.84288126982586+0.055601100764674i</v>
      </c>
      <c r="AR288" s="22" t="str">
        <f t="shared" si="165"/>
        <v>0.983994990352196-0.0649097406350129i</v>
      </c>
    </row>
    <row r="289" spans="7:44">
      <c r="G289" s="257">
        <v>19055</v>
      </c>
      <c r="H289" s="256">
        <f t="shared" si="157"/>
        <v>19.055</v>
      </c>
      <c r="I289" s="298">
        <f t="shared" si="137"/>
        <v>18.6176777061232</v>
      </c>
      <c r="J289" s="299">
        <f t="shared" si="138"/>
        <v>1.51705807447595</v>
      </c>
      <c r="K289" s="299">
        <f t="shared" si="139"/>
        <v>1.00005300697719</v>
      </c>
      <c r="L289" s="300">
        <f t="shared" si="140"/>
        <v>0.0102960804045791</v>
      </c>
      <c r="M289" s="299">
        <f t="shared" si="141"/>
        <v>1.00227915976713</v>
      </c>
      <c r="N289" s="300">
        <f t="shared" si="142"/>
        <v>-0.0674513063146771</v>
      </c>
      <c r="O289" s="298">
        <f t="shared" si="143"/>
        <v>34481.1156312527</v>
      </c>
      <c r="P289" s="301">
        <f t="shared" si="144"/>
        <v>1.57076732541307</v>
      </c>
      <c r="Q289" s="320">
        <f t="shared" si="166"/>
        <v>14.4018911167547</v>
      </c>
      <c r="R289" s="321">
        <f t="shared" si="167"/>
        <v>1.50130508537906</v>
      </c>
      <c r="S289" s="298">
        <f t="shared" si="145"/>
        <v>1.00457651592298</v>
      </c>
      <c r="T289" s="301">
        <f t="shared" si="146"/>
        <v>0.0954895812766854</v>
      </c>
      <c r="U289" s="316">
        <f t="shared" si="158"/>
        <v>0.981183259251239</v>
      </c>
      <c r="V289" s="317">
        <f t="shared" si="159"/>
        <v>-0.237260233284402</v>
      </c>
      <c r="W289" s="318">
        <f t="shared" si="147"/>
        <v>3.69798777480191</v>
      </c>
      <c r="X289" s="319">
        <f t="shared" si="148"/>
        <v>-113.240831492462</v>
      </c>
      <c r="Y289" s="332">
        <f t="shared" si="149"/>
        <v>66.7591685075383</v>
      </c>
      <c r="AA289" s="22">
        <f t="shared" si="150"/>
        <v>1000000000</v>
      </c>
      <c r="AB289" s="22">
        <f t="shared" si="151"/>
        <v>363093025</v>
      </c>
      <c r="AD289" s="331">
        <f t="shared" si="152"/>
        <v>27.5855535258536</v>
      </c>
      <c r="AE289" s="332">
        <f t="shared" si="153"/>
        <v>-9.45104319489877</v>
      </c>
      <c r="AG289" s="331">
        <f t="shared" si="154"/>
        <v>1.83037201470103</v>
      </c>
      <c r="AH289" s="332">
        <f t="shared" si="155"/>
        <v>-76.6017682395254</v>
      </c>
      <c r="AJ289" s="22">
        <f t="shared" si="156"/>
        <v>0</v>
      </c>
      <c r="AK289" s="22">
        <f t="shared" si="168"/>
        <v>0</v>
      </c>
      <c r="AM289" s="22" t="str">
        <f t="shared" si="160"/>
        <v>0.057939201565939+0.335442173934317i</v>
      </c>
      <c r="AN289" s="22" t="str">
        <f t="shared" si="161"/>
        <v>0.34207455969i</v>
      </c>
      <c r="AO289" s="22" t="str">
        <f t="shared" si="162"/>
        <v>0.980611286142724-0.169375944292512i</v>
      </c>
      <c r="AP289" s="22" t="str">
        <f t="shared" si="163"/>
        <v>0.157010133072343-0.0559070289890528i</v>
      </c>
      <c r="AQ289" s="22" t="str">
        <f t="shared" si="164"/>
        <v>0.842989866927657+0.0559070289890528i</v>
      </c>
      <c r="AR289" s="22" t="str">
        <f t="shared" si="165"/>
        <v>0.983822303381531-0.0652470263203628i</v>
      </c>
    </row>
    <row r="290" spans="7:44">
      <c r="G290" s="257">
        <v>19165.75</v>
      </c>
      <c r="H290" s="256">
        <f t="shared" si="157"/>
        <v>19.16575</v>
      </c>
      <c r="I290" s="298">
        <f t="shared" si="137"/>
        <v>18.7255746516229</v>
      </c>
      <c r="J290" s="299">
        <f t="shared" si="138"/>
        <v>1.51736801064075</v>
      </c>
      <c r="K290" s="299">
        <f t="shared" si="139"/>
        <v>1.00005362491736</v>
      </c>
      <c r="L290" s="300">
        <f t="shared" si="140"/>
        <v>0.0103559182222147</v>
      </c>
      <c r="M290" s="299">
        <f t="shared" si="141"/>
        <v>1.00230569971007</v>
      </c>
      <c r="N290" s="300">
        <f t="shared" si="142"/>
        <v>-0.0678421432427348</v>
      </c>
      <c r="O290" s="298">
        <f t="shared" si="143"/>
        <v>34681.5241094977</v>
      </c>
      <c r="P290" s="301">
        <f t="shared" si="144"/>
        <v>1.57076749299864</v>
      </c>
      <c r="Q290" s="320">
        <f t="shared" si="166"/>
        <v>14.4851942702957</v>
      </c>
      <c r="R290" s="321">
        <f t="shared" si="167"/>
        <v>1.5017053627264</v>
      </c>
      <c r="S290" s="298">
        <f t="shared" si="145"/>
        <v>1.00462974612647</v>
      </c>
      <c r="T290" s="301">
        <f t="shared" si="146"/>
        <v>0.0960411816574755</v>
      </c>
      <c r="U290" s="316">
        <f t="shared" si="158"/>
        <v>0.980974199318768</v>
      </c>
      <c r="V290" s="317">
        <f t="shared" si="159"/>
        <v>-0.238614089879624</v>
      </c>
      <c r="W290" s="318">
        <f t="shared" si="147"/>
        <v>3.64547778965192</v>
      </c>
      <c r="X290" s="319">
        <f t="shared" si="148"/>
        <v>-113.363804420891</v>
      </c>
      <c r="Y290" s="332">
        <f t="shared" si="149"/>
        <v>66.6361955791087</v>
      </c>
      <c r="AA290" s="22">
        <f t="shared" si="150"/>
        <v>1000000000</v>
      </c>
      <c r="AB290" s="22">
        <f t="shared" si="151"/>
        <v>367325973.0625</v>
      </c>
      <c r="AD290" s="331">
        <f t="shared" si="152"/>
        <v>27.5848519975645</v>
      </c>
      <c r="AE290" s="332">
        <f t="shared" si="153"/>
        <v>-9.45972296801362</v>
      </c>
      <c r="AG290" s="331">
        <f t="shared" si="154"/>
        <v>1.7822653433418</v>
      </c>
      <c r="AH290" s="332">
        <f t="shared" si="155"/>
        <v>-76.5609208567178</v>
      </c>
      <c r="AJ290" s="22">
        <f t="shared" si="156"/>
        <v>0</v>
      </c>
      <c r="AK290" s="22">
        <f t="shared" si="168"/>
        <v>0</v>
      </c>
      <c r="AM290" s="22" t="str">
        <f t="shared" si="160"/>
        <v>0.058607982244654+0.337314495547579i</v>
      </c>
      <c r="AN290" s="22" t="str">
        <f t="shared" si="161"/>
        <v>0.3440627390385i</v>
      </c>
      <c r="AO290" s="22" t="str">
        <f t="shared" si="162"/>
        <v>0.980386590219623-0.170340974464241i</v>
      </c>
      <c r="AP290" s="22" t="str">
        <f t="shared" si="163"/>
        <v>0.156898669625891-0.0562190825912632i</v>
      </c>
      <c r="AQ290" s="22" t="str">
        <f t="shared" si="164"/>
        <v>0.843101330374109+0.0562190825912632i</v>
      </c>
      <c r="AR290" s="22" t="str">
        <f t="shared" si="165"/>
        <v>0.983645167718502-0.0655907266804162i</v>
      </c>
    </row>
    <row r="291" spans="7:44">
      <c r="G291" s="257">
        <v>19276.5</v>
      </c>
      <c r="H291" s="256">
        <f t="shared" si="157"/>
        <v>19.2765</v>
      </c>
      <c r="I291" s="298">
        <f t="shared" si="137"/>
        <v>18.8334733752988</v>
      </c>
      <c r="J291" s="299">
        <f t="shared" si="138"/>
        <v>1.51767439552838</v>
      </c>
      <c r="K291" s="299">
        <f t="shared" si="139"/>
        <v>1.00005424643828</v>
      </c>
      <c r="L291" s="300">
        <f t="shared" si="140"/>
        <v>0.0104157559656877</v>
      </c>
      <c r="M291" s="299">
        <f t="shared" si="141"/>
        <v>1.00233239275059</v>
      </c>
      <c r="N291" s="300">
        <f t="shared" si="142"/>
        <v>-0.0682329594137893</v>
      </c>
      <c r="O291" s="298">
        <f t="shared" si="143"/>
        <v>34881.9325877437</v>
      </c>
      <c r="P291" s="301">
        <f t="shared" si="144"/>
        <v>1.57076765865853</v>
      </c>
      <c r="Q291" s="320">
        <f t="shared" si="166"/>
        <v>14.5684997181412</v>
      </c>
      <c r="R291" s="321">
        <f t="shared" si="167"/>
        <v>1.50210106241278</v>
      </c>
      <c r="S291" s="298">
        <f t="shared" si="145"/>
        <v>1.00468328196916</v>
      </c>
      <c r="T291" s="301">
        <f t="shared" si="146"/>
        <v>0.0965927234205909</v>
      </c>
      <c r="U291" s="316">
        <f t="shared" si="158"/>
        <v>0.980764055074495</v>
      </c>
      <c r="V291" s="317">
        <f t="shared" si="159"/>
        <v>-0.239967522649143</v>
      </c>
      <c r="W291" s="318">
        <f t="shared" si="147"/>
        <v>3.59324823755252</v>
      </c>
      <c r="X291" s="319">
        <f t="shared" si="148"/>
        <v>-113.486807219438</v>
      </c>
      <c r="Y291" s="332">
        <f t="shared" si="149"/>
        <v>66.5131927805619</v>
      </c>
      <c r="AA291" s="22">
        <f t="shared" si="150"/>
        <v>1000000000</v>
      </c>
      <c r="AB291" s="22">
        <f t="shared" si="151"/>
        <v>371583452.25</v>
      </c>
      <c r="AD291" s="331">
        <f t="shared" si="152"/>
        <v>27.58415198523</v>
      </c>
      <c r="AE291" s="332">
        <f t="shared" si="153"/>
        <v>-9.46866155290401</v>
      </c>
      <c r="AG291" s="331">
        <f t="shared" si="154"/>
        <v>1.73445758392504</v>
      </c>
      <c r="AH291" s="332">
        <f t="shared" si="155"/>
        <v>-76.5198930991009</v>
      </c>
      <c r="AJ291" s="22">
        <f t="shared" si="156"/>
        <v>0</v>
      </c>
      <c r="AK291" s="22">
        <f t="shared" si="168"/>
        <v>0</v>
      </c>
      <c r="AM291" s="22" t="str">
        <f t="shared" si="160"/>
        <v>0.059280484110284+0.339185483805275i</v>
      </c>
      <c r="AN291" s="22" t="str">
        <f t="shared" si="161"/>
        <v>0.346050918387i</v>
      </c>
      <c r="AO291" s="22" t="str">
        <f t="shared" si="162"/>
        <v>0.980160623142612-0.171305669080724i</v>
      </c>
      <c r="AP291" s="22" t="str">
        <f t="shared" si="163"/>
        <v>0.156786585981619-0.0565309139675458i</v>
      </c>
      <c r="AQ291" s="22" t="str">
        <f t="shared" si="164"/>
        <v>0.843213414018381+0.0565309139675458i</v>
      </c>
      <c r="AR291" s="22" t="str">
        <f t="shared" si="165"/>
        <v>0.983467157952921-0.0659338387789588i</v>
      </c>
    </row>
    <row r="292" spans="7:44">
      <c r="G292" s="257">
        <v>19387.25</v>
      </c>
      <c r="H292" s="256">
        <f t="shared" si="157"/>
        <v>19.38725</v>
      </c>
      <c r="I292" s="298">
        <f t="shared" si="137"/>
        <v>18.9413738467628</v>
      </c>
      <c r="J292" s="299">
        <f t="shared" si="138"/>
        <v>1.51797728977088</v>
      </c>
      <c r="K292" s="299">
        <f t="shared" si="139"/>
        <v>1.00005487153995</v>
      </c>
      <c r="L292" s="300">
        <f t="shared" si="140"/>
        <v>0.0104755936345697</v>
      </c>
      <c r="M292" s="299">
        <f t="shared" si="141"/>
        <v>1.00235923887647</v>
      </c>
      <c r="N292" s="300">
        <f t="shared" si="142"/>
        <v>-0.0686237547101191</v>
      </c>
      <c r="O292" s="298">
        <f t="shared" si="143"/>
        <v>35082.3410659906</v>
      </c>
      <c r="P292" s="301">
        <f t="shared" si="144"/>
        <v>1.57076782242575</v>
      </c>
      <c r="Q292" s="320">
        <f t="shared" si="166"/>
        <v>14.6518074211574</v>
      </c>
      <c r="R292" s="321">
        <f t="shared" si="167"/>
        <v>1.50249226239663</v>
      </c>
      <c r="S292" s="298">
        <f t="shared" si="145"/>
        <v>1.0047371234022</v>
      </c>
      <c r="T292" s="301">
        <f t="shared" si="146"/>
        <v>0.0971442062398727</v>
      </c>
      <c r="U292" s="316">
        <f t="shared" si="158"/>
        <v>0.980552828591801</v>
      </c>
      <c r="V292" s="317">
        <f t="shared" si="159"/>
        <v>-0.241320529509605</v>
      </c>
      <c r="W292" s="318">
        <f t="shared" si="147"/>
        <v>3.54129577040516</v>
      </c>
      <c r="X292" s="319">
        <f t="shared" si="148"/>
        <v>-113.609838752489</v>
      </c>
      <c r="Y292" s="332">
        <f t="shared" si="149"/>
        <v>66.3901612475109</v>
      </c>
      <c r="AA292" s="22">
        <f t="shared" si="150"/>
        <v>1000000000</v>
      </c>
      <c r="AB292" s="22">
        <f t="shared" si="151"/>
        <v>375865462.5625</v>
      </c>
      <c r="AD292" s="331">
        <f t="shared" si="152"/>
        <v>27.5834533958691</v>
      </c>
      <c r="AE292" s="332">
        <f t="shared" si="153"/>
        <v>-9.47785446608383</v>
      </c>
      <c r="AG292" s="331">
        <f t="shared" si="154"/>
        <v>1.68694545728485</v>
      </c>
      <c r="AH292" s="332">
        <f t="shared" si="155"/>
        <v>-76.4786885532815</v>
      </c>
      <c r="AJ292" s="22">
        <f t="shared" si="156"/>
        <v>0</v>
      </c>
      <c r="AK292" s="22">
        <f t="shared" si="168"/>
        <v>0</v>
      </c>
      <c r="AM292" s="22" t="str">
        <f t="shared" si="160"/>
        <v>0.0599567045045279+0.341055131311657i</v>
      </c>
      <c r="AN292" s="22" t="str">
        <f t="shared" si="161"/>
        <v>0.3480390977355i</v>
      </c>
      <c r="AO292" s="22" t="str">
        <f t="shared" si="162"/>
        <v>0.979933385446394-0.172270026254617i</v>
      </c>
      <c r="AP292" s="22" t="str">
        <f t="shared" si="163"/>
        <v>0.156673882582579-0.0568425218852762i</v>
      </c>
      <c r="AQ292" s="22" t="str">
        <f t="shared" si="164"/>
        <v>0.843326117417421+0.0568425218852762i</v>
      </c>
      <c r="AR292" s="22" t="str">
        <f t="shared" si="165"/>
        <v>0.983288276537758-0.0662763600275976i</v>
      </c>
    </row>
    <row r="293" spans="7:44">
      <c r="G293" s="257">
        <v>19498</v>
      </c>
      <c r="H293" s="256">
        <f t="shared" si="157"/>
        <v>19.498</v>
      </c>
      <c r="I293" s="298">
        <f t="shared" si="137"/>
        <v>19.0492760363151</v>
      </c>
      <c r="J293" s="299">
        <f t="shared" si="138"/>
        <v>1.51827675262915</v>
      </c>
      <c r="K293" s="299">
        <f t="shared" si="139"/>
        <v>1.00005550022236</v>
      </c>
      <c r="L293" s="300">
        <f t="shared" si="140"/>
        <v>0.0105354312284323</v>
      </c>
      <c r="M293" s="299">
        <f t="shared" si="141"/>
        <v>1.00238623807541</v>
      </c>
      <c r="N293" s="300">
        <f t="shared" si="142"/>
        <v>-0.0690145290140411</v>
      </c>
      <c r="O293" s="298">
        <f t="shared" si="143"/>
        <v>35282.7495442384</v>
      </c>
      <c r="P293" s="301">
        <f t="shared" si="144"/>
        <v>1.57076798433256</v>
      </c>
      <c r="Q293" s="320">
        <f t="shared" si="166"/>
        <v>14.735117341094</v>
      </c>
      <c r="R293" s="321">
        <f t="shared" si="167"/>
        <v>1.50287903887892</v>
      </c>
      <c r="S293" s="298">
        <f t="shared" si="145"/>
        <v>1.00479127037644</v>
      </c>
      <c r="T293" s="301">
        <f t="shared" si="146"/>
        <v>0.0976956297893746</v>
      </c>
      <c r="U293" s="316">
        <f t="shared" si="158"/>
        <v>0.980340521952392</v>
      </c>
      <c r="V293" s="317">
        <f t="shared" si="159"/>
        <v>-0.242673108383518</v>
      </c>
      <c r="W293" s="318">
        <f t="shared" si="147"/>
        <v>3.48961709801195</v>
      </c>
      <c r="X293" s="319">
        <f t="shared" si="148"/>
        <v>-113.732897906873</v>
      </c>
      <c r="Y293" s="332">
        <f t="shared" si="149"/>
        <v>66.267102093127</v>
      </c>
      <c r="AA293" s="22">
        <f t="shared" si="150"/>
        <v>1000000000</v>
      </c>
      <c r="AB293" s="22">
        <f t="shared" si="151"/>
        <v>380172004</v>
      </c>
      <c r="AD293" s="331">
        <f t="shared" si="152"/>
        <v>27.5827561391502</v>
      </c>
      <c r="AE293" s="332">
        <f t="shared" si="153"/>
        <v>-9.48729732473215</v>
      </c>
      <c r="AG293" s="331">
        <f t="shared" si="154"/>
        <v>1.63972573940199</v>
      </c>
      <c r="AH293" s="332">
        <f t="shared" si="155"/>
        <v>-76.4373107269726</v>
      </c>
      <c r="AJ293" s="22">
        <f t="shared" si="156"/>
        <v>0</v>
      </c>
      <c r="AK293" s="22">
        <f t="shared" si="168"/>
        <v>0</v>
      </c>
      <c r="AM293" s="22" t="str">
        <f t="shared" si="160"/>
        <v>0.060636640754382+0.342923430676279i</v>
      </c>
      <c r="AN293" s="22" t="str">
        <f t="shared" si="161"/>
        <v>0.350027277084i</v>
      </c>
      <c r="AO293" s="22" t="str">
        <f t="shared" si="162"/>
        <v>0.979704877668673-0.173234044099456i</v>
      </c>
      <c r="AP293" s="22" t="str">
        <f t="shared" si="163"/>
        <v>0.15656055987427-0.0571539051127132i</v>
      </c>
      <c r="AQ293" s="22" t="str">
        <f t="shared" si="164"/>
        <v>0.84343944012573+0.0571539051127132i</v>
      </c>
      <c r="AR293" s="22" t="str">
        <f t="shared" si="165"/>
        <v>0.983108525934966-0.0666182878505307i</v>
      </c>
    </row>
    <row r="294" spans="7:44">
      <c r="G294" s="257">
        <v>19611.75</v>
      </c>
      <c r="H294" s="256">
        <f t="shared" si="157"/>
        <v>19.61175</v>
      </c>
      <c r="I294" s="298">
        <f t="shared" si="137"/>
        <v>19.1601028423134</v>
      </c>
      <c r="J294" s="299">
        <f t="shared" si="138"/>
        <v>1.51858081611925</v>
      </c>
      <c r="K294" s="299">
        <f t="shared" si="139"/>
        <v>1.00005614966207</v>
      </c>
      <c r="L294" s="300">
        <f t="shared" si="140"/>
        <v>0.0105968896266537</v>
      </c>
      <c r="M294" s="299">
        <f t="shared" si="141"/>
        <v>1.00241412796552</v>
      </c>
      <c r="N294" s="300">
        <f t="shared" si="142"/>
        <v>-0.0694158666497734</v>
      </c>
      <c r="O294" s="298">
        <f t="shared" si="143"/>
        <v>35488.5866945842</v>
      </c>
      <c r="P294" s="301">
        <f t="shared" si="144"/>
        <v>1.57076814872151</v>
      </c>
      <c r="Q294" s="320">
        <f t="shared" si="166"/>
        <v>14.8206862316933</v>
      </c>
      <c r="R294" s="321">
        <f t="shared" si="167"/>
        <v>1.50327176575119</v>
      </c>
      <c r="S294" s="298">
        <f t="shared" si="145"/>
        <v>1.00484720210208</v>
      </c>
      <c r="T294" s="301">
        <f t="shared" si="146"/>
        <v>0.0982619282779771</v>
      </c>
      <c r="U294" s="316">
        <f t="shared" si="158"/>
        <v>0.980121342096435</v>
      </c>
      <c r="V294" s="317">
        <f t="shared" si="159"/>
        <v>-0.244061878253311</v>
      </c>
      <c r="W294" s="318">
        <f t="shared" si="147"/>
        <v>3.436820175728</v>
      </c>
      <c r="X294" s="319">
        <f t="shared" si="148"/>
        <v>-113.859318099664</v>
      </c>
      <c r="Y294" s="332">
        <f t="shared" si="149"/>
        <v>66.1406819003361</v>
      </c>
      <c r="AA294" s="22">
        <f t="shared" si="150"/>
        <v>1000000000</v>
      </c>
      <c r="AB294" s="22">
        <f t="shared" si="151"/>
        <v>384620738.0625</v>
      </c>
      <c r="AD294" s="331">
        <f t="shared" si="152"/>
        <v>27.5820412902179</v>
      </c>
      <c r="AE294" s="332">
        <f t="shared" si="153"/>
        <v>-9.49725166459559</v>
      </c>
      <c r="AG294" s="331">
        <f t="shared" si="154"/>
        <v>1.59152799980374</v>
      </c>
      <c r="AH294" s="332">
        <f t="shared" si="155"/>
        <v>-76.39463527521</v>
      </c>
      <c r="AJ294" s="22">
        <f t="shared" si="156"/>
        <v>0</v>
      </c>
      <c r="AK294" s="22">
        <f t="shared" si="168"/>
        <v>0</v>
      </c>
      <c r="AM294" s="22" t="str">
        <f t="shared" si="160"/>
        <v>0.061338860520415+0.344840927430152i</v>
      </c>
      <c r="AN294" s="22" t="str">
        <f t="shared" si="161"/>
        <v>0.3520693123065i</v>
      </c>
      <c r="AO294" s="22" t="str">
        <f t="shared" si="162"/>
        <v>0.979468858478483-0.174223820072723i</v>
      </c>
      <c r="AP294" s="22" t="str">
        <f t="shared" si="163"/>
        <v>0.156443523246597-0.0574734879050253i</v>
      </c>
      <c r="AQ294" s="22" t="str">
        <f t="shared" si="164"/>
        <v>0.843556476753403+0.0574734879050253i</v>
      </c>
      <c r="AR294" s="22" t="str">
        <f t="shared" si="165"/>
        <v>0.982923004013408-0.0669688573788878i</v>
      </c>
    </row>
    <row r="295" spans="7:44">
      <c r="G295" s="257">
        <v>19725.5</v>
      </c>
      <c r="H295" s="256">
        <f t="shared" si="157"/>
        <v>19.7255</v>
      </c>
      <c r="I295" s="298">
        <f t="shared" si="137"/>
        <v>19.2709313993765</v>
      </c>
      <c r="J295" s="299">
        <f t="shared" si="138"/>
        <v>1.51888138225347</v>
      </c>
      <c r="K295" s="299">
        <f t="shared" si="139"/>
        <v>1.00005680287913</v>
      </c>
      <c r="L295" s="300">
        <f t="shared" si="140"/>
        <v>0.0106583479448204</v>
      </c>
      <c r="M295" s="299">
        <f t="shared" si="141"/>
        <v>1.00244217930737</v>
      </c>
      <c r="N295" s="300">
        <f t="shared" si="142"/>
        <v>-0.0698171818888793</v>
      </c>
      <c r="O295" s="298">
        <f t="shared" si="143"/>
        <v>35694.423844931</v>
      </c>
      <c r="P295" s="301">
        <f t="shared" si="144"/>
        <v>1.57076831121452</v>
      </c>
      <c r="Q295" s="320">
        <f t="shared" si="166"/>
        <v>14.9062573819081</v>
      </c>
      <c r="R295" s="321">
        <f t="shared" si="167"/>
        <v>1.50365998369177</v>
      </c>
      <c r="S295" s="298">
        <f t="shared" si="145"/>
        <v>1.00490345604022</v>
      </c>
      <c r="T295" s="301">
        <f t="shared" si="146"/>
        <v>0.0988281635460004</v>
      </c>
      <c r="U295" s="316">
        <f t="shared" si="158"/>
        <v>0.979901027250774</v>
      </c>
      <c r="V295" s="317">
        <f t="shared" si="159"/>
        <v>-0.245450192212497</v>
      </c>
      <c r="W295" s="318">
        <f t="shared" si="147"/>
        <v>3.38430522843685</v>
      </c>
      <c r="X295" s="319">
        <f t="shared" si="148"/>
        <v>-113.985765120179</v>
      </c>
      <c r="Y295" s="332">
        <f t="shared" si="149"/>
        <v>66.0142348798213</v>
      </c>
      <c r="AA295" s="22">
        <f t="shared" si="150"/>
        <v>1000000000</v>
      </c>
      <c r="AB295" s="22">
        <f t="shared" si="151"/>
        <v>389095350.25</v>
      </c>
      <c r="AD295" s="331">
        <f t="shared" si="152"/>
        <v>27.5813276621415</v>
      </c>
      <c r="AE295" s="332">
        <f t="shared" si="153"/>
        <v>-9.50746061631343</v>
      </c>
      <c r="AG295" s="331">
        <f t="shared" si="154"/>
        <v>1.54363200426895</v>
      </c>
      <c r="AH295" s="332">
        <f t="shared" si="155"/>
        <v>-76.3517842828241</v>
      </c>
      <c r="AJ295" s="22">
        <f t="shared" si="156"/>
        <v>0</v>
      </c>
      <c r="AK295" s="22">
        <f t="shared" si="168"/>
        <v>0</v>
      </c>
      <c r="AM295" s="22" t="str">
        <f t="shared" si="160"/>
        <v>0.062044994415542+0.346756986229634i</v>
      </c>
      <c r="AN295" s="22" t="str">
        <f t="shared" si="161"/>
        <v>0.354111347529i</v>
      </c>
      <c r="AO295" s="22" t="str">
        <f t="shared" si="162"/>
        <v>0.979231500626329-0.175213234053339i</v>
      </c>
      <c r="AP295" s="22" t="str">
        <f t="shared" si="163"/>
        <v>0.156325834264076-0.0577928310382723i</v>
      </c>
      <c r="AQ295" s="22" t="str">
        <f t="shared" si="164"/>
        <v>0.843674165735924+0.0577928310382723i</v>
      </c>
      <c r="AR295" s="22" t="str">
        <f t="shared" si="165"/>
        <v>0.982736570470689-0.0673187954295154i</v>
      </c>
    </row>
    <row r="296" spans="7:44">
      <c r="G296" s="257">
        <v>19839.25</v>
      </c>
      <c r="H296" s="256">
        <f t="shared" si="157"/>
        <v>19.83925</v>
      </c>
      <c r="I296" s="298">
        <f t="shared" si="137"/>
        <v>19.3817616774653</v>
      </c>
      <c r="J296" s="299">
        <f t="shared" si="138"/>
        <v>1.51917851097356</v>
      </c>
      <c r="K296" s="299">
        <f t="shared" si="139"/>
        <v>1.00005745987352</v>
      </c>
      <c r="L296" s="300">
        <f t="shared" si="140"/>
        <v>0.0107198061824683</v>
      </c>
      <c r="M296" s="299">
        <f t="shared" si="141"/>
        <v>1.00247039208742</v>
      </c>
      <c r="N296" s="300">
        <f t="shared" si="142"/>
        <v>-0.0702184746039777</v>
      </c>
      <c r="O296" s="298">
        <f t="shared" si="143"/>
        <v>35900.2609952787</v>
      </c>
      <c r="P296" s="301">
        <f t="shared" si="144"/>
        <v>1.5707684718442</v>
      </c>
      <c r="Q296" s="320">
        <f t="shared" si="166"/>
        <v>14.9918307530459</v>
      </c>
      <c r="R296" s="321">
        <f t="shared" si="167"/>
        <v>1.50404376979358</v>
      </c>
      <c r="S296" s="298">
        <f t="shared" si="145"/>
        <v>1.00496003213678</v>
      </c>
      <c r="T296" s="301">
        <f t="shared" si="146"/>
        <v>0.0993943352409961</v>
      </c>
      <c r="U296" s="316">
        <f t="shared" si="158"/>
        <v>0.979679579697959</v>
      </c>
      <c r="V296" s="317">
        <f t="shared" si="159"/>
        <v>-0.246838048029605</v>
      </c>
      <c r="W296" s="318">
        <f t="shared" si="147"/>
        <v>3.33206887336971</v>
      </c>
      <c r="X296" s="319">
        <f t="shared" si="148"/>
        <v>-114.112237832277</v>
      </c>
      <c r="Y296" s="332">
        <f t="shared" si="149"/>
        <v>65.8877621677234</v>
      </c>
      <c r="AA296" s="22">
        <f t="shared" si="150"/>
        <v>1000000000</v>
      </c>
      <c r="AB296" s="22">
        <f t="shared" si="151"/>
        <v>393595840.5625</v>
      </c>
      <c r="AD296" s="331">
        <f t="shared" si="152"/>
        <v>27.5806151651992</v>
      </c>
      <c r="AE296" s="332">
        <f t="shared" si="153"/>
        <v>-9.51791974446172</v>
      </c>
      <c r="AG296" s="331">
        <f t="shared" si="154"/>
        <v>1.49603443324001</v>
      </c>
      <c r="AH296" s="332">
        <f t="shared" si="155"/>
        <v>-76.3087613048062</v>
      </c>
      <c r="AJ296" s="22">
        <f t="shared" si="156"/>
        <v>0</v>
      </c>
      <c r="AK296" s="22">
        <f t="shared" si="168"/>
        <v>0</v>
      </c>
      <c r="AM296" s="22" t="str">
        <f t="shared" si="160"/>
        <v>0.06275503949525+0.34867159908494i</v>
      </c>
      <c r="AN296" s="22" t="str">
        <f t="shared" si="161"/>
        <v>0.3561533827515i</v>
      </c>
      <c r="AO296" s="22" t="str">
        <f t="shared" si="162"/>
        <v>0.978992804704651-0.176202284000307i</v>
      </c>
      <c r="AP296" s="22" t="str">
        <f t="shared" si="163"/>
        <v>0.156207493417458-0.0581119331808233i</v>
      </c>
      <c r="AQ296" s="22" t="str">
        <f t="shared" si="164"/>
        <v>0.843792506582542+0.0581119331808233i</v>
      </c>
      <c r="AR296" s="22" t="str">
        <f t="shared" si="165"/>
        <v>0.982549228003388-0.0676680992532812i</v>
      </c>
    </row>
    <row r="297" spans="7:44">
      <c r="G297" s="257">
        <v>19953</v>
      </c>
      <c r="H297" s="256">
        <f t="shared" si="157"/>
        <v>19.953</v>
      </c>
      <c r="I297" s="298">
        <f t="shared" si="137"/>
        <v>19.4925936472241</v>
      </c>
      <c r="J297" s="299">
        <f t="shared" si="138"/>
        <v>1.5194722608605</v>
      </c>
      <c r="K297" s="299">
        <f t="shared" si="139"/>
        <v>1.00005812064524</v>
      </c>
      <c r="L297" s="300">
        <f t="shared" si="140"/>
        <v>0.0107812643391334</v>
      </c>
      <c r="M297" s="299">
        <f t="shared" si="141"/>
        <v>1.00249876629203</v>
      </c>
      <c r="N297" s="300">
        <f t="shared" si="142"/>
        <v>-0.0706197446677305</v>
      </c>
      <c r="O297" s="298">
        <f t="shared" si="143"/>
        <v>36106.0981456273</v>
      </c>
      <c r="P297" s="301">
        <f t="shared" si="144"/>
        <v>1.5707686306424</v>
      </c>
      <c r="Q297" s="320">
        <f t="shared" si="166"/>
        <v>15.0774063072914</v>
      </c>
      <c r="R297" s="321">
        <f t="shared" si="167"/>
        <v>1.50442319940457</v>
      </c>
      <c r="S297" s="298">
        <f t="shared" si="145"/>
        <v>1.00501693033733</v>
      </c>
      <c r="T297" s="301">
        <f t="shared" si="146"/>
        <v>0.0999604430107582</v>
      </c>
      <c r="U297" s="316">
        <f t="shared" si="158"/>
        <v>0.979457001729543</v>
      </c>
      <c r="V297" s="317">
        <f t="shared" si="159"/>
        <v>-0.248225443479795</v>
      </c>
      <c r="W297" s="318">
        <f t="shared" si="147"/>
        <v>3.28010778647992</v>
      </c>
      <c r="X297" s="319">
        <f t="shared" si="148"/>
        <v>-114.238735122183</v>
      </c>
      <c r="Y297" s="332">
        <f t="shared" si="149"/>
        <v>65.7612648778172</v>
      </c>
      <c r="AA297" s="22">
        <f t="shared" si="150"/>
        <v>1000000000</v>
      </c>
      <c r="AB297" s="22">
        <f t="shared" si="151"/>
        <v>398122209</v>
      </c>
      <c r="AD297" s="331">
        <f t="shared" si="152"/>
        <v>27.5799037122392</v>
      </c>
      <c r="AE297" s="332">
        <f t="shared" si="153"/>
        <v>-9.52862471356599</v>
      </c>
      <c r="AG297" s="331">
        <f t="shared" si="154"/>
        <v>1.44873202319677</v>
      </c>
      <c r="AH297" s="332">
        <f t="shared" si="155"/>
        <v>-76.2655698178038</v>
      </c>
      <c r="AJ297" s="22">
        <f t="shared" si="156"/>
        <v>0</v>
      </c>
      <c r="AK297" s="22">
        <f t="shared" si="168"/>
        <v>0</v>
      </c>
      <c r="AM297" s="22" t="str">
        <f t="shared" si="160"/>
        <v>0.063468992798718+0.350584758012313i</v>
      </c>
      <c r="AN297" s="22" t="str">
        <f t="shared" si="161"/>
        <v>0.358195417974i</v>
      </c>
      <c r="AO297" s="22" t="str">
        <f t="shared" si="162"/>
        <v>0.978752771309209-0.177190967873645i</v>
      </c>
      <c r="AP297" s="22" t="str">
        <f t="shared" si="163"/>
        <v>0.156088501200214-0.0584307930020522i</v>
      </c>
      <c r="AQ297" s="22" t="str">
        <f t="shared" si="164"/>
        <v>0.843911498799786+0.0584307930020522i</v>
      </c>
      <c r="AR297" s="22" t="str">
        <f t="shared" si="165"/>
        <v>0.982360979317732-0.0680167661152175i</v>
      </c>
    </row>
    <row r="298" spans="7:44">
      <c r="G298" s="257">
        <v>20069</v>
      </c>
      <c r="H298" s="256">
        <f t="shared" si="157"/>
        <v>20.069</v>
      </c>
      <c r="I298" s="298">
        <f t="shared" si="137"/>
        <v>19.6056196101554</v>
      </c>
      <c r="J298" s="299">
        <f t="shared" si="138"/>
        <v>1.51976840079025</v>
      </c>
      <c r="K298" s="299">
        <f t="shared" si="139"/>
        <v>1.00005879837731</v>
      </c>
      <c r="L298" s="300">
        <f t="shared" si="140"/>
        <v>0.010843938067762</v>
      </c>
      <c r="M298" s="299">
        <f t="shared" si="141"/>
        <v>1.0025278679761</v>
      </c>
      <c r="N298" s="300">
        <f t="shared" si="142"/>
        <v>-0.0710289284817256</v>
      </c>
      <c r="O298" s="298">
        <f t="shared" si="143"/>
        <v>36316.0068000496</v>
      </c>
      <c r="P298" s="301">
        <f t="shared" si="144"/>
        <v>1.57076879072779</v>
      </c>
      <c r="Q298" s="320">
        <f t="shared" si="166"/>
        <v>15.1646767748029</v>
      </c>
      <c r="R298" s="321">
        <f t="shared" si="167"/>
        <v>1.50480572395842</v>
      </c>
      <c r="S298" s="298">
        <f t="shared" si="145"/>
        <v>1.00507528566403</v>
      </c>
      <c r="T298" s="301">
        <f t="shared" si="146"/>
        <v>0.100537682317341</v>
      </c>
      <c r="U298" s="316">
        <f t="shared" si="158"/>
        <v>0.979228859328329</v>
      </c>
      <c r="V298" s="317">
        <f t="shared" si="159"/>
        <v>-0.249639805501221</v>
      </c>
      <c r="W298" s="318">
        <f t="shared" si="147"/>
        <v>3.22739900107151</v>
      </c>
      <c r="X298" s="319">
        <f t="shared" si="148"/>
        <v>-114.367758736189</v>
      </c>
      <c r="Y298" s="332">
        <f t="shared" si="149"/>
        <v>65.6322412638105</v>
      </c>
      <c r="AA298" s="22">
        <f t="shared" si="150"/>
        <v>1000000000</v>
      </c>
      <c r="AB298" s="22">
        <f t="shared" si="151"/>
        <v>402764761</v>
      </c>
      <c r="AD298" s="331">
        <f t="shared" si="152"/>
        <v>27.5791791739862</v>
      </c>
      <c r="AE298" s="332">
        <f t="shared" si="153"/>
        <v>-9.53979021933656</v>
      </c>
      <c r="AG298" s="331">
        <f t="shared" si="154"/>
        <v>1.40079461125283</v>
      </c>
      <c r="AH298" s="332">
        <f t="shared" si="155"/>
        <v>-76.2213539767922</v>
      </c>
      <c r="AJ298" s="22">
        <f t="shared" si="156"/>
        <v>0</v>
      </c>
      <c r="AK298" s="22">
        <f t="shared" si="168"/>
        <v>0</v>
      </c>
      <c r="AM298" s="22" t="str">
        <f t="shared" si="160"/>
        <v>0.064201090115717+0.352534254022765i</v>
      </c>
      <c r="AN298" s="22" t="str">
        <f t="shared" si="161"/>
        <v>0.360277845102i</v>
      </c>
      <c r="AO298" s="22" t="str">
        <f t="shared" si="162"/>
        <v>0.978506613202811-0.178198829010817i</v>
      </c>
      <c r="AP298" s="22" t="str">
        <f t="shared" si="163"/>
        <v>0.155966484980714-0.0587557090037942i</v>
      </c>
      <c r="AQ298" s="22" t="str">
        <f t="shared" si="164"/>
        <v>0.844033515019286+0.0587557090037942i</v>
      </c>
      <c r="AR298" s="22" t="str">
        <f t="shared" si="165"/>
        <v>0.982168076563657-0.068371670878581i</v>
      </c>
    </row>
    <row r="299" spans="7:44">
      <c r="G299" s="257">
        <v>20185</v>
      </c>
      <c r="H299" s="256">
        <f t="shared" si="157"/>
        <v>20.185</v>
      </c>
      <c r="I299" s="298">
        <f t="shared" si="137"/>
        <v>19.7186472727663</v>
      </c>
      <c r="J299" s="299">
        <f t="shared" si="138"/>
        <v>1.52006114578597</v>
      </c>
      <c r="K299" s="299">
        <f t="shared" si="139"/>
        <v>1.00005948003759</v>
      </c>
      <c r="L299" s="300">
        <f t="shared" si="140"/>
        <v>0.0109066117111974</v>
      </c>
      <c r="M299" s="299">
        <f t="shared" si="141"/>
        <v>1.00255713750504</v>
      </c>
      <c r="N299" s="300">
        <f t="shared" si="142"/>
        <v>-0.0714380884720842</v>
      </c>
      <c r="O299" s="298">
        <f t="shared" si="143"/>
        <v>36525.9154544729</v>
      </c>
      <c r="P299" s="301">
        <f t="shared" si="144"/>
        <v>1.57076894897321</v>
      </c>
      <c r="Q299" s="320">
        <f t="shared" si="166"/>
        <v>15.2519494358924</v>
      </c>
      <c r="R299" s="321">
        <f t="shared" si="167"/>
        <v>1.50518387090559</v>
      </c>
      <c r="S299" s="298">
        <f t="shared" si="145"/>
        <v>1.00513397584811</v>
      </c>
      <c r="T299" s="301">
        <f t="shared" si="146"/>
        <v>0.101114854405743</v>
      </c>
      <c r="U299" s="316">
        <f t="shared" si="158"/>
        <v>0.978999546191197</v>
      </c>
      <c r="V299" s="317">
        <f t="shared" si="159"/>
        <v>-0.251053684111186</v>
      </c>
      <c r="W299" s="318">
        <f t="shared" si="147"/>
        <v>3.1749696799478</v>
      </c>
      <c r="X299" s="319">
        <f t="shared" si="148"/>
        <v>-114.496805638902</v>
      </c>
      <c r="Y299" s="332">
        <f t="shared" si="149"/>
        <v>65.503194361098</v>
      </c>
      <c r="AA299" s="22">
        <f t="shared" si="150"/>
        <v>1000000000</v>
      </c>
      <c r="AB299" s="22">
        <f t="shared" si="151"/>
        <v>407434225</v>
      </c>
      <c r="AD299" s="331">
        <f t="shared" si="152"/>
        <v>27.5784555461601</v>
      </c>
      <c r="AE299" s="332">
        <f t="shared" si="153"/>
        <v>-9.55120258675339</v>
      </c>
      <c r="AG299" s="331">
        <f t="shared" si="154"/>
        <v>1.35315747013267</v>
      </c>
      <c r="AH299" s="332">
        <f t="shared" si="155"/>
        <v>-76.1769699577126</v>
      </c>
      <c r="AJ299" s="22">
        <f t="shared" si="156"/>
        <v>0</v>
      </c>
      <c r="AK299" s="22">
        <f t="shared" si="168"/>
        <v>0</v>
      </c>
      <c r="AM299" s="22" t="str">
        <f t="shared" si="160"/>
        <v>0.0649372455257889+0.35448222126801i</v>
      </c>
      <c r="AN299" s="22" t="str">
        <f t="shared" si="161"/>
        <v>0.36236027223i</v>
      </c>
      <c r="AO299" s="22" t="str">
        <f t="shared" si="162"/>
        <v>0.978259065450228-0.179206305167393i</v>
      </c>
      <c r="AP299" s="22" t="str">
        <f t="shared" si="163"/>
        <v>0.155843792412369-0.059080370211335i</v>
      </c>
      <c r="AQ299" s="22" t="str">
        <f t="shared" si="164"/>
        <v>0.844156207587631+0.059080370211335i</v>
      </c>
      <c r="AR299" s="22" t="str">
        <f t="shared" si="165"/>
        <v>0.981974237100898-0.0687259075328091i</v>
      </c>
    </row>
    <row r="300" spans="7:44">
      <c r="G300" s="257">
        <v>20301</v>
      </c>
      <c r="H300" s="256">
        <f t="shared" si="157"/>
        <v>20.301</v>
      </c>
      <c r="I300" s="298">
        <f t="shared" si="137"/>
        <v>19.8316766059954</v>
      </c>
      <c r="J300" s="299">
        <f t="shared" si="138"/>
        <v>1.52035055384466</v>
      </c>
      <c r="K300" s="299">
        <f t="shared" si="139"/>
        <v>1.00006016562609</v>
      </c>
      <c r="L300" s="300">
        <f t="shared" si="140"/>
        <v>0.0109692852689475</v>
      </c>
      <c r="M300" s="299">
        <f t="shared" si="141"/>
        <v>1.00258657486416</v>
      </c>
      <c r="N300" s="300">
        <f t="shared" si="142"/>
        <v>-0.0718472245039022</v>
      </c>
      <c r="O300" s="298">
        <f t="shared" si="143"/>
        <v>36735.8241088971</v>
      </c>
      <c r="P300" s="301">
        <f t="shared" si="144"/>
        <v>1.5707691054102</v>
      </c>
      <c r="Q300" s="320">
        <f t="shared" si="166"/>
        <v>15.3392242531189</v>
      </c>
      <c r="R300" s="321">
        <f t="shared" si="167"/>
        <v>1.50555771485817</v>
      </c>
      <c r="S300" s="298">
        <f t="shared" si="145"/>
        <v>1.00519300083091</v>
      </c>
      <c r="T300" s="301">
        <f t="shared" si="146"/>
        <v>0.101691958903228</v>
      </c>
      <c r="U300" s="316">
        <f t="shared" si="158"/>
        <v>0.97876906477694</v>
      </c>
      <c r="V300" s="317">
        <f t="shared" si="159"/>
        <v>-0.252467076971631</v>
      </c>
      <c r="W300" s="318">
        <f t="shared" si="147"/>
        <v>3.12281647801043</v>
      </c>
      <c r="X300" s="319">
        <f t="shared" si="148"/>
        <v>-114.625874717135</v>
      </c>
      <c r="Y300" s="332">
        <f t="shared" si="149"/>
        <v>65.3741252828655</v>
      </c>
      <c r="AA300" s="22">
        <f t="shared" si="150"/>
        <v>1000000000</v>
      </c>
      <c r="AB300" s="22">
        <f t="shared" si="151"/>
        <v>412130601</v>
      </c>
      <c r="AD300" s="331">
        <f t="shared" si="152"/>
        <v>27.5777327440471</v>
      </c>
      <c r="AE300" s="332">
        <f t="shared" si="153"/>
        <v>-9.56285752131079</v>
      </c>
      <c r="AG300" s="331">
        <f t="shared" si="154"/>
        <v>1.30581731085233</v>
      </c>
      <c r="AH300" s="332">
        <f t="shared" si="155"/>
        <v>-76.132421209808</v>
      </c>
      <c r="AJ300" s="22">
        <f t="shared" si="156"/>
        <v>0</v>
      </c>
      <c r="AK300" s="22">
        <f t="shared" si="168"/>
        <v>0</v>
      </c>
      <c r="AM300" s="22" t="str">
        <f t="shared" si="160"/>
        <v>0.065677455836597+0.356428651300685i</v>
      </c>
      <c r="AN300" s="22" t="str">
        <f t="shared" si="161"/>
        <v>0.364442699358i</v>
      </c>
      <c r="AO300" s="22" t="str">
        <f t="shared" si="162"/>
        <v>0.978010128693942-0.180213394183212i</v>
      </c>
      <c r="AP300" s="22" t="str">
        <f t="shared" si="163"/>
        <v>0.155720424027234-0.0594047752167808i</v>
      </c>
      <c r="AQ300" s="22" t="str">
        <f t="shared" si="164"/>
        <v>0.844279575972766+0.0594047752167808i</v>
      </c>
      <c r="AR300" s="22" t="str">
        <f t="shared" si="165"/>
        <v>0.981779463829909-0.0690794732231549i</v>
      </c>
    </row>
    <row r="301" spans="7:44">
      <c r="G301" s="257">
        <v>20417</v>
      </c>
      <c r="H301" s="256">
        <f t="shared" si="157"/>
        <v>20.417</v>
      </c>
      <c r="I301" s="298">
        <f t="shared" si="137"/>
        <v>19.94470758144</v>
      </c>
      <c r="J301" s="299">
        <f t="shared" si="138"/>
        <v>1.52063668165085</v>
      </c>
      <c r="K301" s="299">
        <f t="shared" si="139"/>
        <v>1.00006085514279</v>
      </c>
      <c r="L301" s="300">
        <f t="shared" si="140"/>
        <v>0.0110319587405202</v>
      </c>
      <c r="M301" s="299">
        <f t="shared" si="141"/>
        <v>1.00261618003868</v>
      </c>
      <c r="N301" s="300">
        <f t="shared" si="142"/>
        <v>-0.0722563364423236</v>
      </c>
      <c r="O301" s="298">
        <f t="shared" si="143"/>
        <v>36945.7327633222</v>
      </c>
      <c r="P301" s="301">
        <f t="shared" si="144"/>
        <v>1.57076926006959</v>
      </c>
      <c r="Q301" s="320">
        <f t="shared" si="166"/>
        <v>15.4265011898875</v>
      </c>
      <c r="R301" s="321">
        <f t="shared" si="167"/>
        <v>1.50592732874458</v>
      </c>
      <c r="S301" s="298">
        <f t="shared" si="145"/>
        <v>1.00525236055345</v>
      </c>
      <c r="T301" s="301">
        <f t="shared" si="146"/>
        <v>0.102268995437328</v>
      </c>
      <c r="U301" s="316">
        <f t="shared" si="158"/>
        <v>0.978537417553816</v>
      </c>
      <c r="V301" s="317">
        <f t="shared" si="159"/>
        <v>-0.253879981751747</v>
      </c>
      <c r="W301" s="318">
        <f t="shared" si="147"/>
        <v>3.07093610803989</v>
      </c>
      <c r="X301" s="319">
        <f t="shared" si="148"/>
        <v>-114.754964879362</v>
      </c>
      <c r="Y301" s="332">
        <f t="shared" si="149"/>
        <v>65.2450351206376</v>
      </c>
      <c r="AA301" s="22">
        <f t="shared" si="150"/>
        <v>1000000000</v>
      </c>
      <c r="AB301" s="22">
        <f t="shared" si="151"/>
        <v>416853889</v>
      </c>
      <c r="AD301" s="331">
        <f t="shared" si="152"/>
        <v>27.5770106853566</v>
      </c>
      <c r="AE301" s="332">
        <f t="shared" si="153"/>
        <v>-9.57475082494198</v>
      </c>
      <c r="AG301" s="331">
        <f t="shared" si="154"/>
        <v>1.25877089976273</v>
      </c>
      <c r="AH301" s="332">
        <f t="shared" si="155"/>
        <v>-76.0877111067099</v>
      </c>
      <c r="AJ301" s="22">
        <f t="shared" si="156"/>
        <v>0</v>
      </c>
      <c r="AK301" s="22">
        <f t="shared" si="168"/>
        <v>0</v>
      </c>
      <c r="AM301" s="22" t="str">
        <f t="shared" si="160"/>
        <v>0.066421717838216+0.358373535680095i</v>
      </c>
      <c r="AN301" s="22" t="str">
        <f t="shared" si="161"/>
        <v>0.366525126486i</v>
      </c>
      <c r="AO301" s="22" t="str">
        <f t="shared" si="162"/>
        <v>0.977759803580025-0.181220093899219i</v>
      </c>
      <c r="AP301" s="22" t="str">
        <f t="shared" si="163"/>
        <v>0.155596380360297-0.0597289226133492i</v>
      </c>
      <c r="AQ301" s="22" t="str">
        <f t="shared" si="164"/>
        <v>0.844403619639703+0.0597289226133492i</v>
      </c>
      <c r="AR301" s="22" t="str">
        <f t="shared" si="165"/>
        <v>0.981583759661196-0.0694323651103488i</v>
      </c>
    </row>
    <row r="302" spans="7:44">
      <c r="G302" s="257">
        <v>20536</v>
      </c>
      <c r="H302" s="256">
        <f t="shared" si="157"/>
        <v>20.536</v>
      </c>
      <c r="I302" s="298">
        <f t="shared" si="137"/>
        <v>20.0606634491443</v>
      </c>
      <c r="J302" s="299">
        <f t="shared" si="138"/>
        <v>1.52092685877831</v>
      </c>
      <c r="K302" s="299">
        <f t="shared" si="139"/>
        <v>1.00006156657372</v>
      </c>
      <c r="L302" s="300">
        <f t="shared" si="140"/>
        <v>0.0110962529876717</v>
      </c>
      <c r="M302" s="299">
        <f t="shared" si="141"/>
        <v>1.00264672523027</v>
      </c>
      <c r="N302" s="300">
        <f t="shared" si="142"/>
        <v>-0.0726760036845096</v>
      </c>
      <c r="O302" s="298">
        <f t="shared" si="143"/>
        <v>37161.0700898453</v>
      </c>
      <c r="P302" s="301">
        <f t="shared" si="144"/>
        <v>1.57076941691319</v>
      </c>
      <c r="Q302" s="320">
        <f t="shared" si="166"/>
        <v>15.5160374538017</v>
      </c>
      <c r="R302" s="321">
        <f t="shared" si="167"/>
        <v>1.50630218074188</v>
      </c>
      <c r="S302" s="298">
        <f t="shared" si="145"/>
        <v>1.00531360321638</v>
      </c>
      <c r="T302" s="301">
        <f t="shared" si="146"/>
        <v>0.102860884317349</v>
      </c>
      <c r="U302" s="316">
        <f t="shared" si="158"/>
        <v>0.978298570627013</v>
      </c>
      <c r="V302" s="317">
        <f t="shared" si="159"/>
        <v>-0.255328917559832</v>
      </c>
      <c r="W302" s="318">
        <f t="shared" si="147"/>
        <v>3.01799412593756</v>
      </c>
      <c r="X302" s="319">
        <f t="shared" si="148"/>
        <v>-114.88741436744</v>
      </c>
      <c r="Y302" s="332">
        <f t="shared" si="149"/>
        <v>65.1125856325597</v>
      </c>
      <c r="AA302" s="22">
        <f t="shared" si="150"/>
        <v>1000000000</v>
      </c>
      <c r="AB302" s="22">
        <f t="shared" si="151"/>
        <v>421727296</v>
      </c>
      <c r="AD302" s="331">
        <f t="shared" si="152"/>
        <v>27.5762706414681</v>
      </c>
      <c r="AE302" s="332">
        <f t="shared" si="153"/>
        <v>-9.58719510881163</v>
      </c>
      <c r="AG302" s="331">
        <f t="shared" si="154"/>
        <v>1.21080968089274</v>
      </c>
      <c r="AH302" s="332">
        <f t="shared" si="155"/>
        <v>-76.0416804975517</v>
      </c>
      <c r="AJ302" s="22">
        <f t="shared" si="156"/>
        <v>0</v>
      </c>
      <c r="AK302" s="22">
        <f t="shared" si="168"/>
        <v>0</v>
      </c>
      <c r="AM302" s="22" t="str">
        <f t="shared" si="160"/>
        <v>0.067189434835694+0.360367103823099i</v>
      </c>
      <c r="AN302" s="22" t="str">
        <f t="shared" si="161"/>
        <v>0.368661409488i</v>
      </c>
      <c r="AO302" s="22" t="str">
        <f t="shared" si="162"/>
        <v>0.977501562541031-0.182252422158878i</v>
      </c>
      <c r="AP302" s="22" t="str">
        <f t="shared" si="163"/>
        <v>0.155468427527384-0.0600611839705165i</v>
      </c>
      <c r="AQ302" s="22" t="str">
        <f t="shared" si="164"/>
        <v>0.844531572472616+0.0600611839705165i</v>
      </c>
      <c r="AR302" s="22" t="str">
        <f t="shared" si="165"/>
        <v>0.981382029917288-0.0697936803850307i</v>
      </c>
    </row>
    <row r="303" spans="7:44">
      <c r="G303" s="257">
        <v>20655</v>
      </c>
      <c r="H303" s="256">
        <f t="shared" si="157"/>
        <v>20.655</v>
      </c>
      <c r="I303" s="298">
        <f t="shared" si="137"/>
        <v>20.1766209865964</v>
      </c>
      <c r="J303" s="299">
        <f t="shared" si="138"/>
        <v>1.52121370056198</v>
      </c>
      <c r="K303" s="299">
        <f t="shared" si="139"/>
        <v>1.00006228213865</v>
      </c>
      <c r="L303" s="300">
        <f t="shared" si="140"/>
        <v>0.0111605471430813</v>
      </c>
      <c r="M303" s="299">
        <f t="shared" si="141"/>
        <v>1.00267744699783</v>
      </c>
      <c r="N303" s="300">
        <f t="shared" si="142"/>
        <v>-0.0730956452836162</v>
      </c>
      <c r="O303" s="298">
        <f t="shared" si="143"/>
        <v>37376.4074163694</v>
      </c>
      <c r="P303" s="301">
        <f t="shared" si="144"/>
        <v>1.57076957194955</v>
      </c>
      <c r="Q303" s="320">
        <f t="shared" si="166"/>
        <v>15.6055758729187</v>
      </c>
      <c r="R303" s="321">
        <f t="shared" si="167"/>
        <v>1.5066727312955</v>
      </c>
      <c r="S303" s="298">
        <f t="shared" si="145"/>
        <v>1.0053751980303</v>
      </c>
      <c r="T303" s="301">
        <f t="shared" si="146"/>
        <v>0.103452700879945</v>
      </c>
      <c r="U303" s="316">
        <f t="shared" si="158"/>
        <v>0.978058502103765</v>
      </c>
      <c r="V303" s="317">
        <f t="shared" si="159"/>
        <v>-0.256777334769896</v>
      </c>
      <c r="W303" s="318">
        <f t="shared" si="147"/>
        <v>2.965332443188</v>
      </c>
      <c r="X303" s="319">
        <f t="shared" si="148"/>
        <v>-115.019883784473</v>
      </c>
      <c r="Y303" s="332">
        <f t="shared" si="149"/>
        <v>64.9801162155275</v>
      </c>
      <c r="AA303" s="22">
        <f t="shared" si="150"/>
        <v>1000000000</v>
      </c>
      <c r="AB303" s="22">
        <f t="shared" si="151"/>
        <v>426629025</v>
      </c>
      <c r="AD303" s="331">
        <f t="shared" si="152"/>
        <v>27.5755312119871</v>
      </c>
      <c r="AE303" s="332">
        <f t="shared" si="153"/>
        <v>-9.59988160021905</v>
      </c>
      <c r="AG303" s="331">
        <f t="shared" si="154"/>
        <v>1.16315087980895</v>
      </c>
      <c r="AH303" s="332">
        <f t="shared" si="155"/>
        <v>-75.9954870367651</v>
      </c>
      <c r="AJ303" s="22">
        <f t="shared" si="156"/>
        <v>0</v>
      </c>
      <c r="AK303" s="22">
        <f t="shared" si="168"/>
        <v>0</v>
      </c>
      <c r="AM303" s="22" t="str">
        <f t="shared" si="160"/>
        <v>0.067961408903854+0.362359027357552i</v>
      </c>
      <c r="AN303" s="22" t="str">
        <f t="shared" si="161"/>
        <v>0.37079769249i</v>
      </c>
      <c r="AO303" s="22" t="str">
        <f t="shared" si="162"/>
        <v>0.977241861793205-0.183284336122687i</v>
      </c>
      <c r="AP303" s="22" t="str">
        <f t="shared" si="163"/>
        <v>0.155339765182691-0.0603931712262587i</v>
      </c>
      <c r="AQ303" s="22" t="str">
        <f t="shared" si="164"/>
        <v>0.844660234817309+0.0603931712262587i</v>
      </c>
      <c r="AR303" s="22" t="str">
        <f t="shared" si="165"/>
        <v>0.981179326740404-0.0701542805508241i</v>
      </c>
    </row>
    <row r="304" spans="7:44">
      <c r="G304" s="257">
        <v>20774</v>
      </c>
      <c r="H304" s="256">
        <f t="shared" si="157"/>
        <v>20.774</v>
      </c>
      <c r="I304" s="298">
        <f t="shared" si="137"/>
        <v>20.2925801651722</v>
      </c>
      <c r="J304" s="299">
        <f t="shared" si="138"/>
        <v>1.52149726413234</v>
      </c>
      <c r="K304" s="299">
        <f t="shared" si="139"/>
        <v>1.00006300183757</v>
      </c>
      <c r="L304" s="300">
        <f t="shared" si="140"/>
        <v>0.0112248412062176</v>
      </c>
      <c r="M304" s="299">
        <f t="shared" si="141"/>
        <v>1.00270834532511</v>
      </c>
      <c r="N304" s="300">
        <f t="shared" si="142"/>
        <v>-0.0735152610942104</v>
      </c>
      <c r="O304" s="298">
        <f t="shared" si="143"/>
        <v>37591.7447428944</v>
      </c>
      <c r="P304" s="301">
        <f t="shared" si="144"/>
        <v>1.57076972520971</v>
      </c>
      <c r="Q304" s="320">
        <f t="shared" si="166"/>
        <v>15.6951164103531</v>
      </c>
      <c r="R304" s="321">
        <f t="shared" si="167"/>
        <v>1.50703905392193</v>
      </c>
      <c r="S304" s="298">
        <f t="shared" si="145"/>
        <v>1.00543714493049</v>
      </c>
      <c r="T304" s="301">
        <f t="shared" si="146"/>
        <v>0.104044444723882</v>
      </c>
      <c r="U304" s="316">
        <f t="shared" si="158"/>
        <v>0.977817214679423</v>
      </c>
      <c r="V304" s="317">
        <f t="shared" si="159"/>
        <v>-0.258225230889574</v>
      </c>
      <c r="W304" s="318">
        <f t="shared" si="147"/>
        <v>2.91294769216916</v>
      </c>
      <c r="X304" s="319">
        <f t="shared" si="148"/>
        <v>-115.152372019295</v>
      </c>
      <c r="Y304" s="332">
        <f t="shared" si="149"/>
        <v>64.8476279807051</v>
      </c>
      <c r="AA304" s="22">
        <f t="shared" si="150"/>
        <v>1000000000</v>
      </c>
      <c r="AB304" s="22">
        <f t="shared" si="151"/>
        <v>431559076</v>
      </c>
      <c r="AD304" s="331">
        <f t="shared" si="152"/>
        <v>27.5747923154973</v>
      </c>
      <c r="AE304" s="332">
        <f t="shared" si="153"/>
        <v>-9.61280606577034</v>
      </c>
      <c r="AG304" s="331">
        <f t="shared" si="154"/>
        <v>1.11579117890718</v>
      </c>
      <c r="AH304" s="332">
        <f t="shared" si="155"/>
        <v>-75.949134132185</v>
      </c>
      <c r="AJ304" s="22">
        <f t="shared" si="156"/>
        <v>0</v>
      </c>
      <c r="AK304" s="22">
        <f t="shared" si="168"/>
        <v>0</v>
      </c>
      <c r="AM304" s="22" t="str">
        <f t="shared" si="160"/>
        <v>0.068737636519634+0.364349297192905i</v>
      </c>
      <c r="AN304" s="22" t="str">
        <f t="shared" si="161"/>
        <v>0.372933975492i</v>
      </c>
      <c r="AO304" s="22" t="str">
        <f t="shared" si="162"/>
        <v>0.976980702045799-0.184315833463418i</v>
      </c>
      <c r="AP304" s="22" t="str">
        <f t="shared" si="163"/>
        <v>0.155210393913394-0.0607248828654842i</v>
      </c>
      <c r="AQ304" s="22" t="str">
        <f t="shared" si="164"/>
        <v>0.844789606086606+0.0607248828654842i</v>
      </c>
      <c r="AR304" s="22" t="str">
        <f t="shared" si="165"/>
        <v>0.980975653305087-0.0705141625934449i</v>
      </c>
    </row>
    <row r="305" spans="7:44">
      <c r="G305" s="257">
        <v>20893</v>
      </c>
      <c r="H305" s="256">
        <f t="shared" si="157"/>
        <v>20.893</v>
      </c>
      <c r="I305" s="298">
        <f t="shared" si="137"/>
        <v>20.4085409568975</v>
      </c>
      <c r="J305" s="299">
        <f t="shared" si="138"/>
        <v>1.52177760532357</v>
      </c>
      <c r="K305" s="299">
        <f t="shared" si="139"/>
        <v>1.00006372567047</v>
      </c>
      <c r="L305" s="300">
        <f t="shared" si="140"/>
        <v>0.0112891351765494</v>
      </c>
      <c r="M305" s="299">
        <f t="shared" si="141"/>
        <v>1.00273942019581</v>
      </c>
      <c r="N305" s="300">
        <f t="shared" si="142"/>
        <v>-0.0739348509709132</v>
      </c>
      <c r="O305" s="298">
        <f t="shared" si="143"/>
        <v>37807.0820694202</v>
      </c>
      <c r="P305" s="301">
        <f t="shared" si="144"/>
        <v>1.57076987672403</v>
      </c>
      <c r="Q305" s="320">
        <f t="shared" si="166"/>
        <v>15.7846590300557</v>
      </c>
      <c r="R305" s="321">
        <f t="shared" si="167"/>
        <v>1.50740122047408</v>
      </c>
      <c r="S305" s="298">
        <f t="shared" si="145"/>
        <v>1.00549944385188</v>
      </c>
      <c r="T305" s="301">
        <f t="shared" si="146"/>
        <v>0.104636115448227</v>
      </c>
      <c r="U305" s="316">
        <f t="shared" si="158"/>
        <v>0.977574711059518</v>
      </c>
      <c r="V305" s="317">
        <f t="shared" si="159"/>
        <v>-0.259672603434663</v>
      </c>
      <c r="W305" s="318">
        <f t="shared" si="147"/>
        <v>2.860836563686</v>
      </c>
      <c r="X305" s="319">
        <f t="shared" si="148"/>
        <v>-115.284877982236</v>
      </c>
      <c r="Y305" s="332">
        <f t="shared" si="149"/>
        <v>64.7151220177641</v>
      </c>
      <c r="AA305" s="22">
        <f t="shared" si="150"/>
        <v>1000000000</v>
      </c>
      <c r="AB305" s="22">
        <f t="shared" si="151"/>
        <v>436517449</v>
      </c>
      <c r="AD305" s="331">
        <f t="shared" si="152"/>
        <v>27.5740538729226</v>
      </c>
      <c r="AE305" s="332">
        <f t="shared" si="153"/>
        <v>-9.6259643673638</v>
      </c>
      <c r="AG305" s="331">
        <f t="shared" si="154"/>
        <v>1.06872731653915</v>
      </c>
      <c r="AH305" s="332">
        <f t="shared" si="155"/>
        <v>-75.9026251169097</v>
      </c>
      <c r="AJ305" s="22">
        <f t="shared" si="156"/>
        <v>0</v>
      </c>
      <c r="AK305" s="22">
        <f t="shared" si="168"/>
        <v>0</v>
      </c>
      <c r="AM305" s="22" t="str">
        <f t="shared" si="160"/>
        <v>0.069518114140564+0.366337904246157i</v>
      </c>
      <c r="AN305" s="22" t="str">
        <f t="shared" si="161"/>
        <v>0.375070258494i</v>
      </c>
      <c r="AO305" s="22" t="str">
        <f t="shared" si="162"/>
        <v>0.976718084012031-0.185346911855119i</v>
      </c>
      <c r="AP305" s="22" t="str">
        <f t="shared" si="163"/>
        <v>0.155080314309906-0.0610563173743595i</v>
      </c>
      <c r="AQ305" s="22" t="str">
        <f t="shared" si="164"/>
        <v>0.844919685690094+0.0610563173743595i</v>
      </c>
      <c r="AR305" s="22" t="str">
        <f t="shared" si="165"/>
        <v>0.980771012796574-0.0708733235159155i</v>
      </c>
    </row>
    <row r="306" spans="7:44">
      <c r="G306" s="257">
        <v>21014.75</v>
      </c>
      <c r="H306" s="256">
        <f t="shared" si="157"/>
        <v>21.01475</v>
      </c>
      <c r="I306" s="298">
        <f t="shared" si="137"/>
        <v>20.5271831558049</v>
      </c>
      <c r="J306" s="299">
        <f t="shared" si="138"/>
        <v>1.52206114695639</v>
      </c>
      <c r="K306" s="299">
        <f t="shared" si="139"/>
        <v>1.00006447050897</v>
      </c>
      <c r="L306" s="300">
        <f t="shared" si="140"/>
        <v>0.0113549148353093</v>
      </c>
      <c r="M306" s="299">
        <f t="shared" si="141"/>
        <v>1.00277139587637</v>
      </c>
      <c r="N306" s="300">
        <f t="shared" si="142"/>
        <v>-0.0743641102609856</v>
      </c>
      <c r="O306" s="298">
        <f t="shared" si="143"/>
        <v>38027.3956787028</v>
      </c>
      <c r="P306" s="301">
        <f t="shared" si="144"/>
        <v>1.57077002996383</v>
      </c>
      <c r="Q306" s="320">
        <f t="shared" si="166"/>
        <v>15.8762730302381</v>
      </c>
      <c r="R306" s="321">
        <f t="shared" si="167"/>
        <v>1.50776752841161</v>
      </c>
      <c r="S306" s="298">
        <f t="shared" si="145"/>
        <v>1.00556354670361</v>
      </c>
      <c r="T306" s="301">
        <f t="shared" si="146"/>
        <v>0.105241383143992</v>
      </c>
      <c r="U306" s="316">
        <f t="shared" si="158"/>
        <v>0.977325347518199</v>
      </c>
      <c r="V306" s="317">
        <f t="shared" si="159"/>
        <v>-0.261152879218889</v>
      </c>
      <c r="W306" s="318">
        <f t="shared" si="147"/>
        <v>2.80780097555564</v>
      </c>
      <c r="X306" s="319">
        <f t="shared" si="148"/>
        <v>-115.420463290647</v>
      </c>
      <c r="Y306" s="332">
        <f t="shared" si="149"/>
        <v>64.5795367093534</v>
      </c>
      <c r="AA306" s="22">
        <f t="shared" si="150"/>
        <v>1000000000</v>
      </c>
      <c r="AB306" s="22">
        <f t="shared" si="151"/>
        <v>441619717.5625</v>
      </c>
      <c r="AD306" s="331">
        <f t="shared" si="152"/>
        <v>27.5732987551721</v>
      </c>
      <c r="AE306" s="332">
        <f t="shared" si="153"/>
        <v>-9.63966453299349</v>
      </c>
      <c r="AG306" s="331">
        <f t="shared" si="154"/>
        <v>1.02087867212797</v>
      </c>
      <c r="AH306" s="332">
        <f t="shared" si="155"/>
        <v>-75.8548831495935</v>
      </c>
      <c r="AJ306" s="22">
        <f t="shared" si="156"/>
        <v>0</v>
      </c>
      <c r="AK306" s="22">
        <f t="shared" si="168"/>
        <v>0</v>
      </c>
      <c r="AM306" s="22" t="str">
        <f t="shared" si="160"/>
        <v>0.070321022755821+0.368370736175143i</v>
      </c>
      <c r="AN306" s="22" t="str">
        <f t="shared" si="161"/>
        <v>0.3772559093805i</v>
      </c>
      <c r="AO306" s="22" t="str">
        <f t="shared" si="162"/>
        <v>0.976447888596503-0.18640138168093i</v>
      </c>
      <c r="AP306" s="22" t="str">
        <f t="shared" si="163"/>
        <v>0.154946496207363-0.0613951226958572i</v>
      </c>
      <c r="AQ306" s="22" t="str">
        <f t="shared" si="164"/>
        <v>0.845053503792637+0.0613951226958572i</v>
      </c>
      <c r="AR306" s="22" t="str">
        <f t="shared" si="165"/>
        <v>0.980560645679755-0.0712400349587925i</v>
      </c>
    </row>
    <row r="307" spans="7:44">
      <c r="G307" s="257">
        <v>21136.5</v>
      </c>
      <c r="H307" s="256">
        <f t="shared" si="157"/>
        <v>21.1365</v>
      </c>
      <c r="I307" s="298">
        <f t="shared" si="137"/>
        <v>20.6458269860456</v>
      </c>
      <c r="J307" s="299">
        <f t="shared" si="138"/>
        <v>1.52234142979652</v>
      </c>
      <c r="K307" s="299">
        <f t="shared" si="139"/>
        <v>1.00006521967472</v>
      </c>
      <c r="L307" s="300">
        <f t="shared" si="140"/>
        <v>0.0114206943958005</v>
      </c>
      <c r="M307" s="299">
        <f t="shared" si="141"/>
        <v>1.00280355631933</v>
      </c>
      <c r="N307" s="300">
        <f t="shared" si="142"/>
        <v>-0.0747933420969984</v>
      </c>
      <c r="O307" s="298">
        <f t="shared" si="143"/>
        <v>38247.7092879863</v>
      </c>
      <c r="P307" s="301">
        <f t="shared" si="144"/>
        <v>1.57077018143825</v>
      </c>
      <c r="Q307" s="320">
        <f t="shared" si="166"/>
        <v>15.9678891362777</v>
      </c>
      <c r="R307" s="321">
        <f t="shared" si="167"/>
        <v>1.50812963299799</v>
      </c>
      <c r="S307" s="298">
        <f t="shared" si="145"/>
        <v>1.00562801789547</v>
      </c>
      <c r="T307" s="301">
        <f t="shared" si="146"/>
        <v>0.105846573453562</v>
      </c>
      <c r="U307" s="316">
        <f t="shared" si="158"/>
        <v>0.977074716682834</v>
      </c>
      <c r="V307" s="317">
        <f t="shared" si="159"/>
        <v>-0.262632601715547</v>
      </c>
      <c r="W307" s="318">
        <f t="shared" si="147"/>
        <v>2.75504497619271</v>
      </c>
      <c r="X307" s="319">
        <f t="shared" si="148"/>
        <v>-115.556064914805</v>
      </c>
      <c r="Y307" s="332">
        <f t="shared" si="149"/>
        <v>64.4439350851946</v>
      </c>
      <c r="AA307" s="22">
        <f t="shared" si="150"/>
        <v>1000000000</v>
      </c>
      <c r="AB307" s="22">
        <f t="shared" si="151"/>
        <v>446751632.25</v>
      </c>
      <c r="AD307" s="331">
        <f t="shared" si="152"/>
        <v>27.5725439522638</v>
      </c>
      <c r="AE307" s="332">
        <f t="shared" si="153"/>
        <v>-9.65360099785352</v>
      </c>
      <c r="AG307" s="331">
        <f t="shared" si="154"/>
        <v>0.973332964245341</v>
      </c>
      <c r="AH307" s="332">
        <f t="shared" si="155"/>
        <v>-75.806984600881</v>
      </c>
      <c r="AJ307" s="22">
        <f t="shared" si="156"/>
        <v>0</v>
      </c>
      <c r="AK307" s="22">
        <f t="shared" si="168"/>
        <v>0</v>
      </c>
      <c r="AM307" s="22" t="str">
        <f t="shared" si="160"/>
        <v>0.0711283725106741+0.370401808372112i</v>
      </c>
      <c r="AN307" s="22" t="str">
        <f t="shared" si="161"/>
        <v>0.379441560267i</v>
      </c>
      <c r="AO307" s="22" t="str">
        <f t="shared" si="162"/>
        <v>0.976176168239117-0.187455408049196i</v>
      </c>
      <c r="AP307" s="22" t="str">
        <f t="shared" si="163"/>
        <v>0.154811937914888-0.0617336347286853i</v>
      </c>
      <c r="AQ307" s="22" t="str">
        <f t="shared" si="164"/>
        <v>0.845188062085112+0.0617336347286853i</v>
      </c>
      <c r="AR307" s="22" t="str">
        <f t="shared" si="165"/>
        <v>0.980349273055784-0.0716059852762845i</v>
      </c>
    </row>
    <row r="308" spans="7:44">
      <c r="G308" s="257">
        <v>21258.25</v>
      </c>
      <c r="H308" s="256">
        <f t="shared" si="157"/>
        <v>21.25825</v>
      </c>
      <c r="I308" s="298">
        <f t="shared" si="137"/>
        <v>20.7644724196564</v>
      </c>
      <c r="J308" s="299">
        <f t="shared" si="138"/>
        <v>1.52261850966048</v>
      </c>
      <c r="K308" s="299">
        <f t="shared" si="139"/>
        <v>1.00006597316768</v>
      </c>
      <c r="L308" s="300">
        <f t="shared" si="140"/>
        <v>0.011486473857454</v>
      </c>
      <c r="M308" s="299">
        <f t="shared" si="141"/>
        <v>1.00283590150692</v>
      </c>
      <c r="N308" s="300">
        <f t="shared" si="142"/>
        <v>-0.0752225463234373</v>
      </c>
      <c r="O308" s="298">
        <f t="shared" si="143"/>
        <v>38468.0228972706</v>
      </c>
      <c r="P308" s="301">
        <f t="shared" si="144"/>
        <v>1.57077033117763</v>
      </c>
      <c r="Q308" s="320">
        <f t="shared" si="166"/>
        <v>16.0595073121343</v>
      </c>
      <c r="R308" s="321">
        <f t="shared" si="167"/>
        <v>1.50848760607675</v>
      </c>
      <c r="S308" s="298">
        <f t="shared" si="145"/>
        <v>1.00569285735664</v>
      </c>
      <c r="T308" s="301">
        <f t="shared" si="146"/>
        <v>0.106451685948557</v>
      </c>
      <c r="U308" s="316">
        <f t="shared" si="158"/>
        <v>0.976822821483404</v>
      </c>
      <c r="V308" s="317">
        <f t="shared" si="159"/>
        <v>-0.26411176829087</v>
      </c>
      <c r="W308" s="318">
        <f t="shared" si="147"/>
        <v>2.70256520292306</v>
      </c>
      <c r="X308" s="319">
        <f t="shared" si="148"/>
        <v>-115.691681753845</v>
      </c>
      <c r="Y308" s="332">
        <f t="shared" si="149"/>
        <v>64.308318246155</v>
      </c>
      <c r="AA308" s="22">
        <f t="shared" si="150"/>
        <v>1000000000</v>
      </c>
      <c r="AB308" s="22">
        <f t="shared" si="151"/>
        <v>451913193.0625</v>
      </c>
      <c r="AD308" s="331">
        <f t="shared" si="152"/>
        <v>27.5717893866142</v>
      </c>
      <c r="AE308" s="332">
        <f t="shared" si="153"/>
        <v>-9.66776962280545</v>
      </c>
      <c r="AG308" s="331">
        <f t="shared" si="154"/>
        <v>0.926086873614882</v>
      </c>
      <c r="AH308" s="332">
        <f t="shared" si="155"/>
        <v>-75.7589328108489</v>
      </c>
      <c r="AJ308" s="22">
        <f t="shared" si="156"/>
        <v>0</v>
      </c>
      <c r="AK308" s="22">
        <f t="shared" si="168"/>
        <v>0</v>
      </c>
      <c r="AM308" s="22" t="str">
        <f t="shared" si="160"/>
        <v>0.071940159548358+0.372431111134493i</v>
      </c>
      <c r="AN308" s="22" t="str">
        <f t="shared" si="161"/>
        <v>0.3816272111535i</v>
      </c>
      <c r="AO308" s="22" t="str">
        <f t="shared" si="162"/>
        <v>0.975902923716548-0.188508988473104i</v>
      </c>
      <c r="AP308" s="22" t="str">
        <f t="shared" si="163"/>
        <v>0.154676640075274-0.0620718518557488i</v>
      </c>
      <c r="AQ308" s="22" t="str">
        <f t="shared" si="164"/>
        <v>0.845323359924726+0.0620718518557488i</v>
      </c>
      <c r="AR308" s="22" t="str">
        <f t="shared" si="165"/>
        <v>0.980136898369886-0.0719711713153015i</v>
      </c>
    </row>
    <row r="309" spans="7:44">
      <c r="G309" s="257">
        <v>21380</v>
      </c>
      <c r="H309" s="256">
        <f t="shared" si="157"/>
        <v>21.38</v>
      </c>
      <c r="I309" s="298">
        <f t="shared" si="137"/>
        <v>20.8831194293091</v>
      </c>
      <c r="J309" s="299">
        <f t="shared" si="138"/>
        <v>1.52289244109827</v>
      </c>
      <c r="K309" s="299">
        <f t="shared" si="139"/>
        <v>1.00006673098787</v>
      </c>
      <c r="L309" s="300">
        <f t="shared" si="140"/>
        <v>0.0115522532197008</v>
      </c>
      <c r="M309" s="299">
        <f t="shared" si="141"/>
        <v>1.00286843142126</v>
      </c>
      <c r="N309" s="300">
        <f t="shared" si="142"/>
        <v>-0.0756517227848487</v>
      </c>
      <c r="O309" s="298">
        <f t="shared" si="143"/>
        <v>38688.3365065558</v>
      </c>
      <c r="P309" s="301">
        <f t="shared" si="144"/>
        <v>1.57077047921161</v>
      </c>
      <c r="Q309" s="320">
        <f t="shared" si="166"/>
        <v>16.1511275225843</v>
      </c>
      <c r="R309" s="321">
        <f t="shared" si="167"/>
        <v>1.50884151786556</v>
      </c>
      <c r="S309" s="298">
        <f t="shared" si="145"/>
        <v>1.00575806501588</v>
      </c>
      <c r="T309" s="301">
        <f t="shared" si="146"/>
        <v>0.10705672020093</v>
      </c>
      <c r="U309" s="316">
        <f t="shared" si="158"/>
        <v>0.976569664860677</v>
      </c>
      <c r="V309" s="317">
        <f t="shared" si="159"/>
        <v>-0.265590376320152</v>
      </c>
      <c r="W309" s="318">
        <f t="shared" si="147"/>
        <v>2.65035835141771</v>
      </c>
      <c r="X309" s="319">
        <f t="shared" si="148"/>
        <v>-115.827312727988</v>
      </c>
      <c r="Y309" s="332">
        <f t="shared" si="149"/>
        <v>64.1726872720119</v>
      </c>
      <c r="AA309" s="22">
        <f t="shared" si="150"/>
        <v>1000000000</v>
      </c>
      <c r="AB309" s="22">
        <f t="shared" si="151"/>
        <v>457104400</v>
      </c>
      <c r="AD309" s="331">
        <f t="shared" si="152"/>
        <v>27.5710349828745</v>
      </c>
      <c r="AE309" s="332">
        <f t="shared" si="153"/>
        <v>-9.68216636184731</v>
      </c>
      <c r="AG309" s="331">
        <f t="shared" si="154"/>
        <v>0.879137136930266</v>
      </c>
      <c r="AH309" s="332">
        <f t="shared" si="155"/>
        <v>-75.7107310464926</v>
      </c>
      <c r="AJ309" s="22">
        <f t="shared" si="156"/>
        <v>0</v>
      </c>
      <c r="AK309" s="22">
        <f t="shared" si="168"/>
        <v>0</v>
      </c>
      <c r="AM309" s="22" t="str">
        <f t="shared" si="160"/>
        <v>0.072756379990911+0.374458634768169i</v>
      </c>
      <c r="AN309" s="22" t="str">
        <f t="shared" si="161"/>
        <v>0.38381286204i</v>
      </c>
      <c r="AO309" s="22" t="str">
        <f t="shared" si="162"/>
        <v>0.975628155809807-0.189562120467262i</v>
      </c>
      <c r="AP309" s="22" t="str">
        <f t="shared" si="163"/>
        <v>0.154540603334848-0.0624097724613615i</v>
      </c>
      <c r="AQ309" s="22" t="str">
        <f t="shared" si="164"/>
        <v>0.845459396665152+0.0624097724613615i</v>
      </c>
      <c r="AR309" s="22" t="str">
        <f t="shared" si="165"/>
        <v>0.979923525078513-0.0723355899418866i</v>
      </c>
    </row>
    <row r="310" spans="7:44">
      <c r="G310" s="257">
        <v>21504.5</v>
      </c>
      <c r="H310" s="256">
        <f t="shared" si="157"/>
        <v>21.5045</v>
      </c>
      <c r="I310" s="298">
        <f t="shared" si="137"/>
        <v>21.0044479528986</v>
      </c>
      <c r="J310" s="299">
        <f t="shared" si="138"/>
        <v>1.52316935954571</v>
      </c>
      <c r="K310" s="299">
        <f t="shared" si="139"/>
        <v>1.00006751040006</v>
      </c>
      <c r="L310" s="300">
        <f t="shared" si="140"/>
        <v>0.0116195182547039</v>
      </c>
      <c r="M310" s="299">
        <f t="shared" si="141"/>
        <v>1.00290188711138</v>
      </c>
      <c r="N310" s="300">
        <f t="shared" si="142"/>
        <v>-0.0760905642957186</v>
      </c>
      <c r="O310" s="298">
        <f t="shared" si="143"/>
        <v>38913.6263985978</v>
      </c>
      <c r="P310" s="301">
        <f t="shared" si="144"/>
        <v>1.57077062885583</v>
      </c>
      <c r="Q310" s="320">
        <f t="shared" si="166"/>
        <v>16.244819251551</v>
      </c>
      <c r="R310" s="321">
        <f t="shared" si="167"/>
        <v>1.50919929513478</v>
      </c>
      <c r="S310" s="298">
        <f t="shared" si="145"/>
        <v>1.00582512623032</v>
      </c>
      <c r="T310" s="301">
        <f t="shared" si="146"/>
        <v>0.107675339165568</v>
      </c>
      <c r="U310" s="316">
        <f t="shared" si="158"/>
        <v>0.976309488713243</v>
      </c>
      <c r="V310" s="317">
        <f t="shared" si="159"/>
        <v>-0.267101801728941</v>
      </c>
      <c r="W310" s="318">
        <f t="shared" si="147"/>
        <v>2.59725114481097</v>
      </c>
      <c r="X310" s="319">
        <f t="shared" si="148"/>
        <v>-115.966020749511</v>
      </c>
      <c r="Y310" s="332">
        <f t="shared" si="149"/>
        <v>64.0339792504891</v>
      </c>
      <c r="AA310" s="22">
        <f t="shared" si="150"/>
        <v>1000000000</v>
      </c>
      <c r="AB310" s="22">
        <f t="shared" si="151"/>
        <v>462443520.25</v>
      </c>
      <c r="AD310" s="331">
        <f t="shared" si="152"/>
        <v>27.5702636304071</v>
      </c>
      <c r="AE310" s="332">
        <f t="shared" si="153"/>
        <v>-9.69712006411521</v>
      </c>
      <c r="AG310" s="331">
        <f t="shared" si="154"/>
        <v>0.831430061406861</v>
      </c>
      <c r="AH310" s="332">
        <f t="shared" si="155"/>
        <v>-75.6612887716048</v>
      </c>
      <c r="AJ310" s="22">
        <f t="shared" si="156"/>
        <v>0</v>
      </c>
      <c r="AK310" s="22">
        <f t="shared" si="168"/>
        <v>0</v>
      </c>
      <c r="AM310" s="22" t="str">
        <f t="shared" si="160"/>
        <v>0.073595617304994+0.376530104670907i</v>
      </c>
      <c r="AN310" s="22" t="str">
        <f t="shared" si="161"/>
        <v>0.386047880811i</v>
      </c>
      <c r="AO310" s="22" t="str">
        <f t="shared" si="162"/>
        <v>0.975345607078328-0.190638573511623i</v>
      </c>
      <c r="AP310" s="22" t="str">
        <f t="shared" si="163"/>
        <v>0.154400730449168-0.0627550174451512i</v>
      </c>
      <c r="AQ310" s="22" t="str">
        <f t="shared" si="164"/>
        <v>0.845599269550832+0.0627550174451512i</v>
      </c>
      <c r="AR310" s="22" t="str">
        <f t="shared" si="165"/>
        <v>0.979704303186324-0.0727074429359492i</v>
      </c>
    </row>
    <row r="311" spans="7:44">
      <c r="G311" s="257">
        <v>21629</v>
      </c>
      <c r="H311" s="256">
        <f t="shared" si="157"/>
        <v>21.629</v>
      </c>
      <c r="I311" s="298">
        <f t="shared" si="137"/>
        <v>21.1257780686884</v>
      </c>
      <c r="J311" s="299">
        <f t="shared" si="138"/>
        <v>1.52344309720354</v>
      </c>
      <c r="K311" s="299">
        <f t="shared" si="139"/>
        <v>1.00006829433714</v>
      </c>
      <c r="L311" s="300">
        <f t="shared" si="140"/>
        <v>0.0116867831845555</v>
      </c>
      <c r="M311" s="299">
        <f t="shared" si="141"/>
        <v>1.00293553592931</v>
      </c>
      <c r="N311" s="300">
        <f t="shared" si="142"/>
        <v>-0.0765293764445364</v>
      </c>
      <c r="O311" s="298">
        <f t="shared" si="143"/>
        <v>39138.9162906406</v>
      </c>
      <c r="P311" s="301">
        <f t="shared" si="144"/>
        <v>1.5707707767773</v>
      </c>
      <c r="Q311" s="320">
        <f t="shared" si="166"/>
        <v>16.3385130360804</v>
      </c>
      <c r="R311" s="321">
        <f t="shared" si="167"/>
        <v>1.50955296907587</v>
      </c>
      <c r="S311" s="298">
        <f t="shared" si="145"/>
        <v>1.005892572312</v>
      </c>
      <c r="T311" s="301">
        <f t="shared" si="146"/>
        <v>0.108293875408873</v>
      </c>
      <c r="U311" s="316">
        <f t="shared" si="158"/>
        <v>0.976047999768556</v>
      </c>
      <c r="V311" s="317">
        <f t="shared" si="159"/>
        <v>-0.268612637552538</v>
      </c>
      <c r="W311" s="318">
        <f t="shared" si="147"/>
        <v>2.5444225207377</v>
      </c>
      <c r="X311" s="319">
        <f t="shared" si="148"/>
        <v>-116.104741333268</v>
      </c>
      <c r="Y311" s="332">
        <f t="shared" si="149"/>
        <v>63.8952586667323</v>
      </c>
      <c r="AA311" s="22">
        <f t="shared" si="150"/>
        <v>1000000000</v>
      </c>
      <c r="AB311" s="22">
        <f t="shared" si="151"/>
        <v>467813641</v>
      </c>
      <c r="AD311" s="331">
        <f t="shared" si="152"/>
        <v>27.5694922947188</v>
      </c>
      <c r="AE311" s="332">
        <f t="shared" si="153"/>
        <v>-9.71230403147737</v>
      </c>
      <c r="AG311" s="331">
        <f t="shared" si="154"/>
        <v>0.784026150576172</v>
      </c>
      <c r="AH311" s="332">
        <f t="shared" si="155"/>
        <v>-75.6116963553429</v>
      </c>
      <c r="AJ311" s="22">
        <f t="shared" si="156"/>
        <v>0</v>
      </c>
      <c r="AK311" s="22">
        <f t="shared" si="168"/>
        <v>0</v>
      </c>
      <c r="AM311" s="22" t="str">
        <f t="shared" si="160"/>
        <v>0.074439482293214+0.378599693690242i</v>
      </c>
      <c r="AN311" s="22" t="str">
        <f t="shared" si="161"/>
        <v>0.388282899582i</v>
      </c>
      <c r="AO311" s="22" t="str">
        <f t="shared" si="162"/>
        <v>0.975061467032974-0.191714552387835i</v>
      </c>
      <c r="AP311" s="22" t="str">
        <f t="shared" si="163"/>
        <v>0.154260086284464-0.0630999489483737i</v>
      </c>
      <c r="AQ311" s="22" t="str">
        <f t="shared" si="164"/>
        <v>0.845739913715536+0.0630999489483737i</v>
      </c>
      <c r="AR311" s="22" t="str">
        <f t="shared" si="165"/>
        <v>0.979484044413373-0.0730784868916789i</v>
      </c>
    </row>
    <row r="312" spans="7:44">
      <c r="G312" s="257">
        <v>21753.5</v>
      </c>
      <c r="H312" s="256">
        <f t="shared" si="157"/>
        <v>21.7535</v>
      </c>
      <c r="I312" s="298">
        <f t="shared" si="137"/>
        <v>21.2471097494022</v>
      </c>
      <c r="J312" s="299">
        <f t="shared" si="138"/>
        <v>1.52371370852211</v>
      </c>
      <c r="K312" s="299">
        <f t="shared" si="139"/>
        <v>1.00006908279909</v>
      </c>
      <c r="L312" s="300">
        <f t="shared" si="140"/>
        <v>0.0117540480086471</v>
      </c>
      <c r="M312" s="299">
        <f t="shared" si="141"/>
        <v>1.00296937785562</v>
      </c>
      <c r="N312" s="300">
        <f t="shared" si="142"/>
        <v>-0.0769681590652737</v>
      </c>
      <c r="O312" s="298">
        <f t="shared" si="143"/>
        <v>39364.2061826843</v>
      </c>
      <c r="P312" s="301">
        <f t="shared" si="144"/>
        <v>1.57077092300559</v>
      </c>
      <c r="Q312" s="320">
        <f t="shared" si="166"/>
        <v>16.4322088410109</v>
      </c>
      <c r="R312" s="321">
        <f t="shared" si="167"/>
        <v>1.50990260979063</v>
      </c>
      <c r="S312" s="298">
        <f t="shared" si="145"/>
        <v>1.00596040318349</v>
      </c>
      <c r="T312" s="301">
        <f t="shared" si="146"/>
        <v>0.108912328474243</v>
      </c>
      <c r="U312" s="316">
        <f t="shared" si="158"/>
        <v>0.975785201205591</v>
      </c>
      <c r="V312" s="317">
        <f t="shared" si="159"/>
        <v>-0.270122881013898</v>
      </c>
      <c r="W312" s="318">
        <f t="shared" si="147"/>
        <v>2.49186912657643</v>
      </c>
      <c r="X312" s="319">
        <f t="shared" si="148"/>
        <v>-116.243473389439</v>
      </c>
      <c r="Y312" s="332">
        <f t="shared" si="149"/>
        <v>63.7565266105614</v>
      </c>
      <c r="AA312" s="22">
        <f t="shared" si="150"/>
        <v>1000000000</v>
      </c>
      <c r="AB312" s="22">
        <f t="shared" si="151"/>
        <v>473214762.25</v>
      </c>
      <c r="AD312" s="331">
        <f t="shared" si="152"/>
        <v>27.568720902011</v>
      </c>
      <c r="AE312" s="332">
        <f t="shared" si="153"/>
        <v>-9.72771422292995</v>
      </c>
      <c r="AG312" s="331">
        <f t="shared" si="154"/>
        <v>0.736922088462259</v>
      </c>
      <c r="AH312" s="332">
        <f t="shared" si="155"/>
        <v>-75.5619570671172</v>
      </c>
      <c r="AJ312" s="22">
        <f t="shared" si="156"/>
        <v>0</v>
      </c>
      <c r="AK312" s="22">
        <f t="shared" si="168"/>
        <v>0</v>
      </c>
      <c r="AM312" s="22" t="str">
        <f t="shared" si="160"/>
        <v>0.075287970740206+0.380667391487943i</v>
      </c>
      <c r="AN312" s="22" t="str">
        <f t="shared" si="161"/>
        <v>0.390517918353i</v>
      </c>
      <c r="AO312" s="22" t="str">
        <f t="shared" si="162"/>
        <v>0.97477573652292-0.192790054442908i</v>
      </c>
      <c r="AP312" s="22" t="str">
        <f t="shared" si="163"/>
        <v>0.154118671543299-0.0634445652479905i</v>
      </c>
      <c r="AQ312" s="22" t="str">
        <f t="shared" si="164"/>
        <v>0.845881328456701+0.0634445652479905i</v>
      </c>
      <c r="AR312" s="22" t="str">
        <f t="shared" si="165"/>
        <v>0.979262752491245-0.0734487185202573i</v>
      </c>
    </row>
    <row r="313" spans="7:44">
      <c r="G313" s="257">
        <v>21878</v>
      </c>
      <c r="H313" s="256">
        <f t="shared" si="157"/>
        <v>21.878</v>
      </c>
      <c r="I313" s="298">
        <f t="shared" si="137"/>
        <v>21.3684429683826</v>
      </c>
      <c r="J313" s="299">
        <f t="shared" si="138"/>
        <v>1.5239812467169</v>
      </c>
      <c r="K313" s="299">
        <f t="shared" si="139"/>
        <v>1.0000698757859</v>
      </c>
      <c r="L313" s="300">
        <f t="shared" si="140"/>
        <v>0.0118213127263702</v>
      </c>
      <c r="M313" s="299">
        <f t="shared" si="141"/>
        <v>1.00300341287076</v>
      </c>
      <c r="N313" s="300">
        <f t="shared" si="142"/>
        <v>-0.0774069119919704</v>
      </c>
      <c r="O313" s="298">
        <f t="shared" si="143"/>
        <v>39589.4960747288</v>
      </c>
      <c r="P313" s="301">
        <f t="shared" si="144"/>
        <v>1.57077106756962</v>
      </c>
      <c r="Q313" s="320">
        <f t="shared" si="166"/>
        <v>16.5259066319778</v>
      </c>
      <c r="R313" s="321">
        <f t="shared" si="167"/>
        <v>1.51024828579501</v>
      </c>
      <c r="S313" s="298">
        <f t="shared" si="145"/>
        <v>1.00602861876697</v>
      </c>
      <c r="T313" s="301">
        <f t="shared" si="146"/>
        <v>0.109530697905454</v>
      </c>
      <c r="U313" s="316">
        <f t="shared" si="158"/>
        <v>0.975521096214699</v>
      </c>
      <c r="V313" s="317">
        <f t="shared" si="159"/>
        <v>-0.271632529346009</v>
      </c>
      <c r="W313" s="318">
        <f t="shared" si="147"/>
        <v>2.43958766785376</v>
      </c>
      <c r="X313" s="319">
        <f t="shared" si="148"/>
        <v>-116.382215848876</v>
      </c>
      <c r="Y313" s="332">
        <f t="shared" si="149"/>
        <v>63.6177841511237</v>
      </c>
      <c r="AA313" s="22">
        <f t="shared" si="150"/>
        <v>1000000000</v>
      </c>
      <c r="AB313" s="22">
        <f t="shared" si="151"/>
        <v>478646884</v>
      </c>
      <c r="AD313" s="331">
        <f t="shared" si="152"/>
        <v>27.5679493806158</v>
      </c>
      <c r="AE313" s="332">
        <f t="shared" si="153"/>
        <v>-9.74334668831427</v>
      </c>
      <c r="AG313" s="331">
        <f t="shared" si="154"/>
        <v>0.690114614957664</v>
      </c>
      <c r="AH313" s="332">
        <f t="shared" si="155"/>
        <v>-75.5120741050144</v>
      </c>
      <c r="AJ313" s="22">
        <f t="shared" si="156"/>
        <v>0</v>
      </c>
      <c r="AK313" s="22">
        <f t="shared" si="168"/>
        <v>0</v>
      </c>
      <c r="AM313" s="22" t="str">
        <f t="shared" si="160"/>
        <v>0.0761410784075131+0.382733187735224i</v>
      </c>
      <c r="AN313" s="22" t="str">
        <f t="shared" si="161"/>
        <v>0.392752937124i</v>
      </c>
      <c r="AO313" s="22" t="str">
        <f t="shared" si="162"/>
        <v>0.974488416402059-0.193865077025443i</v>
      </c>
      <c r="AP313" s="22" t="str">
        <f t="shared" si="163"/>
        <v>0.153976486932081-0.0637888646225373i</v>
      </c>
      <c r="AQ313" s="22" t="str">
        <f t="shared" si="164"/>
        <v>0.846023513067919+0.0637888646225373i</v>
      </c>
      <c r="AR313" s="22" t="str">
        <f t="shared" si="165"/>
        <v>0.979040431163234-0.0738181345539606i</v>
      </c>
    </row>
    <row r="314" spans="7:44">
      <c r="G314" s="257">
        <v>22005.25</v>
      </c>
      <c r="H314" s="256">
        <f t="shared" si="157"/>
        <v>22.00525</v>
      </c>
      <c r="I314" s="298">
        <f t="shared" si="137"/>
        <v>21.4924578008732</v>
      </c>
      <c r="J314" s="299">
        <f t="shared" si="138"/>
        <v>1.5242515728366</v>
      </c>
      <c r="K314" s="299">
        <f t="shared" si="139"/>
        <v>1.00007069096436</v>
      </c>
      <c r="L314" s="300">
        <f t="shared" si="140"/>
        <v>0.0118900631003987</v>
      </c>
      <c r="M314" s="299">
        <f t="shared" si="141"/>
        <v>1.00303839917634</v>
      </c>
      <c r="N314" s="300">
        <f t="shared" si="142"/>
        <v>-0.0778553253905592</v>
      </c>
      <c r="O314" s="298">
        <f t="shared" si="143"/>
        <v>39819.7622495302</v>
      </c>
      <c r="P314" s="301">
        <f t="shared" si="144"/>
        <v>1.57077121363641</v>
      </c>
      <c r="Q314" s="320">
        <f t="shared" si="166"/>
        <v>16.6216760702261</v>
      </c>
      <c r="R314" s="321">
        <f t="shared" si="167"/>
        <v>1.51059756988566</v>
      </c>
      <c r="S314" s="298">
        <f t="shared" si="145"/>
        <v>1.00609873859121</v>
      </c>
      <c r="T314" s="301">
        <f t="shared" si="146"/>
        <v>0.110162639199102</v>
      </c>
      <c r="U314" s="316">
        <f t="shared" si="158"/>
        <v>0.975249810880465</v>
      </c>
      <c r="V314" s="317">
        <f t="shared" si="159"/>
        <v>-0.273174905461536</v>
      </c>
      <c r="W314" s="318">
        <f t="shared" si="147"/>
        <v>2.38642903945193</v>
      </c>
      <c r="X314" s="319">
        <f t="shared" si="148"/>
        <v>-116.524032559367</v>
      </c>
      <c r="Y314" s="332">
        <f t="shared" si="149"/>
        <v>63.4759674406334</v>
      </c>
      <c r="AA314" s="22">
        <f t="shared" si="150"/>
        <v>1000000000</v>
      </c>
      <c r="AB314" s="22">
        <f t="shared" si="151"/>
        <v>484231027.5625</v>
      </c>
      <c r="AD314" s="331">
        <f t="shared" si="152"/>
        <v>27.5671606121511</v>
      </c>
      <c r="AE314" s="332">
        <f t="shared" si="153"/>
        <v>-9.75955012212483</v>
      </c>
      <c r="AG314" s="331">
        <f t="shared" si="154"/>
        <v>0.642576392564784</v>
      </c>
      <c r="AH314" s="332">
        <f t="shared" si="155"/>
        <v>-75.4609440978099</v>
      </c>
      <c r="AJ314" s="22">
        <f t="shared" si="156"/>
        <v>0</v>
      </c>
      <c r="AK314" s="22">
        <f t="shared" si="168"/>
        <v>0</v>
      </c>
      <c r="AM314" s="22" t="str">
        <f t="shared" si="160"/>
        <v>0.077017798775765+0.384842638260453i</v>
      </c>
      <c r="AN314" s="22" t="str">
        <f t="shared" si="161"/>
        <v>0.3950373237795i</v>
      </c>
      <c r="AO314" s="22" t="str">
        <f t="shared" si="162"/>
        <v>0.974193108080245-0.194963346852649i</v>
      </c>
      <c r="AP314" s="22" t="str">
        <f t="shared" si="163"/>
        <v>0.153830366870706-0.0641404397100755i</v>
      </c>
      <c r="AQ314" s="22" t="str">
        <f t="shared" si="164"/>
        <v>0.846169633129294+0.0641404397100755i</v>
      </c>
      <c r="AR314" s="22" t="str">
        <f t="shared" si="165"/>
        <v>0.978812139268164-0.0741948641834878i</v>
      </c>
    </row>
    <row r="315" spans="7:44">
      <c r="G315" s="257">
        <v>22132.5</v>
      </c>
      <c r="H315" s="256">
        <f t="shared" si="157"/>
        <v>22.1325</v>
      </c>
      <c r="I315" s="298">
        <f t="shared" si="137"/>
        <v>21.61647418593</v>
      </c>
      <c r="J315" s="299">
        <f t="shared" si="138"/>
        <v>1.52451879718691</v>
      </c>
      <c r="K315" s="299">
        <f t="shared" si="139"/>
        <v>1.00007151086976</v>
      </c>
      <c r="L315" s="300">
        <f t="shared" si="140"/>
        <v>0.0119588133620226</v>
      </c>
      <c r="M315" s="299">
        <f t="shared" si="141"/>
        <v>1.00307358715335</v>
      </c>
      <c r="N315" s="300">
        <f t="shared" si="142"/>
        <v>-0.0783037074184778</v>
      </c>
      <c r="O315" s="298">
        <f t="shared" si="143"/>
        <v>40050.0284243324</v>
      </c>
      <c r="P315" s="301">
        <f t="shared" si="144"/>
        <v>1.5707713580236</v>
      </c>
      <c r="Q315" s="320">
        <f t="shared" si="166"/>
        <v>16.7174475130745</v>
      </c>
      <c r="R315" s="321">
        <f t="shared" si="167"/>
        <v>1.51094285203851</v>
      </c>
      <c r="S315" s="298">
        <f t="shared" si="145"/>
        <v>1.00616926014469</v>
      </c>
      <c r="T315" s="301">
        <f t="shared" si="146"/>
        <v>0.110794492160589</v>
      </c>
      <c r="U315" s="316">
        <f t="shared" si="158"/>
        <v>0.974977167542503</v>
      </c>
      <c r="V315" s="317">
        <f t="shared" si="159"/>
        <v>-0.274716654053719</v>
      </c>
      <c r="W315" s="318">
        <f t="shared" si="147"/>
        <v>2.3335477132924</v>
      </c>
      <c r="X315" s="319">
        <f t="shared" si="148"/>
        <v>-116.665857943008</v>
      </c>
      <c r="Y315" s="332">
        <f t="shared" si="149"/>
        <v>63.3341420569922</v>
      </c>
      <c r="AA315" s="22">
        <f t="shared" si="150"/>
        <v>1000000000</v>
      </c>
      <c r="AB315" s="22">
        <f t="shared" si="151"/>
        <v>489847556.25</v>
      </c>
      <c r="AD315" s="331">
        <f t="shared" si="152"/>
        <v>27.5663715643657</v>
      </c>
      <c r="AE315" s="332">
        <f t="shared" si="153"/>
        <v>-9.77597769278682</v>
      </c>
      <c r="AG315" s="331">
        <f t="shared" si="154"/>
        <v>0.59534129232584</v>
      </c>
      <c r="AH315" s="332">
        <f t="shared" si="155"/>
        <v>-75.4096705357827</v>
      </c>
      <c r="AJ315" s="22">
        <f t="shared" si="156"/>
        <v>0</v>
      </c>
      <c r="AK315" s="22">
        <f t="shared" si="168"/>
        <v>0</v>
      </c>
      <c r="AM315" s="22" t="str">
        <f t="shared" si="160"/>
        <v>0.077899335652909+0.386950080515115i</v>
      </c>
      <c r="AN315" s="22" t="str">
        <f t="shared" si="161"/>
        <v>0.397321710435i</v>
      </c>
      <c r="AO315" s="22" t="str">
        <f t="shared" si="162"/>
        <v>0.973896140967153-0.196061110196124i</v>
      </c>
      <c r="AP315" s="22" t="str">
        <f t="shared" si="163"/>
        <v>0.153683444057849-0.0644916800858525i</v>
      </c>
      <c r="AQ315" s="22" t="str">
        <f t="shared" si="164"/>
        <v>0.846316555942151+0.0644916800858525i</v>
      </c>
      <c r="AR315" s="22" t="str">
        <f t="shared" si="165"/>
        <v>0.978582779933399-0.0745707349547618i</v>
      </c>
    </row>
    <row r="316" spans="7:44">
      <c r="G316" s="257">
        <v>22259.75</v>
      </c>
      <c r="H316" s="256">
        <f t="shared" si="157"/>
        <v>22.25975</v>
      </c>
      <c r="I316" s="298">
        <f t="shared" si="137"/>
        <v>21.7404920969836</v>
      </c>
      <c r="J316" s="299">
        <f t="shared" si="138"/>
        <v>1.52478297281113</v>
      </c>
      <c r="K316" s="299">
        <f t="shared" si="139"/>
        <v>1.00007233550209</v>
      </c>
      <c r="L316" s="300">
        <f t="shared" si="140"/>
        <v>0.0120275635105922</v>
      </c>
      <c r="M316" s="299">
        <f t="shared" si="141"/>
        <v>1.00310897678056</v>
      </c>
      <c r="N316" s="300">
        <f t="shared" si="142"/>
        <v>-0.0787520578987459</v>
      </c>
      <c r="O316" s="298">
        <f t="shared" si="143"/>
        <v>40280.2945991354</v>
      </c>
      <c r="P316" s="301">
        <f t="shared" si="144"/>
        <v>1.57077150075998</v>
      </c>
      <c r="Q316" s="320">
        <f t="shared" si="166"/>
        <v>16.8132209262674</v>
      </c>
      <c r="R316" s="321">
        <f t="shared" si="167"/>
        <v>1.51128420055941</v>
      </c>
      <c r="S316" s="298">
        <f t="shared" si="145"/>
        <v>1.00624018334293</v>
      </c>
      <c r="T316" s="301">
        <f t="shared" si="146"/>
        <v>0.11142625630402</v>
      </c>
      <c r="U316" s="316">
        <f t="shared" si="158"/>
        <v>0.974703169643495</v>
      </c>
      <c r="V316" s="317">
        <f t="shared" si="159"/>
        <v>-0.27625777220078</v>
      </c>
      <c r="W316" s="318">
        <f t="shared" si="147"/>
        <v>2.28094035154059</v>
      </c>
      <c r="X316" s="319">
        <f t="shared" si="148"/>
        <v>-116.807690921621</v>
      </c>
      <c r="Y316" s="332">
        <f t="shared" si="149"/>
        <v>63.1923090783785</v>
      </c>
      <c r="AA316" s="22">
        <f t="shared" si="150"/>
        <v>1000000000</v>
      </c>
      <c r="AB316" s="22">
        <f t="shared" si="151"/>
        <v>495496470.0625</v>
      </c>
      <c r="AD316" s="331">
        <f t="shared" si="152"/>
        <v>27.5655821671822</v>
      </c>
      <c r="AE316" s="332">
        <f t="shared" si="153"/>
        <v>-9.79262546047337</v>
      </c>
      <c r="AG316" s="331">
        <f t="shared" si="154"/>
        <v>0.548406006178368</v>
      </c>
      <c r="AH316" s="332">
        <f t="shared" si="155"/>
        <v>-75.3582566153924</v>
      </c>
      <c r="AJ316" s="22">
        <f t="shared" si="156"/>
        <v>0</v>
      </c>
      <c r="AK316" s="22">
        <f t="shared" si="168"/>
        <v>0</v>
      </c>
      <c r="AM316" s="22" t="str">
        <f t="shared" si="160"/>
        <v>0.078785684438715+0.38905550350169i</v>
      </c>
      <c r="AN316" s="22" t="str">
        <f t="shared" si="161"/>
        <v>0.3996060970905i</v>
      </c>
      <c r="AO316" s="22" t="str">
        <f t="shared" si="162"/>
        <v>0.973597515989801-0.197158364230044i</v>
      </c>
      <c r="AP316" s="22" t="str">
        <f t="shared" si="163"/>
        <v>0.153535719260214-0.0648425839169483i</v>
      </c>
      <c r="AQ316" s="22" t="str">
        <f t="shared" si="164"/>
        <v>0.846464280739786+0.0648425839169483i</v>
      </c>
      <c r="AR316" s="22" t="str">
        <f t="shared" si="165"/>
        <v>0.978352357192828-0.0749457434472915i</v>
      </c>
    </row>
    <row r="317" spans="7:44">
      <c r="G317" s="257">
        <v>22387</v>
      </c>
      <c r="H317" s="256">
        <f t="shared" si="157"/>
        <v>22.387</v>
      </c>
      <c r="I317" s="298">
        <f t="shared" si="137"/>
        <v>21.8645115080673</v>
      </c>
      <c r="J317" s="299">
        <f t="shared" si="138"/>
        <v>1.52504415155085</v>
      </c>
      <c r="K317" s="299">
        <f t="shared" si="139"/>
        <v>1.00007316486133</v>
      </c>
      <c r="L317" s="300">
        <f t="shared" si="140"/>
        <v>0.012096313545458</v>
      </c>
      <c r="M317" s="299">
        <f t="shared" si="141"/>
        <v>1.00314456803663</v>
      </c>
      <c r="N317" s="300">
        <f t="shared" si="142"/>
        <v>-0.0792003766544588</v>
      </c>
      <c r="O317" s="298">
        <f t="shared" si="143"/>
        <v>40510.5607739393</v>
      </c>
      <c r="P317" s="301">
        <f t="shared" si="144"/>
        <v>1.57077164187371</v>
      </c>
      <c r="Q317" s="320">
        <f t="shared" si="166"/>
        <v>16.9089962763243</v>
      </c>
      <c r="R317" s="321">
        <f t="shared" si="167"/>
        <v>1.51162168221037</v>
      </c>
      <c r="S317" s="298">
        <f t="shared" si="145"/>
        <v>1.00631150810103</v>
      </c>
      <c r="T317" s="301">
        <f t="shared" si="146"/>
        <v>0.11205793114392</v>
      </c>
      <c r="U317" s="316">
        <f t="shared" si="158"/>
        <v>0.974427820638105</v>
      </c>
      <c r="V317" s="317">
        <f t="shared" si="159"/>
        <v>-0.277798256992019</v>
      </c>
      <c r="W317" s="318">
        <f t="shared" si="147"/>
        <v>2.22860367420728</v>
      </c>
      <c r="X317" s="319">
        <f t="shared" si="148"/>
        <v>-116.949530437259</v>
      </c>
      <c r="Y317" s="332">
        <f t="shared" si="149"/>
        <v>63.0504695627413</v>
      </c>
      <c r="AA317" s="22">
        <f t="shared" si="150"/>
        <v>1000000000</v>
      </c>
      <c r="AB317" s="22">
        <f t="shared" si="151"/>
        <v>501177769</v>
      </c>
      <c r="AD317" s="331">
        <f t="shared" si="152"/>
        <v>27.5647923525509</v>
      </c>
      <c r="AE317" s="332">
        <f t="shared" si="153"/>
        <v>-9.80948957380123</v>
      </c>
      <c r="AG317" s="331">
        <f t="shared" si="154"/>
        <v>0.50176728171981</v>
      </c>
      <c r="AH317" s="332">
        <f t="shared" si="155"/>
        <v>-75.3067054636156</v>
      </c>
      <c r="AJ317" s="22">
        <f t="shared" si="156"/>
        <v>0</v>
      </c>
      <c r="AK317" s="22">
        <f t="shared" si="168"/>
        <v>0</v>
      </c>
      <c r="AM317" s="22" t="str">
        <f t="shared" si="160"/>
        <v>0.079676840507843+0.391158896233197i</v>
      </c>
      <c r="AN317" s="22" t="str">
        <f t="shared" si="161"/>
        <v>0.401890483746i</v>
      </c>
      <c r="AO317" s="22" t="str">
        <f t="shared" si="162"/>
        <v>0.973297234080353-0.198255106130355i</v>
      </c>
      <c r="AP317" s="22" t="str">
        <f t="shared" si="163"/>
        <v>0.153387193248693-0.0651931493721995i</v>
      </c>
      <c r="AQ317" s="22" t="str">
        <f t="shared" si="164"/>
        <v>0.846612806751307+0.0651931493721995i</v>
      </c>
      <c r="AR317" s="22" t="str">
        <f t="shared" si="165"/>
        <v>0.978120875092502-0.0753198862637847i</v>
      </c>
    </row>
    <row r="318" spans="7:44">
      <c r="G318" s="257">
        <v>22517.5</v>
      </c>
      <c r="H318" s="256">
        <f t="shared" si="157"/>
        <v>22.5175</v>
      </c>
      <c r="I318" s="298">
        <f t="shared" si="137"/>
        <v>21.9916999404249</v>
      </c>
      <c r="J318" s="299">
        <f t="shared" si="138"/>
        <v>1.52530894126549</v>
      </c>
      <c r="K318" s="299">
        <f t="shared" si="139"/>
        <v>1.00007402031218</v>
      </c>
      <c r="L318" s="300">
        <f t="shared" si="140"/>
        <v>0.0121668193563465</v>
      </c>
      <c r="M318" s="299">
        <f t="shared" si="141"/>
        <v>1.00318127769981</v>
      </c>
      <c r="N318" s="300">
        <f t="shared" si="142"/>
        <v>-0.0796601124589954</v>
      </c>
      <c r="O318" s="298">
        <f t="shared" si="143"/>
        <v>40746.7080101829</v>
      </c>
      <c r="P318" s="301">
        <f t="shared" si="144"/>
        <v>1.57077178493498</v>
      </c>
      <c r="Q318" s="320">
        <f t="shared" si="166"/>
        <v>17.0072197325866</v>
      </c>
      <c r="R318" s="321">
        <f t="shared" si="167"/>
        <v>1.51196383531319</v>
      </c>
      <c r="S318" s="298">
        <f t="shared" si="145"/>
        <v>1.00638507149837</v>
      </c>
      <c r="T318" s="301">
        <f t="shared" si="146"/>
        <v>0.112705645870982</v>
      </c>
      <c r="U318" s="316">
        <f t="shared" si="158"/>
        <v>0.974144039466081</v>
      </c>
      <c r="V318" s="317">
        <f t="shared" si="159"/>
        <v>-0.279377425324841</v>
      </c>
      <c r="W318" s="318">
        <f t="shared" si="147"/>
        <v>2.17520807033786</v>
      </c>
      <c r="X318" s="319">
        <f t="shared" si="148"/>
        <v>-117.094998275297</v>
      </c>
      <c r="Y318" s="332">
        <f t="shared" si="149"/>
        <v>62.9050017247031</v>
      </c>
      <c r="AA318" s="22">
        <f t="shared" si="150"/>
        <v>1000000000</v>
      </c>
      <c r="AB318" s="22">
        <f t="shared" si="151"/>
        <v>507037806.25</v>
      </c>
      <c r="AD318" s="331">
        <f t="shared" si="152"/>
        <v>27.5639818630448</v>
      </c>
      <c r="AE318" s="332">
        <f t="shared" si="153"/>
        <v>-9.82700516207905</v>
      </c>
      <c r="AG318" s="331">
        <f t="shared" si="154"/>
        <v>0.454242061752865</v>
      </c>
      <c r="AH318" s="332">
        <f t="shared" si="155"/>
        <v>-75.2536983519469</v>
      </c>
      <c r="AJ318" s="22">
        <f t="shared" si="156"/>
        <v>0</v>
      </c>
      <c r="AK318" s="22">
        <f t="shared" si="168"/>
        <v>0</v>
      </c>
      <c r="AM318" s="22" t="str">
        <f t="shared" si="160"/>
        <v>0.080595745096934+0.39331388999899i</v>
      </c>
      <c r="AN318" s="22" t="str">
        <f t="shared" si="161"/>
        <v>0.404233214265i</v>
      </c>
      <c r="AO318" s="22" t="str">
        <f t="shared" si="162"/>
        <v>0.972987562919924-0.199379324243501i</v>
      </c>
      <c r="AP318" s="22" t="str">
        <f t="shared" si="163"/>
        <v>0.153234042483844-0.0655523149998317i</v>
      </c>
      <c r="AQ318" s="22" t="str">
        <f t="shared" si="164"/>
        <v>0.846765957516156+0.0655523149998317i</v>
      </c>
      <c r="AR318" s="22" t="str">
        <f t="shared" si="165"/>
        <v>0.9778823848367-0.0757026821338397i</v>
      </c>
    </row>
    <row r="319" spans="7:44">
      <c r="G319" s="257">
        <v>22648</v>
      </c>
      <c r="H319" s="256">
        <f t="shared" si="157"/>
        <v>22.648</v>
      </c>
      <c r="I319" s="298">
        <f t="shared" si="137"/>
        <v>22.1188898969668</v>
      </c>
      <c r="J319" s="299">
        <f t="shared" si="138"/>
        <v>1.52557068576481</v>
      </c>
      <c r="K319" s="299">
        <f t="shared" si="139"/>
        <v>1.00007488073445</v>
      </c>
      <c r="L319" s="300">
        <f t="shared" si="140"/>
        <v>0.012237325046265</v>
      </c>
      <c r="M319" s="299">
        <f t="shared" si="141"/>
        <v>1.00321819937683</v>
      </c>
      <c r="N319" s="300">
        <f t="shared" si="142"/>
        <v>-0.0801198145211559</v>
      </c>
      <c r="O319" s="298">
        <f t="shared" si="143"/>
        <v>40982.8552464274</v>
      </c>
      <c r="P319" s="301">
        <f t="shared" si="144"/>
        <v>1.57077192634759</v>
      </c>
      <c r="Q319" s="320">
        <f t="shared" si="166"/>
        <v>17.105445156997</v>
      </c>
      <c r="R319" s="321">
        <f t="shared" si="167"/>
        <v>1.51230205893062</v>
      </c>
      <c r="S319" s="298">
        <f t="shared" si="145"/>
        <v>1.00645905704701</v>
      </c>
      <c r="T319" s="301">
        <f t="shared" si="146"/>
        <v>0.113353265641734</v>
      </c>
      <c r="U319" s="316">
        <f t="shared" si="158"/>
        <v>0.973858844688797</v>
      </c>
      <c r="V319" s="317">
        <f t="shared" si="159"/>
        <v>-0.280955921371695</v>
      </c>
      <c r="W319" s="318">
        <f t="shared" si="147"/>
        <v>2.12209034771845</v>
      </c>
      <c r="X319" s="319">
        <f t="shared" si="148"/>
        <v>-117.240470797708</v>
      </c>
      <c r="Y319" s="332">
        <f t="shared" si="149"/>
        <v>62.7595292022924</v>
      </c>
      <c r="AA319" s="22">
        <f t="shared" si="150"/>
        <v>1000000000</v>
      </c>
      <c r="AB319" s="22">
        <f t="shared" si="151"/>
        <v>512931904</v>
      </c>
      <c r="AD319" s="331">
        <f t="shared" si="152"/>
        <v>27.5631707957786</v>
      </c>
      <c r="AE319" s="332">
        <f t="shared" si="153"/>
        <v>-9.84474035822753</v>
      </c>
      <c r="AG319" s="331">
        <f t="shared" si="154"/>
        <v>0.407021991021685</v>
      </c>
      <c r="AH319" s="332">
        <f t="shared" si="155"/>
        <v>-75.2005533550765</v>
      </c>
      <c r="AJ319" s="22">
        <f t="shared" si="156"/>
        <v>0</v>
      </c>
      <c r="AK319" s="22">
        <f t="shared" si="168"/>
        <v>0</v>
      </c>
      <c r="AM319" s="22" t="str">
        <f t="shared" si="160"/>
        <v>0.081519695729419+0.39546672510721i</v>
      </c>
      <c r="AN319" s="22" t="str">
        <f t="shared" si="161"/>
        <v>0.406575944784i</v>
      </c>
      <c r="AO319" s="22" t="str">
        <f t="shared" si="162"/>
        <v>0.97267615111196-0.200502997718489i</v>
      </c>
      <c r="AP319" s="22" t="str">
        <f t="shared" si="163"/>
        <v>0.153080050711764-0.0659111208512017i</v>
      </c>
      <c r="AQ319" s="22" t="str">
        <f t="shared" si="164"/>
        <v>0.846919949288236+0.0659111208512017i</v>
      </c>
      <c r="AR319" s="22" t="str">
        <f t="shared" si="165"/>
        <v>0.977642789075431-0.076084560381664i</v>
      </c>
    </row>
    <row r="320" spans="7:44">
      <c r="G320" s="257">
        <v>22778.5</v>
      </c>
      <c r="H320" s="256">
        <f t="shared" si="157"/>
        <v>22.7785</v>
      </c>
      <c r="I320" s="298">
        <f t="shared" si="137"/>
        <v>22.2460813515499</v>
      </c>
      <c r="J320" s="299">
        <f t="shared" si="138"/>
        <v>1.52582943724546</v>
      </c>
      <c r="K320" s="299">
        <f t="shared" si="139"/>
        <v>1.00007574612814</v>
      </c>
      <c r="L320" s="300">
        <f t="shared" si="140"/>
        <v>0.0123078306145129</v>
      </c>
      <c r="M320" s="299">
        <f t="shared" si="141"/>
        <v>1.0032553330443</v>
      </c>
      <c r="N320" s="300">
        <f t="shared" si="142"/>
        <v>-0.0805794826503824</v>
      </c>
      <c r="O320" s="298">
        <f t="shared" si="143"/>
        <v>41219.0024826727</v>
      </c>
      <c r="P320" s="301">
        <f t="shared" si="144"/>
        <v>1.57077206613986</v>
      </c>
      <c r="Q320" s="320">
        <f t="shared" si="166"/>
        <v>17.2036725158436</v>
      </c>
      <c r="R320" s="321">
        <f t="shared" si="167"/>
        <v>1.51263642029286</v>
      </c>
      <c r="S320" s="298">
        <f t="shared" si="145"/>
        <v>1.00653346465386</v>
      </c>
      <c r="T320" s="301">
        <f t="shared" si="146"/>
        <v>0.114000789933936</v>
      </c>
      <c r="U320" s="316">
        <f t="shared" si="158"/>
        <v>0.97357224007092</v>
      </c>
      <c r="V320" s="317">
        <f t="shared" si="159"/>
        <v>-0.282533742029648</v>
      </c>
      <c r="W320" s="318">
        <f t="shared" si="147"/>
        <v>2.0692471495701</v>
      </c>
      <c r="X320" s="319">
        <f t="shared" si="148"/>
        <v>-117.38594692617</v>
      </c>
      <c r="Y320" s="332">
        <f t="shared" si="149"/>
        <v>62.6140530738304</v>
      </c>
      <c r="AA320" s="22">
        <f t="shared" si="150"/>
        <v>1000000000</v>
      </c>
      <c r="AB320" s="22">
        <f t="shared" si="151"/>
        <v>518860062.25</v>
      </c>
      <c r="AD320" s="331">
        <f t="shared" si="152"/>
        <v>27.5623590835601</v>
      </c>
      <c r="AE320" s="332">
        <f t="shared" si="153"/>
        <v>-9.86269128194221</v>
      </c>
      <c r="AG320" s="331">
        <f t="shared" si="154"/>
        <v>0.360103735784433</v>
      </c>
      <c r="AH320" s="332">
        <f t="shared" si="155"/>
        <v>-75.1472736305589</v>
      </c>
      <c r="AJ320" s="22">
        <f t="shared" si="156"/>
        <v>0</v>
      </c>
      <c r="AK320" s="22">
        <f t="shared" si="168"/>
        <v>0</v>
      </c>
      <c r="AM320" s="22" t="str">
        <f t="shared" si="160"/>
        <v>0.082448687334304+0.397617389742272i</v>
      </c>
      <c r="AN320" s="22" t="str">
        <f t="shared" si="161"/>
        <v>0.408918675303i</v>
      </c>
      <c r="AO320" s="22" t="str">
        <f t="shared" si="162"/>
        <v>0.972362999678716-0.201626123515174i</v>
      </c>
      <c r="AP320" s="22" t="str">
        <f t="shared" si="163"/>
        <v>0.152925218777616-0.0662695649570453i</v>
      </c>
      <c r="AQ320" s="22" t="str">
        <f t="shared" si="164"/>
        <v>0.847074781222384+0.0662695649570453i</v>
      </c>
      <c r="AR320" s="22" t="str">
        <f t="shared" si="165"/>
        <v>0.977402092211564-0.0764655174192484i</v>
      </c>
    </row>
    <row r="321" spans="7:44">
      <c r="G321" s="257">
        <v>22909</v>
      </c>
      <c r="H321" s="256">
        <f t="shared" si="157"/>
        <v>22.909</v>
      </c>
      <c r="I321" s="298">
        <f t="shared" si="137"/>
        <v>22.3732742786251</v>
      </c>
      <c r="J321" s="299">
        <f t="shared" si="138"/>
        <v>1.52608524671879</v>
      </c>
      <c r="K321" s="299">
        <f t="shared" si="139"/>
        <v>1.00007661649323</v>
      </c>
      <c r="L321" s="300">
        <f t="shared" si="140"/>
        <v>0.0123783360603895</v>
      </c>
      <c r="M321" s="299">
        <f t="shared" si="141"/>
        <v>1.00329267867867</v>
      </c>
      <c r="N321" s="300">
        <f t="shared" si="142"/>
        <v>-0.0810391166562026</v>
      </c>
      <c r="O321" s="298">
        <f t="shared" si="143"/>
        <v>41455.1497189188</v>
      </c>
      <c r="P321" s="301">
        <f t="shared" si="144"/>
        <v>1.5707722043395</v>
      </c>
      <c r="Q321" s="320">
        <f t="shared" si="166"/>
        <v>17.3019017761796</v>
      </c>
      <c r="R321" s="321">
        <f t="shared" si="167"/>
        <v>1.51296698510683</v>
      </c>
      <c r="S321" s="298">
        <f t="shared" si="145"/>
        <v>1.00660829422533</v>
      </c>
      <c r="T321" s="301">
        <f t="shared" si="146"/>
        <v>0.114648218225826</v>
      </c>
      <c r="U321" s="316">
        <f t="shared" si="158"/>
        <v>0.973284229389861</v>
      </c>
      <c r="V321" s="317">
        <f t="shared" si="159"/>
        <v>-0.28411088420816</v>
      </c>
      <c r="W321" s="318">
        <f t="shared" si="147"/>
        <v>2.0166751774399</v>
      </c>
      <c r="X321" s="319">
        <f t="shared" si="148"/>
        <v>-117.531425602433</v>
      </c>
      <c r="Y321" s="332">
        <f t="shared" si="149"/>
        <v>62.4685743975666</v>
      </c>
      <c r="AA321" s="22">
        <f t="shared" si="150"/>
        <v>1000000000</v>
      </c>
      <c r="AB321" s="22">
        <f t="shared" si="151"/>
        <v>524822281</v>
      </c>
      <c r="AD321" s="331">
        <f t="shared" si="152"/>
        <v>27.5615466611531</v>
      </c>
      <c r="AE321" s="332">
        <f t="shared" si="153"/>
        <v>-9.88085414018527</v>
      </c>
      <c r="AG321" s="331">
        <f t="shared" si="154"/>
        <v>0.313484018499361</v>
      </c>
      <c r="AH321" s="332">
        <f t="shared" si="155"/>
        <v>-75.0938622673311</v>
      </c>
      <c r="AJ321" s="22">
        <f t="shared" si="156"/>
        <v>0</v>
      </c>
      <c r="AK321" s="22">
        <f t="shared" si="168"/>
        <v>0</v>
      </c>
      <c r="AM321" s="22" t="str">
        <f t="shared" si="160"/>
        <v>0.083382714812925+0.399765872100505i</v>
      </c>
      <c r="AN321" s="22" t="str">
        <f t="shared" si="161"/>
        <v>0.411261405822i</v>
      </c>
      <c r="AO321" s="22" t="str">
        <f t="shared" si="162"/>
        <v>0.972048109648124-0.2027486985954i</v>
      </c>
      <c r="AP321" s="22" t="str">
        <f t="shared" si="163"/>
        <v>0.152769547531179-0.0666276453500842i</v>
      </c>
      <c r="AQ321" s="22" t="str">
        <f t="shared" si="164"/>
        <v>0.847230452468821+0.0666276453500842i</v>
      </c>
      <c r="AR321" s="22" t="str">
        <f t="shared" si="165"/>
        <v>0.977160298660725-0.0768455496844232i</v>
      </c>
    </row>
    <row r="322" spans="7:44">
      <c r="G322" s="257">
        <v>23042.25</v>
      </c>
      <c r="H322" s="256">
        <f t="shared" si="157"/>
        <v>23.04225</v>
      </c>
      <c r="I322" s="298">
        <f t="shared" si="137"/>
        <v>22.5031490098433</v>
      </c>
      <c r="J322" s="299">
        <f t="shared" si="138"/>
        <v>1.52634346295991</v>
      </c>
      <c r="K322" s="299">
        <f t="shared" si="139"/>
        <v>1.00007751032899</v>
      </c>
      <c r="L322" s="300">
        <f t="shared" si="140"/>
        <v>0.0124503271262153</v>
      </c>
      <c r="M322" s="299">
        <f t="shared" si="141"/>
        <v>1.0033310299795</v>
      </c>
      <c r="N322" s="300">
        <f t="shared" si="142"/>
        <v>-0.0815084010286694</v>
      </c>
      <c r="O322" s="298">
        <f t="shared" si="143"/>
        <v>41696.2732379219</v>
      </c>
      <c r="P322" s="301">
        <f t="shared" si="144"/>
        <v>1.57077234383617</v>
      </c>
      <c r="Q322" s="320">
        <f t="shared" si="166"/>
        <v>17.4022029303297</v>
      </c>
      <c r="R322" s="321">
        <f t="shared" si="167"/>
        <v>1.51330066517746</v>
      </c>
      <c r="S322" s="298">
        <f t="shared" si="145"/>
        <v>1.00668513596365</v>
      </c>
      <c r="T322" s="301">
        <f t="shared" si="146"/>
        <v>0.115309190044862</v>
      </c>
      <c r="U322" s="316">
        <f t="shared" si="158"/>
        <v>0.972988702636482</v>
      </c>
      <c r="V322" s="317">
        <f t="shared" si="159"/>
        <v>-0.285720557908947</v>
      </c>
      <c r="W322" s="318">
        <f t="shared" si="147"/>
        <v>1.96327185846525</v>
      </c>
      <c r="X322" s="319">
        <f t="shared" si="148"/>
        <v>-117.679971470992</v>
      </c>
      <c r="Y322" s="332">
        <f t="shared" si="149"/>
        <v>62.3200285290077</v>
      </c>
      <c r="AA322" s="22">
        <f t="shared" si="150"/>
        <v>1000000000</v>
      </c>
      <c r="AB322" s="22">
        <f t="shared" si="151"/>
        <v>530945285.0625</v>
      </c>
      <c r="AD322" s="331">
        <f t="shared" si="152"/>
        <v>27.5607163201269</v>
      </c>
      <c r="AE322" s="332">
        <f t="shared" si="153"/>
        <v>-9.89961456863087</v>
      </c>
      <c r="AG322" s="331">
        <f t="shared" si="154"/>
        <v>0.266186585912355</v>
      </c>
      <c r="AH322" s="332">
        <f t="shared" si="155"/>
        <v>-75.0391926883376</v>
      </c>
      <c r="AJ322" s="22">
        <f t="shared" si="156"/>
        <v>0</v>
      </c>
      <c r="AK322" s="22">
        <f t="shared" si="168"/>
        <v>0</v>
      </c>
      <c r="AM322" s="22" t="str">
        <f t="shared" si="160"/>
        <v>0.084341615707928+0.401957364997373i</v>
      </c>
      <c r="AN322" s="22" t="str">
        <f t="shared" si="161"/>
        <v>0.4136535042255i</v>
      </c>
      <c r="AO322" s="22" t="str">
        <f t="shared" si="162"/>
        <v>0.971724791138839-0.203894358071121i</v>
      </c>
      <c r="AP322" s="22" t="str">
        <f t="shared" si="163"/>
        <v>0.152609730715345-0.0669928941662288i</v>
      </c>
      <c r="AQ322" s="22" t="str">
        <f t="shared" si="164"/>
        <v>0.847390269284655+0.0669928941662288i</v>
      </c>
      <c r="AR322" s="22" t="str">
        <f t="shared" si="165"/>
        <v>0.976912282848937-0.0772326324089558i</v>
      </c>
    </row>
    <row r="323" spans="7:44">
      <c r="G323" s="257">
        <v>23175.5</v>
      </c>
      <c r="H323" s="256">
        <f t="shared" si="157"/>
        <v>23.1755</v>
      </c>
      <c r="I323" s="298">
        <f t="shared" si="137"/>
        <v>22.6330252242534</v>
      </c>
      <c r="J323" s="299">
        <f t="shared" si="138"/>
        <v>1.52659871574768</v>
      </c>
      <c r="K323" s="299">
        <f t="shared" si="139"/>
        <v>1.00007840934785</v>
      </c>
      <c r="L323" s="300">
        <f t="shared" si="140"/>
        <v>0.0125223180629817</v>
      </c>
      <c r="M323" s="299">
        <f t="shared" si="141"/>
        <v>1.00336960222481</v>
      </c>
      <c r="N323" s="300">
        <f t="shared" si="142"/>
        <v>-0.0819776494233464</v>
      </c>
      <c r="O323" s="298">
        <f t="shared" si="143"/>
        <v>41937.3967569257</v>
      </c>
      <c r="P323" s="301">
        <f t="shared" si="144"/>
        <v>1.57077248172874</v>
      </c>
      <c r="Q323" s="320">
        <f t="shared" si="166"/>
        <v>17.502505999875</v>
      </c>
      <c r="R323" s="321">
        <f t="shared" si="167"/>
        <v>1.51363052078808</v>
      </c>
      <c r="S323" s="298">
        <f t="shared" si="145"/>
        <v>1.00676241743909</v>
      </c>
      <c r="T323" s="301">
        <f t="shared" si="146"/>
        <v>0.11597006067705</v>
      </c>
      <c r="U323" s="316">
        <f t="shared" si="158"/>
        <v>0.972691717935741</v>
      </c>
      <c r="V323" s="317">
        <f t="shared" si="159"/>
        <v>-0.287329517761529</v>
      </c>
      <c r="W323" s="318">
        <f t="shared" si="147"/>
        <v>1.91014454680386</v>
      </c>
      <c r="X323" s="319">
        <f t="shared" si="148"/>
        <v>-117.828517827641</v>
      </c>
      <c r="Y323" s="332">
        <f t="shared" si="149"/>
        <v>62.171482172359</v>
      </c>
      <c r="AA323" s="22">
        <f t="shared" si="150"/>
        <v>1000000000</v>
      </c>
      <c r="AB323" s="22">
        <f t="shared" si="151"/>
        <v>537103800.25</v>
      </c>
      <c r="AD323" s="331">
        <f t="shared" si="152"/>
        <v>27.5598851071562</v>
      </c>
      <c r="AE323" s="332">
        <f t="shared" si="153"/>
        <v>-9.91858823300562</v>
      </c>
      <c r="AG323" s="331">
        <f t="shared" si="154"/>
        <v>0.219193673351511</v>
      </c>
      <c r="AH323" s="332">
        <f t="shared" si="155"/>
        <v>-74.9843921624826</v>
      </c>
      <c r="AJ323" s="22">
        <f t="shared" si="156"/>
        <v>0</v>
      </c>
      <c r="AK323" s="22">
        <f t="shared" si="168"/>
        <v>0</v>
      </c>
      <c r="AM323" s="22" t="str">
        <f t="shared" si="160"/>
        <v>0.085305756121111+0.404146557841123i</v>
      </c>
      <c r="AN323" s="22" t="str">
        <f t="shared" si="161"/>
        <v>0.416045602629i</v>
      </c>
      <c r="AO323" s="22" t="str">
        <f t="shared" si="162"/>
        <v>0.971399662169996-0.205039436980135i</v>
      </c>
      <c r="AP323" s="22" t="str">
        <f t="shared" si="163"/>
        <v>0.152449040646481-0.0673577596401872i</v>
      </c>
      <c r="AQ323" s="22" t="str">
        <f t="shared" si="164"/>
        <v>0.847550959353519+0.0673577596401872i</v>
      </c>
      <c r="AR323" s="22" t="str">
        <f t="shared" si="165"/>
        <v>0.976663132986903-0.0776187435518249i</v>
      </c>
    </row>
    <row r="324" spans="7:44">
      <c r="G324" s="257">
        <v>23308.75</v>
      </c>
      <c r="H324" s="256">
        <f t="shared" si="157"/>
        <v>23.30875</v>
      </c>
      <c r="I324" s="298">
        <f t="shared" si="137"/>
        <v>22.7629028964679</v>
      </c>
      <c r="J324" s="299">
        <f t="shared" si="138"/>
        <v>1.52685105577404</v>
      </c>
      <c r="K324" s="299">
        <f t="shared" si="139"/>
        <v>1.0000793135498</v>
      </c>
      <c r="L324" s="300">
        <f t="shared" si="140"/>
        <v>0.0125943088699429</v>
      </c>
      <c r="M324" s="299">
        <f t="shared" si="141"/>
        <v>1.00340839538913</v>
      </c>
      <c r="N324" s="300">
        <f t="shared" si="142"/>
        <v>-0.0824468616377432</v>
      </c>
      <c r="O324" s="298">
        <f t="shared" si="143"/>
        <v>42178.5202759304</v>
      </c>
      <c r="P324" s="301">
        <f t="shared" si="144"/>
        <v>1.57077261804472</v>
      </c>
      <c r="Q324" s="320">
        <f t="shared" si="166"/>
        <v>17.602810952073</v>
      </c>
      <c r="R324" s="321">
        <f t="shared" si="167"/>
        <v>1.51395661724433</v>
      </c>
      <c r="S324" s="298">
        <f t="shared" si="145"/>
        <v>1.0068401385504</v>
      </c>
      <c r="T324" s="301">
        <f t="shared" si="146"/>
        <v>0.116630829568487</v>
      </c>
      <c r="U324" s="316">
        <f t="shared" si="158"/>
        <v>0.972393279349148</v>
      </c>
      <c r="V324" s="317">
        <f t="shared" si="159"/>
        <v>-0.288937760516103</v>
      </c>
      <c r="W324" s="318">
        <f t="shared" si="147"/>
        <v>1.85728991078276</v>
      </c>
      <c r="X324" s="319">
        <f t="shared" si="148"/>
        <v>-117.977063607157</v>
      </c>
      <c r="Y324" s="332">
        <f t="shared" si="149"/>
        <v>62.0229363928428</v>
      </c>
      <c r="AA324" s="22">
        <f t="shared" si="150"/>
        <v>1000000000</v>
      </c>
      <c r="AB324" s="22">
        <f t="shared" si="151"/>
        <v>543297826.5625</v>
      </c>
      <c r="AD324" s="331">
        <f t="shared" si="152"/>
        <v>27.5590529586874</v>
      </c>
      <c r="AE324" s="332">
        <f t="shared" si="153"/>
        <v>-9.93777136141337</v>
      </c>
      <c r="AG324" s="331">
        <f t="shared" si="154"/>
        <v>0.172501964969995</v>
      </c>
      <c r="AH324" s="332">
        <f t="shared" si="155"/>
        <v>-74.9294637688412</v>
      </c>
      <c r="AJ324" s="22">
        <f t="shared" si="156"/>
        <v>0</v>
      </c>
      <c r="AK324" s="22">
        <f t="shared" si="168"/>
        <v>0</v>
      </c>
      <c r="AM324" s="22" t="str">
        <f t="shared" si="160"/>
        <v>0.086275130535538+0.406333438104903i</v>
      </c>
      <c r="AN324" s="22" t="str">
        <f t="shared" si="161"/>
        <v>0.4184377010325i</v>
      </c>
      <c r="AO324" s="22" t="str">
        <f t="shared" si="162"/>
        <v>0.971072723854161-0.206183932094678i</v>
      </c>
      <c r="AP324" s="22" t="str">
        <f t="shared" si="163"/>
        <v>0.152287478244077-0.0677222396841505i</v>
      </c>
      <c r="AQ324" s="22" t="str">
        <f t="shared" si="164"/>
        <v>0.847712521755923+0.0677222396841505i</v>
      </c>
      <c r="AR324" s="22" t="str">
        <f t="shared" si="165"/>
        <v>0.976412853815308-0.0780038794045378i</v>
      </c>
    </row>
    <row r="325" spans="7:44">
      <c r="G325" s="257">
        <v>23442</v>
      </c>
      <c r="H325" s="256">
        <f t="shared" si="157"/>
        <v>23.442</v>
      </c>
      <c r="I325" s="298">
        <f t="shared" si="137"/>
        <v>22.8927820016751</v>
      </c>
      <c r="J325" s="299">
        <f t="shared" si="138"/>
        <v>1.52710053258206</v>
      </c>
      <c r="K325" s="299">
        <f t="shared" si="139"/>
        <v>1.00008022293483</v>
      </c>
      <c r="L325" s="300">
        <f t="shared" si="140"/>
        <v>0.0126662995463529</v>
      </c>
      <c r="M325" s="299">
        <f t="shared" si="141"/>
        <v>1.00344740944683</v>
      </c>
      <c r="N325" s="300">
        <f t="shared" si="142"/>
        <v>-0.0829160374694643</v>
      </c>
      <c r="O325" s="298">
        <f t="shared" si="143"/>
        <v>42419.6437949358</v>
      </c>
      <c r="P325" s="301">
        <f t="shared" si="144"/>
        <v>1.57077275281099</v>
      </c>
      <c r="Q325" s="320">
        <f t="shared" si="166"/>
        <v>17.7031177549227</v>
      </c>
      <c r="R325" s="321">
        <f t="shared" si="167"/>
        <v>1.51427901837496</v>
      </c>
      <c r="S325" s="298">
        <f t="shared" si="145"/>
        <v>1.00691829919578</v>
      </c>
      <c r="T325" s="301">
        <f t="shared" si="146"/>
        <v>0.117291496165794</v>
      </c>
      <c r="U325" s="316">
        <f t="shared" si="158"/>
        <v>0.972093390951498</v>
      </c>
      <c r="V325" s="317">
        <f t="shared" si="159"/>
        <v>-0.290545282936485</v>
      </c>
      <c r="W325" s="318">
        <f t="shared" si="147"/>
        <v>1.80470467652297</v>
      </c>
      <c r="X325" s="319">
        <f t="shared" si="148"/>
        <v>-118.125607763892</v>
      </c>
      <c r="Y325" s="332">
        <f t="shared" si="149"/>
        <v>61.8743922361079</v>
      </c>
      <c r="AA325" s="22">
        <f t="shared" si="150"/>
        <v>1000000000</v>
      </c>
      <c r="AB325" s="22">
        <f t="shared" si="151"/>
        <v>549527364</v>
      </c>
      <c r="AD325" s="331">
        <f t="shared" si="152"/>
        <v>27.5582198130207</v>
      </c>
      <c r="AE325" s="332">
        <f t="shared" si="153"/>
        <v>-9.9571602665701</v>
      </c>
      <c r="AG325" s="331">
        <f t="shared" si="154"/>
        <v>0.126108200681511</v>
      </c>
      <c r="AH325" s="332">
        <f t="shared" si="155"/>
        <v>-74.8744105198882</v>
      </c>
      <c r="AJ325" s="22">
        <f t="shared" si="156"/>
        <v>0</v>
      </c>
      <c r="AK325" s="22">
        <f t="shared" si="168"/>
        <v>0</v>
      </c>
      <c r="AM325" s="22" t="str">
        <f t="shared" si="160"/>
        <v>0.087249733404319+0.408517993275098i</v>
      </c>
      <c r="AN325" s="22" t="str">
        <f t="shared" si="161"/>
        <v>0.420829799436i</v>
      </c>
      <c r="AO325" s="22" t="str">
        <f t="shared" si="162"/>
        <v>0.970743977310061-0.207327840189197i</v>
      </c>
      <c r="AP325" s="22" t="str">
        <f t="shared" si="163"/>
        <v>0.152125044432614-0.0680863322125163i</v>
      </c>
      <c r="AQ325" s="22" t="str">
        <f t="shared" si="164"/>
        <v>0.847874955567386+0.0680863322125163i</v>
      </c>
      <c r="AR325" s="22" t="str">
        <f t="shared" si="165"/>
        <v>0.976161450087915-0.0783880362868616i</v>
      </c>
    </row>
    <row r="326" spans="7:44">
      <c r="G326" s="257">
        <v>23578.5</v>
      </c>
      <c r="H326" s="256">
        <f t="shared" si="157"/>
        <v>23.5785</v>
      </c>
      <c r="I326" s="298">
        <f t="shared" si="137"/>
        <v>23.0258303504341</v>
      </c>
      <c r="J326" s="299">
        <f t="shared" si="138"/>
        <v>1.52735317598231</v>
      </c>
      <c r="K326" s="299">
        <f t="shared" si="139"/>
        <v>1.00008115987421</v>
      </c>
      <c r="L326" s="300">
        <f t="shared" si="140"/>
        <v>0.0127400459567735</v>
      </c>
      <c r="M326" s="299">
        <f t="shared" si="141"/>
        <v>1.00348760408054</v>
      </c>
      <c r="N326" s="300">
        <f t="shared" si="142"/>
        <v>-0.0833966186781172</v>
      </c>
      <c r="O326" s="298">
        <f t="shared" si="143"/>
        <v>42666.6483753812</v>
      </c>
      <c r="P326" s="301">
        <f t="shared" si="144"/>
        <v>1.57077288928485</v>
      </c>
      <c r="Q326" s="320">
        <f t="shared" si="166"/>
        <v>17.8058729513745</v>
      </c>
      <c r="R326" s="321">
        <f t="shared" si="167"/>
        <v>1.51460551653982</v>
      </c>
      <c r="S326" s="298">
        <f t="shared" si="145"/>
        <v>1.00699882183668</v>
      </c>
      <c r="T326" s="301">
        <f t="shared" si="146"/>
        <v>0.117968169937628</v>
      </c>
      <c r="U326" s="316">
        <f t="shared" si="158"/>
        <v>0.971784689191738</v>
      </c>
      <c r="V326" s="317">
        <f t="shared" si="159"/>
        <v>-0.292191262950202</v>
      </c>
      <c r="W326" s="318">
        <f t="shared" si="147"/>
        <v>1.75111285079018</v>
      </c>
      <c r="X326" s="319">
        <f t="shared" si="148"/>
        <v>-118.277772193213</v>
      </c>
      <c r="Y326" s="332">
        <f t="shared" si="149"/>
        <v>61.722227806787</v>
      </c>
      <c r="AA326" s="22">
        <f t="shared" si="150"/>
        <v>1000000000</v>
      </c>
      <c r="AB326" s="22">
        <f t="shared" si="151"/>
        <v>555945662.25</v>
      </c>
      <c r="AD326" s="331">
        <f t="shared" si="152"/>
        <v>27.5573652501389</v>
      </c>
      <c r="AE326" s="332">
        <f t="shared" si="153"/>
        <v>-9.97723167033696</v>
      </c>
      <c r="AG326" s="331">
        <f t="shared" si="154"/>
        <v>0.0788884637829534</v>
      </c>
      <c r="AH326" s="332">
        <f t="shared" si="155"/>
        <v>-74.8178881293287</v>
      </c>
      <c r="AJ326" s="22">
        <f t="shared" si="156"/>
        <v>0</v>
      </c>
      <c r="AK326" s="22">
        <f t="shared" si="168"/>
        <v>0</v>
      </c>
      <c r="AM326" s="22" t="str">
        <f t="shared" si="160"/>
        <v>0.088253522539512+0.410753406362493i</v>
      </c>
      <c r="AN326" s="22" t="str">
        <f t="shared" si="161"/>
        <v>0.423280241703i</v>
      </c>
      <c r="AO326" s="22" t="str">
        <f t="shared" si="162"/>
        <v>0.970405338812633-0.208499036440818i</v>
      </c>
      <c r="AP326" s="22" t="str">
        <f t="shared" si="163"/>
        <v>0.151957746243415-0.0684589010604155i</v>
      </c>
      <c r="AQ326" s="22" t="str">
        <f t="shared" si="164"/>
        <v>0.848042253756585+0.0684589010604155i</v>
      </c>
      <c r="AR326" s="22" t="str">
        <f t="shared" si="165"/>
        <v>0.975902753512429-0.0787805439544416i</v>
      </c>
    </row>
    <row r="327" spans="7:44">
      <c r="G327" s="257">
        <v>23715</v>
      </c>
      <c r="H327" s="256">
        <f t="shared" si="157"/>
        <v>23.715</v>
      </c>
      <c r="I327" s="298">
        <f t="shared" si="137"/>
        <v>23.1588801520146</v>
      </c>
      <c r="J327" s="299">
        <f t="shared" si="138"/>
        <v>1.52760291648128</v>
      </c>
      <c r="K327" s="299">
        <f t="shared" si="139"/>
        <v>1.00008210225256</v>
      </c>
      <c r="L327" s="300">
        <f t="shared" si="140"/>
        <v>0.0128137922286124</v>
      </c>
      <c r="M327" s="299">
        <f t="shared" si="141"/>
        <v>1.00352803045944</v>
      </c>
      <c r="N327" s="300">
        <f t="shared" si="142"/>
        <v>-0.0838771612780363</v>
      </c>
      <c r="O327" s="298">
        <f t="shared" si="143"/>
        <v>42913.6529558273</v>
      </c>
      <c r="P327" s="301">
        <f t="shared" si="144"/>
        <v>1.57077302418766</v>
      </c>
      <c r="Q327" s="320">
        <f t="shared" si="166"/>
        <v>17.908630024169</v>
      </c>
      <c r="R327" s="321">
        <f t="shared" si="167"/>
        <v>1.51492826794231</v>
      </c>
      <c r="S327" s="298">
        <f t="shared" si="145"/>
        <v>1.00707980549579</v>
      </c>
      <c r="T327" s="301">
        <f t="shared" si="146"/>
        <v>0.118644735190659</v>
      </c>
      <c r="U327" s="316">
        <f t="shared" si="158"/>
        <v>0.971474474734251</v>
      </c>
      <c r="V327" s="317">
        <f t="shared" si="159"/>
        <v>-0.293836480232213</v>
      </c>
      <c r="W327" s="318">
        <f t="shared" si="147"/>
        <v>1.69779695403767</v>
      </c>
      <c r="X327" s="319">
        <f t="shared" si="148"/>
        <v>-118.429932759044</v>
      </c>
      <c r="Y327" s="332">
        <f t="shared" si="149"/>
        <v>61.570067240956</v>
      </c>
      <c r="AA327" s="22">
        <f t="shared" si="150"/>
        <v>1000000000</v>
      </c>
      <c r="AB327" s="22">
        <f t="shared" si="151"/>
        <v>562401225</v>
      </c>
      <c r="AD327" s="331">
        <f t="shared" si="152"/>
        <v>27.5565095154471</v>
      </c>
      <c r="AE327" s="332">
        <f t="shared" si="153"/>
        <v>-9.99751144009114</v>
      </c>
      <c r="AG327" s="331">
        <f t="shared" si="154"/>
        <v>0.0319746305182829</v>
      </c>
      <c r="AH327" s="332">
        <f t="shared" si="155"/>
        <v>-74.7612409119077</v>
      </c>
      <c r="AJ327" s="22">
        <f t="shared" si="156"/>
        <v>0</v>
      </c>
      <c r="AK327" s="22">
        <f t="shared" si="168"/>
        <v>0</v>
      </c>
      <c r="AM327" s="22" t="str">
        <f t="shared" si="160"/>
        <v>0.089262786406228+0.412986353013574i</v>
      </c>
      <c r="AN327" s="22" t="str">
        <f t="shared" si="161"/>
        <v>0.42573068397i</v>
      </c>
      <c r="AO327" s="22" t="str">
        <f t="shared" si="162"/>
        <v>0.970064805201299-0.209669609843105i</v>
      </c>
      <c r="AP327" s="22" t="str">
        <f t="shared" si="163"/>
        <v>0.151789535598962-0.0688310588355957i</v>
      </c>
      <c r="AQ327" s="22" t="str">
        <f t="shared" si="164"/>
        <v>0.848210464401038+0.0688310588355957i</v>
      </c>
      <c r="AR327" s="22" t="str">
        <f t="shared" si="165"/>
        <v>0.975642886995623-0.0791720165875897i</v>
      </c>
    </row>
    <row r="328" spans="7:44">
      <c r="G328" s="257">
        <v>23851.5</v>
      </c>
      <c r="H328" s="256">
        <f t="shared" si="157"/>
        <v>23.8515</v>
      </c>
      <c r="I328" s="298">
        <f t="shared" si="137"/>
        <v>23.2919313815198</v>
      </c>
      <c r="J328" s="299">
        <f t="shared" si="138"/>
        <v>1.52784980379454</v>
      </c>
      <c r="K328" s="299">
        <f t="shared" si="139"/>
        <v>1.00008305006986</v>
      </c>
      <c r="L328" s="300">
        <f t="shared" si="140"/>
        <v>0.0128875383610681</v>
      </c>
      <c r="M328" s="299">
        <f t="shared" si="141"/>
        <v>1.00356868855553</v>
      </c>
      <c r="N328" s="300">
        <f t="shared" si="142"/>
        <v>-0.0843576650519658</v>
      </c>
      <c r="O328" s="298">
        <f t="shared" si="143"/>
        <v>43160.6575362742</v>
      </c>
      <c r="P328" s="301">
        <f t="shared" si="144"/>
        <v>1.57077315754639</v>
      </c>
      <c r="Q328" s="320">
        <f t="shared" si="166"/>
        <v>18.011388941192</v>
      </c>
      <c r="R328" s="321">
        <f t="shared" si="167"/>
        <v>1.5152473366429</v>
      </c>
      <c r="S328" s="298">
        <f t="shared" si="145"/>
        <v>1.00716125006191</v>
      </c>
      <c r="T328" s="301">
        <f t="shared" si="146"/>
        <v>0.119321191331758</v>
      </c>
      <c r="U328" s="316">
        <f t="shared" si="158"/>
        <v>0.971162752001658</v>
      </c>
      <c r="V328" s="317">
        <f t="shared" si="159"/>
        <v>-0.295480931348468</v>
      </c>
      <c r="W328" s="318">
        <f t="shared" si="147"/>
        <v>1.64475364707737</v>
      </c>
      <c r="X328" s="319">
        <f t="shared" si="148"/>
        <v>-118.582088397886</v>
      </c>
      <c r="Y328" s="332">
        <f t="shared" si="149"/>
        <v>61.4179116021144</v>
      </c>
      <c r="AA328" s="22">
        <f t="shared" si="150"/>
        <v>1000000000</v>
      </c>
      <c r="AB328" s="22">
        <f t="shared" si="151"/>
        <v>568894052.25</v>
      </c>
      <c r="AD328" s="331">
        <f t="shared" si="152"/>
        <v>27.5556525482712</v>
      </c>
      <c r="AE328" s="332">
        <f t="shared" si="153"/>
        <v>-10.0179958729993</v>
      </c>
      <c r="AG328" s="331">
        <f t="shared" si="154"/>
        <v>-0.0146366297011593</v>
      </c>
      <c r="AH328" s="332">
        <f t="shared" si="155"/>
        <v>-74.7044719004721</v>
      </c>
      <c r="AJ328" s="22">
        <f t="shared" si="156"/>
        <v>0</v>
      </c>
      <c r="AK328" s="22">
        <f t="shared" si="168"/>
        <v>0</v>
      </c>
      <c r="AM328" s="22" t="str">
        <f t="shared" si="160"/>
        <v>0.090277518944177+0.415216819820245i</v>
      </c>
      <c r="AN328" s="22" t="str">
        <f t="shared" si="161"/>
        <v>0.428181126237i</v>
      </c>
      <c r="AO328" s="22" t="str">
        <f t="shared" si="162"/>
        <v>0.969722377698686-0.210839556936024i</v>
      </c>
      <c r="AP328" s="22" t="str">
        <f t="shared" si="163"/>
        <v>0.151620413509304-0.0692028033033742i</v>
      </c>
      <c r="AQ328" s="22" t="str">
        <f t="shared" si="164"/>
        <v>0.848379586490696+0.0692028033033742i</v>
      </c>
      <c r="AR328" s="22" t="str">
        <f t="shared" si="165"/>
        <v>0.975381855689029-0.0795624503226637i</v>
      </c>
    </row>
    <row r="329" spans="7:44">
      <c r="G329" s="257">
        <v>23988</v>
      </c>
      <c r="H329" s="256">
        <f t="shared" si="157"/>
        <v>23.988</v>
      </c>
      <c r="I329" s="298">
        <f t="shared" si="137"/>
        <v>23.4249840146184</v>
      </c>
      <c r="J329" s="299">
        <f t="shared" si="138"/>
        <v>1.52809388650956</v>
      </c>
      <c r="K329" s="299">
        <f t="shared" si="139"/>
        <v>1.00008400332609</v>
      </c>
      <c r="L329" s="300">
        <f t="shared" si="140"/>
        <v>0.0129612843533387</v>
      </c>
      <c r="M329" s="299">
        <f t="shared" si="141"/>
        <v>1.00360957834064</v>
      </c>
      <c r="N329" s="300">
        <f t="shared" si="142"/>
        <v>-0.0848381297827569</v>
      </c>
      <c r="O329" s="298">
        <f t="shared" si="143"/>
        <v>43407.6621167219</v>
      </c>
      <c r="P329" s="301">
        <f t="shared" si="144"/>
        <v>1.57077328938741</v>
      </c>
      <c r="Q329" s="320">
        <f t="shared" si="166"/>
        <v>18.1141496710574</v>
      </c>
      <c r="R329" s="321">
        <f t="shared" si="167"/>
        <v>1.51556278525146</v>
      </c>
      <c r="S329" s="298">
        <f t="shared" si="145"/>
        <v>1.00724315542321</v>
      </c>
      <c r="T329" s="301">
        <f t="shared" si="146"/>
        <v>0.119997537768386</v>
      </c>
      <c r="U329" s="316">
        <f t="shared" si="158"/>
        <v>0.970849525430536</v>
      </c>
      <c r="V329" s="317">
        <f t="shared" si="159"/>
        <v>-0.29712461288009</v>
      </c>
      <c r="W329" s="318">
        <f t="shared" si="147"/>
        <v>1.5919796487399</v>
      </c>
      <c r="X329" s="319">
        <f t="shared" si="148"/>
        <v>-118.734238065592</v>
      </c>
      <c r="Y329" s="332">
        <f t="shared" si="149"/>
        <v>61.2657619344084</v>
      </c>
      <c r="AA329" s="22">
        <f t="shared" si="150"/>
        <v>1000000000</v>
      </c>
      <c r="AB329" s="22">
        <f t="shared" si="151"/>
        <v>575424144</v>
      </c>
      <c r="AD329" s="331">
        <f t="shared" si="152"/>
        <v>27.5547942897174</v>
      </c>
      <c r="AE329" s="332">
        <f t="shared" si="153"/>
        <v>-10.0386813493407</v>
      </c>
      <c r="AG329" s="331">
        <f t="shared" si="154"/>
        <v>-0.0609485914167795</v>
      </c>
      <c r="AH329" s="332">
        <f t="shared" si="155"/>
        <v>-74.6475840623704</v>
      </c>
      <c r="AJ329" s="22">
        <f t="shared" si="156"/>
        <v>0</v>
      </c>
      <c r="AK329" s="22">
        <f t="shared" si="168"/>
        <v>0</v>
      </c>
      <c r="AM329" s="22" t="str">
        <f t="shared" si="160"/>
        <v>0.09129771406023+0.417444793389301i</v>
      </c>
      <c r="AN329" s="22" t="str">
        <f t="shared" si="161"/>
        <v>0.430631568504i</v>
      </c>
      <c r="AO329" s="22" t="str">
        <f t="shared" si="162"/>
        <v>0.969378057534172-0.212008874262041i</v>
      </c>
      <c r="AP329" s="22" t="str">
        <f t="shared" si="163"/>
        <v>0.151450380989962-0.0695741322315502i</v>
      </c>
      <c r="AQ329" s="22" t="str">
        <f t="shared" si="164"/>
        <v>0.848549619010038+0.0695741322315502i</v>
      </c>
      <c r="AR329" s="22" t="str">
        <f t="shared" si="165"/>
        <v>0.975119664757695-0.0799518413273063i</v>
      </c>
    </row>
    <row r="330" spans="7:44">
      <c r="G330" s="257">
        <v>24127.75</v>
      </c>
      <c r="H330" s="256">
        <f t="shared" si="157"/>
        <v>24.12775</v>
      </c>
      <c r="I330" s="298">
        <f t="shared" si="137"/>
        <v>23.561205996842</v>
      </c>
      <c r="J330" s="299">
        <f t="shared" si="138"/>
        <v>1.52834092474492</v>
      </c>
      <c r="K330" s="299">
        <f t="shared" si="139"/>
        <v>1.0000849849136</v>
      </c>
      <c r="L330" s="300">
        <f t="shared" si="140"/>
        <v>0.0130367860564996</v>
      </c>
      <c r="M330" s="299">
        <f t="shared" si="141"/>
        <v>1.0036516816918</v>
      </c>
      <c r="N330" s="300">
        <f t="shared" si="142"/>
        <v>-0.0853299934747542</v>
      </c>
      <c r="O330" s="298">
        <f t="shared" si="143"/>
        <v>43660.5477586096</v>
      </c>
      <c r="P330" s="301">
        <f t="shared" si="144"/>
        <v>1.57077342282206</v>
      </c>
      <c r="Q330" s="320">
        <f t="shared" si="166"/>
        <v>18.219358931037</v>
      </c>
      <c r="R330" s="321">
        <f t="shared" si="167"/>
        <v>1.51588205803178</v>
      </c>
      <c r="S330" s="298">
        <f t="shared" si="145"/>
        <v>1.00732748817757</v>
      </c>
      <c r="T330" s="301">
        <f t="shared" si="146"/>
        <v>0.120689873419897</v>
      </c>
      <c r="U330" s="316">
        <f t="shared" si="158"/>
        <v>0.970527287757861</v>
      </c>
      <c r="V330" s="317">
        <f t="shared" si="159"/>
        <v>-0.298806628844261</v>
      </c>
      <c r="W330" s="318">
        <f t="shared" si="147"/>
        <v>1.53822476304063</v>
      </c>
      <c r="X330" s="319">
        <f t="shared" si="148"/>
        <v>-118.890003087819</v>
      </c>
      <c r="Y330" s="332">
        <f t="shared" si="149"/>
        <v>61.1099969121808</v>
      </c>
      <c r="AA330" s="22">
        <f t="shared" si="150"/>
        <v>1000000000</v>
      </c>
      <c r="AB330" s="22">
        <f t="shared" si="151"/>
        <v>582148320.0625</v>
      </c>
      <c r="AD330" s="331">
        <f t="shared" si="152"/>
        <v>27.5539141988801</v>
      </c>
      <c r="AE330" s="332">
        <f t="shared" si="153"/>
        <v>-10.0600639226191</v>
      </c>
      <c r="AG330" s="331">
        <f t="shared" si="154"/>
        <v>-0.108056508115146</v>
      </c>
      <c r="AH330" s="332">
        <f t="shared" si="155"/>
        <v>-74.5892216794575</v>
      </c>
      <c r="AJ330" s="22">
        <f t="shared" si="156"/>
        <v>0</v>
      </c>
      <c r="AK330" s="22">
        <f t="shared" si="168"/>
        <v>0</v>
      </c>
      <c r="AM330" s="22" t="str">
        <f t="shared" si="160"/>
        <v>0.092347852357697+0.419723216989857i</v>
      </c>
      <c r="AN330" s="22" t="str">
        <f t="shared" si="161"/>
        <v>0.4331403546345i</v>
      </c>
      <c r="AO330" s="22" t="str">
        <f t="shared" si="162"/>
        <v>0.969023579767891-0.213205376431904i</v>
      </c>
      <c r="AP330" s="22" t="str">
        <f t="shared" si="163"/>
        <v>0.151275357940384-0.0699538694983095i</v>
      </c>
      <c r="AQ330" s="22" t="str">
        <f t="shared" si="164"/>
        <v>0.848724642059616+0.0699538694983095i</v>
      </c>
      <c r="AR330" s="22" t="str">
        <f t="shared" si="165"/>
        <v>0.974850035223948-0.0803494193110613i</v>
      </c>
    </row>
    <row r="331" spans="7:44">
      <c r="G331" s="257">
        <v>24267.5</v>
      </c>
      <c r="H331" s="256">
        <f t="shared" si="157"/>
        <v>24.2675</v>
      </c>
      <c r="I331" s="298">
        <f t="shared" si="137"/>
        <v>23.6974294004251</v>
      </c>
      <c r="J331" s="299">
        <f t="shared" si="138"/>
        <v>1.52858512282291</v>
      </c>
      <c r="K331" s="299">
        <f t="shared" si="139"/>
        <v>1.00008597220209</v>
      </c>
      <c r="L331" s="300">
        <f t="shared" si="140"/>
        <v>0.0131122876110198</v>
      </c>
      <c r="M331" s="299">
        <f t="shared" si="141"/>
        <v>1.00369402783589</v>
      </c>
      <c r="N331" s="300">
        <f t="shared" si="142"/>
        <v>-0.085821815781984</v>
      </c>
      <c r="O331" s="298">
        <f t="shared" si="143"/>
        <v>43913.433400498</v>
      </c>
      <c r="P331" s="301">
        <f t="shared" si="144"/>
        <v>1.57077355471987</v>
      </c>
      <c r="Q331" s="320">
        <f t="shared" si="166"/>
        <v>18.3245700268829</v>
      </c>
      <c r="R331" s="321">
        <f t="shared" si="167"/>
        <v>1.51619766461453</v>
      </c>
      <c r="S331" s="298">
        <f t="shared" si="145"/>
        <v>1.00741230369188</v>
      </c>
      <c r="T331" s="301">
        <f t="shared" si="146"/>
        <v>0.121382092825662</v>
      </c>
      <c r="U331" s="316">
        <f t="shared" si="158"/>
        <v>0.970203483238355</v>
      </c>
      <c r="V331" s="317">
        <f t="shared" si="159"/>
        <v>-0.300487830936978</v>
      </c>
      <c r="W331" s="318">
        <f t="shared" si="147"/>
        <v>1.48474538307173</v>
      </c>
      <c r="X331" s="319">
        <f t="shared" si="148"/>
        <v>-119.045759696164</v>
      </c>
      <c r="Y331" s="332">
        <f t="shared" si="149"/>
        <v>60.9542403038364</v>
      </c>
      <c r="AA331" s="22">
        <f t="shared" si="150"/>
        <v>1000000000</v>
      </c>
      <c r="AB331" s="22">
        <f t="shared" si="151"/>
        <v>588911556.25</v>
      </c>
      <c r="AD331" s="331">
        <f t="shared" si="152"/>
        <v>27.5530326349665</v>
      </c>
      <c r="AE331" s="332">
        <f t="shared" si="153"/>
        <v>-10.0816498051014</v>
      </c>
      <c r="AG331" s="331">
        <f t="shared" si="154"/>
        <v>-0.154857476119551</v>
      </c>
      <c r="AH331" s="332">
        <f t="shared" si="155"/>
        <v>-74.5307408362575</v>
      </c>
      <c r="AJ331" s="22">
        <f t="shared" si="156"/>
        <v>0</v>
      </c>
      <c r="AK331" s="22">
        <f t="shared" si="168"/>
        <v>0</v>
      </c>
      <c r="AM331" s="22" t="str">
        <f t="shared" si="160"/>
        <v>0.093403703421909+0.421998998850577i</v>
      </c>
      <c r="AN331" s="22" t="str">
        <f t="shared" si="161"/>
        <v>0.435649140765i</v>
      </c>
      <c r="AO331" s="22" t="str">
        <f t="shared" si="162"/>
        <v>0.968667120769587-0.214401211162478i</v>
      </c>
      <c r="AP331" s="22" t="str">
        <f t="shared" si="163"/>
        <v>0.151099382763015-0.0703331664750962i</v>
      </c>
      <c r="AQ331" s="22" t="str">
        <f t="shared" si="164"/>
        <v>0.848900617236985+0.0703331664750962i</v>
      </c>
      <c r="AR331" s="22" t="str">
        <f t="shared" si="165"/>
        <v>0.974579201187066-0.0807458962903788i</v>
      </c>
    </row>
    <row r="332" spans="7:44">
      <c r="G332" s="257">
        <v>24407.25</v>
      </c>
      <c r="H332" s="256">
        <f t="shared" si="157"/>
        <v>24.40725</v>
      </c>
      <c r="I332" s="298">
        <f t="shared" si="137"/>
        <v>23.8336542009961</v>
      </c>
      <c r="J332" s="299">
        <f t="shared" si="138"/>
        <v>1.52882652941418</v>
      </c>
      <c r="K332" s="299">
        <f t="shared" si="139"/>
        <v>1.00008696519155</v>
      </c>
      <c r="L332" s="300">
        <f t="shared" si="140"/>
        <v>0.0131877890160389</v>
      </c>
      <c r="M332" s="299">
        <f t="shared" si="141"/>
        <v>1.00373661674219</v>
      </c>
      <c r="N332" s="300">
        <f t="shared" si="142"/>
        <v>-0.0863135964717665</v>
      </c>
      <c r="O332" s="298">
        <f t="shared" si="143"/>
        <v>44166.3190423872</v>
      </c>
      <c r="P332" s="301">
        <f t="shared" si="144"/>
        <v>1.57077368510725</v>
      </c>
      <c r="Q332" s="320">
        <f t="shared" si="166"/>
        <v>18.4297829271536</v>
      </c>
      <c r="R332" s="321">
        <f t="shared" si="167"/>
        <v>1.51650966772561</v>
      </c>
      <c r="S332" s="298">
        <f t="shared" si="145"/>
        <v>1.00749760184423</v>
      </c>
      <c r="T332" s="301">
        <f t="shared" si="146"/>
        <v>0.122074195351744</v>
      </c>
      <c r="U332" s="316">
        <f t="shared" si="158"/>
        <v>0.969878116677501</v>
      </c>
      <c r="V332" s="317">
        <f t="shared" si="159"/>
        <v>-0.302168215538989</v>
      </c>
      <c r="W332" s="318">
        <f t="shared" si="147"/>
        <v>1.4315381681405</v>
      </c>
      <c r="X332" s="319">
        <f t="shared" si="148"/>
        <v>-119.201506829859</v>
      </c>
      <c r="Y332" s="332">
        <f t="shared" si="149"/>
        <v>60.7984931701408</v>
      </c>
      <c r="AA332" s="22">
        <f t="shared" si="150"/>
        <v>1000000000</v>
      </c>
      <c r="AB332" s="22">
        <f t="shared" si="151"/>
        <v>595713852.5625</v>
      </c>
      <c r="AD332" s="331">
        <f t="shared" si="152"/>
        <v>27.5521495401916</v>
      </c>
      <c r="AE332" s="332">
        <f t="shared" si="153"/>
        <v>-10.103435368048</v>
      </c>
      <c r="AG332" s="331">
        <f t="shared" si="154"/>
        <v>-0.201354835038249</v>
      </c>
      <c r="AH332" s="332">
        <f t="shared" si="155"/>
        <v>-74.4721445154786</v>
      </c>
      <c r="AJ332" s="22">
        <f t="shared" si="156"/>
        <v>0</v>
      </c>
      <c r="AK332" s="22">
        <f t="shared" si="168"/>
        <v>0</v>
      </c>
      <c r="AM332" s="22" t="str">
        <f t="shared" si="160"/>
        <v>0.094465260607334+0.424272124647679i</v>
      </c>
      <c r="AN332" s="22" t="str">
        <f t="shared" si="161"/>
        <v>0.4381579268955i</v>
      </c>
      <c r="AO332" s="22" t="str">
        <f t="shared" si="162"/>
        <v>0.968308681880511-0.215596374751572i</v>
      </c>
      <c r="AP332" s="22" t="str">
        <f t="shared" si="163"/>
        <v>0.150922456565444-0.0707120207746132i</v>
      </c>
      <c r="AQ332" s="22" t="str">
        <f t="shared" si="164"/>
        <v>0.849077543434556+0.0707120207746132i</v>
      </c>
      <c r="AR332" s="22" t="str">
        <f t="shared" si="165"/>
        <v>0.974307168232455-0.0811412682547505i</v>
      </c>
    </row>
    <row r="333" spans="7:44">
      <c r="G333" s="257">
        <v>24547</v>
      </c>
      <c r="H333" s="256">
        <f t="shared" si="157"/>
        <v>24.547</v>
      </c>
      <c r="I333" s="298">
        <f t="shared" ref="I333:I396" si="169">SQRT(1+(G333/pole1)^2)</f>
        <v>23.9698803747369</v>
      </c>
      <c r="J333" s="299">
        <f t="shared" ref="J333:J396" si="170">ATAN(G333/pole1)</f>
        <v>1.52906519208428</v>
      </c>
      <c r="K333" s="299">
        <f t="shared" ref="K333:K396" si="171">SQRT(1+(G333/Zero1)^2)</f>
        <v>1.00008796388196</v>
      </c>
      <c r="L333" s="300">
        <f t="shared" ref="L333:L396" si="172">ATAN(G333/Zero1)</f>
        <v>0.0132632902706966</v>
      </c>
      <c r="M333" s="299">
        <f t="shared" ref="M333:M396" si="173">SQRT(1+(G333/z_RHP)^2)</f>
        <v>1.0037794483798</v>
      </c>
      <c r="N333" s="300">
        <f t="shared" ref="N333:N396" si="174">-ATAN(G333/z_RHP)</f>
        <v>-0.0868053353115416</v>
      </c>
      <c r="O333" s="298">
        <f t="shared" ref="O333:O396" si="175">SQRT(1+(G333/Pole2)^2)</f>
        <v>44419.2046842772</v>
      </c>
      <c r="P333" s="301">
        <f t="shared" ref="P333:P396" si="176">ATAN(G333/Pole2)</f>
        <v>1.57077381401001</v>
      </c>
      <c r="Q333" s="320">
        <f t="shared" si="166"/>
        <v>18.534997601121</v>
      </c>
      <c r="R333" s="321">
        <f t="shared" si="167"/>
        <v>1.51681812866953</v>
      </c>
      <c r="S333" s="298">
        <f t="shared" ref="S333:S396" si="177">SQRT(1+(G333/pole4)^2)</f>
        <v>1.00758338251203</v>
      </c>
      <c r="T333" s="301">
        <f t="shared" ref="T333:T396" si="178">ATAN(G333/pole4)</f>
        <v>0.12276618036487</v>
      </c>
      <c r="U333" s="316">
        <f t="shared" si="158"/>
        <v>0.969551192895395</v>
      </c>
      <c r="V333" s="317">
        <f t="shared" si="159"/>
        <v>-0.30384777904788</v>
      </c>
      <c r="W333" s="318">
        <f t="shared" ref="W333:W396" si="179">20*LOG10(((K333*Q333*M333*U333)/(I333*O333*S333))*Adc)</f>
        <v>1.37859983566421</v>
      </c>
      <c r="X333" s="319">
        <f t="shared" ref="X333:X396" si="180">((L333+R333+N333+V333)-(J333+P333+T333))*radconv</f>
        <v>-119.357243447238</v>
      </c>
      <c r="Y333" s="332">
        <f t="shared" ref="Y333:Y396" si="181">IF(X333&gt;0,X333,X333+180)</f>
        <v>60.6427565527619</v>
      </c>
      <c r="AA333" s="22">
        <f t="shared" ref="AA333:AA396" si="182">IF(W333&lt;0,G333,1000000000)</f>
        <v>1000000000</v>
      </c>
      <c r="AB333" s="22">
        <f t="shared" ref="AB333:AB396" si="183">G333^2</f>
        <v>602555209</v>
      </c>
      <c r="AD333" s="331">
        <f t="shared" ref="AD333:AD396" si="184">20*LOG10((Q333/(O333*S333))*Aea)</f>
        <v>27.5512648584753</v>
      </c>
      <c r="AE333" s="332">
        <f t="shared" ref="AE333:AE396" si="185">(R333-(P333+T333))*radconv</f>
        <v>-10.1254170641641</v>
      </c>
      <c r="AG333" s="331">
        <f t="shared" ref="AG333:AG396" si="186">20*LOG10((K333*M333/(I333*U333))*Acs*Am)</f>
        <v>-0.2475518682783</v>
      </c>
      <c r="AH333" s="332">
        <f t="shared" ref="AH333:AH396" si="187">(L333+N333-(J333+V333))*radconv</f>
        <v>-74.4134356355539</v>
      </c>
      <c r="AJ333" s="22">
        <f t="shared" ref="AJ333:AJ396" si="188">SUM((W334&lt;0)*(W333&gt;0))*G333</f>
        <v>0</v>
      </c>
      <c r="AK333" s="22">
        <f t="shared" si="168"/>
        <v>0</v>
      </c>
      <c r="AM333" s="22" t="str">
        <f t="shared" si="160"/>
        <v>0.095532517232526+0.4265425800741i</v>
      </c>
      <c r="AN333" s="22" t="str">
        <f t="shared" si="161"/>
        <v>0.440666713026i</v>
      </c>
      <c r="AO333" s="22" t="str">
        <f t="shared" si="162"/>
        <v>0.967948264449313-0.216790863499802i</v>
      </c>
      <c r="AP333" s="22" t="str">
        <f t="shared" si="163"/>
        <v>0.150744580461246-0.07109043001235i</v>
      </c>
      <c r="AQ333" s="22" t="str">
        <f t="shared" si="164"/>
        <v>0.849255419538754+0.07109043001235i</v>
      </c>
      <c r="AR333" s="22" t="str">
        <f t="shared" si="165"/>
        <v>0.974033941959383-0.0815355312281961i</v>
      </c>
    </row>
    <row r="334" spans="7:44">
      <c r="G334" s="257">
        <v>24690</v>
      </c>
      <c r="H334" s="256">
        <f t="shared" ref="H334:H397" si="189">G334/1000</f>
        <v>24.69</v>
      </c>
      <c r="I334" s="298">
        <f t="shared" si="169"/>
        <v>24.1092759961905</v>
      </c>
      <c r="J334" s="299">
        <f t="shared" si="170"/>
        <v>1.52930661316036</v>
      </c>
      <c r="K334" s="299">
        <f t="shared" si="171"/>
        <v>1.00008899169906</v>
      </c>
      <c r="L334" s="300">
        <f t="shared" si="172"/>
        <v>0.0133405472119411</v>
      </c>
      <c r="M334" s="299">
        <f t="shared" si="173"/>
        <v>1.00382352733391</v>
      </c>
      <c r="N334" s="300">
        <f t="shared" si="174"/>
        <v>-0.0873084663746046</v>
      </c>
      <c r="O334" s="298">
        <f t="shared" si="175"/>
        <v>44677.9713876072</v>
      </c>
      <c r="P334" s="301">
        <f t="shared" si="176"/>
        <v>1.57077394439997</v>
      </c>
      <c r="Q334" s="320">
        <f t="shared" si="166"/>
        <v>18.6426609326931</v>
      </c>
      <c r="R334" s="321">
        <f t="shared" si="167"/>
        <v>1.51713015893705</v>
      </c>
      <c r="S334" s="298">
        <f t="shared" si="177"/>
        <v>1.0076716574284</v>
      </c>
      <c r="T334" s="301">
        <f t="shared" si="178"/>
        <v>0.123474135748775</v>
      </c>
      <c r="U334" s="316">
        <f t="shared" ref="U334:U397" si="190">IMABS(IMPRODUCT(AO334,AR334))</f>
        <v>0.969215059313957</v>
      </c>
      <c r="V334" s="317">
        <f t="shared" ref="V334:V397" si="191">IMARGUMENT(IMPRODUCT(AO334,AR334))</f>
        <v>-0.305565548475083</v>
      </c>
      <c r="W334" s="318">
        <f t="shared" si="179"/>
        <v>1.32470534921613</v>
      </c>
      <c r="X334" s="319">
        <f t="shared" si="180"/>
        <v>-119.516589893271</v>
      </c>
      <c r="Y334" s="332">
        <f t="shared" si="181"/>
        <v>60.483410106729</v>
      </c>
      <c r="AA334" s="22">
        <f t="shared" si="182"/>
        <v>1000000000</v>
      </c>
      <c r="AB334" s="22">
        <f t="shared" si="183"/>
        <v>609596100</v>
      </c>
      <c r="AD334" s="331">
        <f t="shared" si="184"/>
        <v>27.5503579032648</v>
      </c>
      <c r="AE334" s="332">
        <f t="shared" si="185"/>
        <v>-10.1481093731569</v>
      </c>
      <c r="AG334" s="331">
        <f t="shared" si="186"/>
        <v>-0.294515735305879</v>
      </c>
      <c r="AH334" s="332">
        <f t="shared" si="187"/>
        <v>-74.3532478956587</v>
      </c>
      <c r="AJ334" s="22">
        <f t="shared" si="188"/>
        <v>0</v>
      </c>
      <c r="AK334" s="22">
        <f t="shared" si="168"/>
        <v>0</v>
      </c>
      <c r="AM334" s="22" t="str">
        <f t="shared" ref="AM334:AM397" si="192">IMSUB(1,IMEXP(COMPLEX(0,-2*Pi*G334*Tsw)))</f>
        <v>0.096630486570311+0.428863057637059i</v>
      </c>
      <c r="AN334" s="22" t="str">
        <f t="shared" ref="AN334:AN397" si="193">COMPLEX(0,2*Pi*G334*Tsw)</f>
        <v>0.44323384302i</v>
      </c>
      <c r="AO334" s="22" t="str">
        <f t="shared" ref="AO334:AO397" si="194">IMDIV(AM334,AN334)</f>
        <v>0.967577418535947-0.218012428635669i</v>
      </c>
      <c r="AP334" s="22" t="str">
        <f t="shared" ref="AP334:AP397" si="195">IMDIV(IMEXP(COMPLEX(0,-2*Pi*G334*Tsw)),6)</f>
        <v>0.150561585571615-0.0714771762728432i</v>
      </c>
      <c r="AQ334" s="22" t="str">
        <f t="shared" ref="AQ334:AQ397" si="196">IMSUB(1,AP334)</f>
        <v>0.849438414428385+0.0714771762728432i</v>
      </c>
      <c r="AR334" s="22" t="str">
        <f t="shared" ref="AR334:AR397" si="197">IMDIV(0.833,AQ334)</f>
        <v>0.973753132173708-0.081937811020061i</v>
      </c>
    </row>
    <row r="335" spans="7:44">
      <c r="G335" s="257">
        <v>24833</v>
      </c>
      <c r="H335" s="256">
        <f t="shared" si="189"/>
        <v>24.833</v>
      </c>
      <c r="I335" s="298">
        <f t="shared" si="169"/>
        <v>24.2486730066767</v>
      </c>
      <c r="J335" s="299">
        <f t="shared" si="170"/>
        <v>1.52954525856214</v>
      </c>
      <c r="K335" s="299">
        <f t="shared" si="171"/>
        <v>1.00009002548531</v>
      </c>
      <c r="L335" s="300">
        <f t="shared" si="172"/>
        <v>0.0134178039939269</v>
      </c>
      <c r="M335" s="299">
        <f t="shared" si="173"/>
        <v>1.00386786037442</v>
      </c>
      <c r="N335" s="300">
        <f t="shared" si="174"/>
        <v>-0.0878115531262334</v>
      </c>
      <c r="O335" s="298">
        <f t="shared" si="175"/>
        <v>44936.7380909379</v>
      </c>
      <c r="P335" s="301">
        <f t="shared" si="176"/>
        <v>1.57077407328824</v>
      </c>
      <c r="Q335" s="320">
        <f t="shared" si="166"/>
        <v>18.750326058524</v>
      </c>
      <c r="R335" s="321">
        <f t="shared" si="167"/>
        <v>1.51743860585364</v>
      </c>
      <c r="S335" s="298">
        <f t="shared" si="177"/>
        <v>1.00776043730202</v>
      </c>
      <c r="T335" s="301">
        <f t="shared" si="178"/>
        <v>0.124181966751025</v>
      </c>
      <c r="U335" s="316">
        <f t="shared" si="190"/>
        <v>0.968877305497369</v>
      </c>
      <c r="V335" s="317">
        <f t="shared" si="191"/>
        <v>-0.307282450597357</v>
      </c>
      <c r="W335" s="318">
        <f t="shared" si="179"/>
        <v>1.27108562345675</v>
      </c>
      <c r="X335" s="319">
        <f t="shared" si="180"/>
        <v>-119.675923180536</v>
      </c>
      <c r="Y335" s="332">
        <f t="shared" si="181"/>
        <v>60.3240768194638</v>
      </c>
      <c r="AA335" s="22">
        <f t="shared" si="182"/>
        <v>1000000000</v>
      </c>
      <c r="AB335" s="22">
        <f t="shared" si="183"/>
        <v>616677889</v>
      </c>
      <c r="AD335" s="331">
        <f t="shared" si="184"/>
        <v>27.5494491728657</v>
      </c>
      <c r="AE335" s="332">
        <f t="shared" si="185"/>
        <v>-10.1709997804499</v>
      </c>
      <c r="AG335" s="331">
        <f t="shared" si="186"/>
        <v>-0.341171926553199</v>
      </c>
      <c r="AH335" s="332">
        <f t="shared" si="187"/>
        <v>-74.2929482845194</v>
      </c>
      <c r="AJ335" s="22">
        <f t="shared" si="188"/>
        <v>0</v>
      </c>
      <c r="AK335" s="22">
        <f t="shared" si="168"/>
        <v>0</v>
      </c>
      <c r="AM335" s="22" t="str">
        <f t="shared" si="192"/>
        <v>0.097734409251213+0.431180708926944i</v>
      </c>
      <c r="AN335" s="22" t="str">
        <f t="shared" si="193"/>
        <v>0.445800973014i</v>
      </c>
      <c r="AO335" s="22" t="str">
        <f t="shared" si="194"/>
        <v>0.967204503865906-0.21923327934985i</v>
      </c>
      <c r="AP335" s="22" t="str">
        <f t="shared" si="195"/>
        <v>0.150377598458131-0.071863451487824i</v>
      </c>
      <c r="AQ335" s="22" t="str">
        <f t="shared" si="196"/>
        <v>0.849622401541869+0.071863451487824i</v>
      </c>
      <c r="AR335" s="22" t="str">
        <f t="shared" si="197"/>
        <v>0.973471084826164-0.0823389213281672i</v>
      </c>
    </row>
    <row r="336" spans="7:44">
      <c r="G336" s="257">
        <v>24976</v>
      </c>
      <c r="H336" s="256">
        <f t="shared" si="189"/>
        <v>24.976</v>
      </c>
      <c r="I336" s="298">
        <f t="shared" si="169"/>
        <v>24.3880713823772</v>
      </c>
      <c r="J336" s="299">
        <f t="shared" si="170"/>
        <v>1.52978117585816</v>
      </c>
      <c r="K336" s="299">
        <f t="shared" si="171"/>
        <v>1.00009106524071</v>
      </c>
      <c r="L336" s="300">
        <f t="shared" si="172"/>
        <v>0.013495060615732</v>
      </c>
      <c r="M336" s="299">
        <f t="shared" si="173"/>
        <v>1.00391244746768</v>
      </c>
      <c r="N336" s="300">
        <f t="shared" si="174"/>
        <v>-0.0883145953176567</v>
      </c>
      <c r="O336" s="298">
        <f t="shared" si="175"/>
        <v>45195.5047942695</v>
      </c>
      <c r="P336" s="301">
        <f t="shared" si="176"/>
        <v>1.57077420070062</v>
      </c>
      <c r="Q336" s="320">
        <f t="shared" si="166"/>
        <v>18.857992947882</v>
      </c>
      <c r="R336" s="321">
        <f t="shared" si="167"/>
        <v>1.51774353073592</v>
      </c>
      <c r="S336" s="298">
        <f t="shared" si="177"/>
        <v>1.00784972199943</v>
      </c>
      <c r="T336" s="301">
        <f t="shared" si="178"/>
        <v>0.124889672695299</v>
      </c>
      <c r="U336" s="316">
        <f t="shared" si="190"/>
        <v>0.968537936656174</v>
      </c>
      <c r="V336" s="317">
        <f t="shared" si="191"/>
        <v>-0.308998481610104</v>
      </c>
      <c r="W336" s="318">
        <f t="shared" si="179"/>
        <v>1.21773732183041</v>
      </c>
      <c r="X336" s="319">
        <f t="shared" si="180"/>
        <v>-119.835242251867</v>
      </c>
      <c r="Y336" s="332">
        <f t="shared" si="181"/>
        <v>60.1647577481333</v>
      </c>
      <c r="AA336" s="22">
        <f t="shared" si="182"/>
        <v>1000000000</v>
      </c>
      <c r="AB336" s="22">
        <f t="shared" si="183"/>
        <v>623800576</v>
      </c>
      <c r="AD336" s="331">
        <f t="shared" si="184"/>
        <v>27.5485386123737</v>
      </c>
      <c r="AE336" s="332">
        <f t="shared" si="185"/>
        <v>-10.1940847355877</v>
      </c>
      <c r="AG336" s="331">
        <f t="shared" si="186"/>
        <v>-0.387523785286615</v>
      </c>
      <c r="AH336" s="332">
        <f t="shared" si="187"/>
        <v>-74.2325397313992</v>
      </c>
      <c r="AJ336" s="22">
        <f t="shared" si="188"/>
        <v>0</v>
      </c>
      <c r="AK336" s="22">
        <f t="shared" si="168"/>
        <v>0</v>
      </c>
      <c r="AM336" s="22" t="str">
        <f t="shared" si="192"/>
        <v>0.098844278000212+0.433495518670079i</v>
      </c>
      <c r="AN336" s="22" t="str">
        <f t="shared" si="193"/>
        <v>0.448368103008i</v>
      </c>
      <c r="AO336" s="22" t="str">
        <f t="shared" si="194"/>
        <v>0.966829521908128-0.220453411688049i</v>
      </c>
      <c r="AP336" s="22" t="str">
        <f t="shared" si="195"/>
        <v>0.150192620333298-0.0722492531116798i</v>
      </c>
      <c r="AQ336" s="22" t="str">
        <f t="shared" si="196"/>
        <v>0.849807379666702+0.0722492531116798i</v>
      </c>
      <c r="AR336" s="22" t="str">
        <f t="shared" si="197"/>
        <v>0.973187805959249-0.0827388580051244i</v>
      </c>
    </row>
    <row r="337" spans="7:44">
      <c r="G337" s="257">
        <v>25119</v>
      </c>
      <c r="H337" s="256">
        <f t="shared" si="189"/>
        <v>25.119</v>
      </c>
      <c r="I337" s="298">
        <f t="shared" si="169"/>
        <v>24.527471100015</v>
      </c>
      <c r="J337" s="299">
        <f t="shared" si="170"/>
        <v>1.53001441153677</v>
      </c>
      <c r="K337" s="299">
        <f t="shared" si="171"/>
        <v>1.00009211096521</v>
      </c>
      <c r="L337" s="300">
        <f t="shared" si="172"/>
        <v>0.0135723170764349</v>
      </c>
      <c r="M337" s="299">
        <f t="shared" si="173"/>
        <v>1.00395728857983</v>
      </c>
      <c r="N337" s="300">
        <f t="shared" si="174"/>
        <v>-0.0888175927002373</v>
      </c>
      <c r="O337" s="298">
        <f t="shared" si="175"/>
        <v>45454.2714976017</v>
      </c>
      <c r="P337" s="301">
        <f t="shared" si="176"/>
        <v>1.5707743266623</v>
      </c>
      <c r="Q337" s="320">
        <f t="shared" si="166"/>
        <v>18.9656615707328</v>
      </c>
      <c r="R337" s="321">
        <f t="shared" si="167"/>
        <v>1.51804499351078</v>
      </c>
      <c r="S337" s="298">
        <f t="shared" si="177"/>
        <v>1.00793951138648</v>
      </c>
      <c r="T337" s="301">
        <f t="shared" si="178"/>
        <v>0.125597252906022</v>
      </c>
      <c r="U337" s="316">
        <f t="shared" si="190"/>
        <v>0.968196958016113</v>
      </c>
      <c r="V337" s="317">
        <f t="shared" si="191"/>
        <v>-0.310713637727372</v>
      </c>
      <c r="W337" s="318">
        <f t="shared" si="179"/>
        <v>1.16465716585634</v>
      </c>
      <c r="X337" s="319">
        <f t="shared" si="180"/>
        <v>-119.994546068914</v>
      </c>
      <c r="Y337" s="332">
        <f t="shared" si="181"/>
        <v>60.0054539310857</v>
      </c>
      <c r="AA337" s="22">
        <f t="shared" si="182"/>
        <v>1000000000</v>
      </c>
      <c r="AB337" s="22">
        <f t="shared" si="183"/>
        <v>630964161</v>
      </c>
      <c r="AD337" s="331">
        <f t="shared" si="184"/>
        <v>27.5476261685151</v>
      </c>
      <c r="AE337" s="332">
        <f t="shared" si="185"/>
        <v>-10.2173607677488</v>
      </c>
      <c r="AG337" s="331">
        <f t="shared" si="186"/>
        <v>-0.433574598542641</v>
      </c>
      <c r="AH337" s="332">
        <f t="shared" si="187"/>
        <v>-74.1720251026103</v>
      </c>
      <c r="AJ337" s="22">
        <f t="shared" si="188"/>
        <v>0</v>
      </c>
      <c r="AK337" s="22">
        <f t="shared" si="168"/>
        <v>0</v>
      </c>
      <c r="AM337" s="22" t="str">
        <f t="shared" si="192"/>
        <v>0.099960085503104+0.435807471611513i</v>
      </c>
      <c r="AN337" s="22" t="str">
        <f t="shared" si="193"/>
        <v>0.450935233002i</v>
      </c>
      <c r="AO337" s="22" t="str">
        <f t="shared" si="194"/>
        <v>0.966452474139629-0.221672821699121i</v>
      </c>
      <c r="AP337" s="22" t="str">
        <f t="shared" si="195"/>
        <v>0.150006652416149-0.0726345786019188i</v>
      </c>
      <c r="AQ337" s="22" t="str">
        <f t="shared" si="196"/>
        <v>0.849993347583851+0.0726345786019188i</v>
      </c>
      <c r="AR337" s="22" t="str">
        <f t="shared" si="197"/>
        <v>0.972903301629552-0.0831376169415336i</v>
      </c>
    </row>
    <row r="338" spans="7:44">
      <c r="G338" s="257">
        <v>25265.25</v>
      </c>
      <c r="H338" s="256">
        <f t="shared" si="189"/>
        <v>25.26525</v>
      </c>
      <c r="I338" s="298">
        <f t="shared" si="169"/>
        <v>24.6700403573777</v>
      </c>
      <c r="J338" s="299">
        <f t="shared" si="170"/>
        <v>1.53025022164691</v>
      </c>
      <c r="K338" s="299">
        <f t="shared" si="171"/>
        <v>1.00009318663032</v>
      </c>
      <c r="L338" s="300">
        <f t="shared" si="172"/>
        <v>0.0136513291981935</v>
      </c>
      <c r="M338" s="299">
        <f t="shared" si="173"/>
        <v>1.00400341151693</v>
      </c>
      <c r="N338" s="300">
        <f t="shared" si="174"/>
        <v>-0.089331975234539</v>
      </c>
      <c r="O338" s="298">
        <f t="shared" si="175"/>
        <v>45718.919262374</v>
      </c>
      <c r="P338" s="301">
        <f t="shared" si="176"/>
        <v>1.5707744540119</v>
      </c>
      <c r="Q338" s="320">
        <f t="shared" si="166"/>
        <v>19.075778970185</v>
      </c>
      <c r="R338" s="321">
        <f t="shared" si="167"/>
        <v>1.51834978772389</v>
      </c>
      <c r="S338" s="298">
        <f t="shared" si="177"/>
        <v>1.00803186332618</v>
      </c>
      <c r="T338" s="301">
        <f t="shared" si="178"/>
        <v>0.126320783729476</v>
      </c>
      <c r="U338" s="316">
        <f t="shared" si="190"/>
        <v>0.967846570229275</v>
      </c>
      <c r="V338" s="317">
        <f t="shared" si="191"/>
        <v>-0.312466865791992</v>
      </c>
      <c r="W338" s="318">
        <f t="shared" si="179"/>
        <v>1.11064464162633</v>
      </c>
      <c r="X338" s="319">
        <f t="shared" si="180"/>
        <v>-120.157453586063</v>
      </c>
      <c r="Y338" s="332">
        <f t="shared" si="181"/>
        <v>59.8425464139369</v>
      </c>
      <c r="AA338" s="22">
        <f t="shared" si="182"/>
        <v>1000000000</v>
      </c>
      <c r="AB338" s="22">
        <f t="shared" si="183"/>
        <v>638332857.5625</v>
      </c>
      <c r="AD338" s="331">
        <f t="shared" si="184"/>
        <v>27.546690985368</v>
      </c>
      <c r="AE338" s="332">
        <f t="shared" si="185"/>
        <v>-10.241359904871</v>
      </c>
      <c r="AG338" s="331">
        <f t="shared" si="186"/>
        <v>-0.480364003149256</v>
      </c>
      <c r="AH338" s="332">
        <f t="shared" si="187"/>
        <v>-74.110028345154</v>
      </c>
      <c r="AJ338" s="22">
        <f t="shared" si="188"/>
        <v>0</v>
      </c>
      <c r="AK338" s="22">
        <f t="shared" si="168"/>
        <v>0</v>
      </c>
      <c r="AM338" s="22" t="str">
        <f t="shared" si="192"/>
        <v>0.10110738734883+0.438168998128752i</v>
      </c>
      <c r="AN338" s="22" t="str">
        <f t="shared" si="193"/>
        <v>0.4535607068595i</v>
      </c>
      <c r="AO338" s="22" t="str">
        <f t="shared" si="194"/>
        <v>0.966064721881836-0.222919194321104i</v>
      </c>
      <c r="AP338" s="22" t="str">
        <f t="shared" si="195"/>
        <v>0.149815435441862-0.073028166354792i</v>
      </c>
      <c r="AQ338" s="22" t="str">
        <f t="shared" si="196"/>
        <v>0.850184564558138+0.073028166354792i</v>
      </c>
      <c r="AR338" s="22" t="str">
        <f t="shared" si="197"/>
        <v>0.972611070062505-0.0835442161431758i</v>
      </c>
    </row>
    <row r="339" spans="7:44">
      <c r="G339" s="257">
        <v>25411.5</v>
      </c>
      <c r="H339" s="256">
        <f t="shared" si="189"/>
        <v>25.4115</v>
      </c>
      <c r="I339" s="298">
        <f t="shared" si="169"/>
        <v>24.8126109707883</v>
      </c>
      <c r="J339" s="299">
        <f t="shared" si="170"/>
        <v>1.53048332189047</v>
      </c>
      <c r="K339" s="299">
        <f t="shared" si="171"/>
        <v>1.00009426853891</v>
      </c>
      <c r="L339" s="300">
        <f t="shared" si="172"/>
        <v>0.0137303411494937</v>
      </c>
      <c r="M339" s="299">
        <f t="shared" si="173"/>
        <v>1.00404980007823</v>
      </c>
      <c r="N339" s="300">
        <f t="shared" si="174"/>
        <v>-0.0898463103744752</v>
      </c>
      <c r="O339" s="298">
        <f t="shared" si="175"/>
        <v>45983.567027147</v>
      </c>
      <c r="P339" s="301">
        <f t="shared" si="176"/>
        <v>1.57077457989563</v>
      </c>
      <c r="Q339" s="320">
        <f t="shared" si="166"/>
        <v>19.1858981214254</v>
      </c>
      <c r="R339" s="321">
        <f t="shared" si="167"/>
        <v>1.51865108317828</v>
      </c>
      <c r="S339" s="298">
        <f t="shared" si="177"/>
        <v>1.00812474287055</v>
      </c>
      <c r="T339" s="301">
        <f t="shared" si="178"/>
        <v>0.127044181612327</v>
      </c>
      <c r="U339" s="316">
        <f t="shared" si="190"/>
        <v>0.967494509743321</v>
      </c>
      <c r="V339" s="317">
        <f t="shared" si="191"/>
        <v>-0.314219170791126</v>
      </c>
      <c r="W339" s="318">
        <f t="shared" si="179"/>
        <v>1.05690583394737</v>
      </c>
      <c r="X339" s="319">
        <f t="shared" si="180"/>
        <v>-120.320343008991</v>
      </c>
      <c r="Y339" s="332">
        <f t="shared" si="181"/>
        <v>59.6796569910087</v>
      </c>
      <c r="AA339" s="22">
        <f t="shared" si="182"/>
        <v>1000000000</v>
      </c>
      <c r="AB339" s="22">
        <f t="shared" si="183"/>
        <v>645744332.25</v>
      </c>
      <c r="AD339" s="331">
        <f t="shared" si="184"/>
        <v>27.5457537245501</v>
      </c>
      <c r="AE339" s="332">
        <f t="shared" si="185"/>
        <v>-10.2655518051779</v>
      </c>
      <c r="AG339" s="331">
        <f t="shared" si="186"/>
        <v>-0.526845302706489</v>
      </c>
      <c r="AH339" s="332">
        <f t="shared" si="187"/>
        <v>-74.0479265058055</v>
      </c>
      <c r="AJ339" s="22">
        <f t="shared" si="188"/>
        <v>0</v>
      </c>
      <c r="AK339" s="22">
        <f t="shared" si="168"/>
        <v>0</v>
      </c>
      <c r="AM339" s="22" t="str">
        <f t="shared" si="192"/>
        <v>0.102260885359331+0.44052750429932i</v>
      </c>
      <c r="AN339" s="22" t="str">
        <f t="shared" si="193"/>
        <v>0.456186180717i</v>
      </c>
      <c r="AO339" s="22" t="str">
        <f t="shared" si="194"/>
        <v>0.965674811996565-0.224164803060463i</v>
      </c>
      <c r="AP339" s="22" t="str">
        <f t="shared" si="195"/>
        <v>0.149623185773445-0.0734212507165533i</v>
      </c>
      <c r="AQ339" s="22" t="str">
        <f t="shared" si="196"/>
        <v>0.850376814226555+0.0734212507165533i</v>
      </c>
      <c r="AR339" s="22" t="str">
        <f t="shared" si="197"/>
        <v>0.972317569554749-0.0839495748897145i</v>
      </c>
    </row>
    <row r="340" spans="7:44">
      <c r="G340" s="257">
        <v>25557.75</v>
      </c>
      <c r="H340" s="256">
        <f t="shared" si="189"/>
        <v>25.55775</v>
      </c>
      <c r="I340" s="298">
        <f t="shared" si="169"/>
        <v>24.9551829170052</v>
      </c>
      <c r="J340" s="299">
        <f t="shared" si="170"/>
        <v>1.53071375868725</v>
      </c>
      <c r="K340" s="299">
        <f t="shared" si="171"/>
        <v>1.00009535669096</v>
      </c>
      <c r="L340" s="300">
        <f t="shared" si="172"/>
        <v>0.0138093529293495</v>
      </c>
      <c r="M340" s="299">
        <f t="shared" si="173"/>
        <v>1.00409645422692</v>
      </c>
      <c r="N340" s="300">
        <f t="shared" si="174"/>
        <v>-0.0903605978545086</v>
      </c>
      <c r="O340" s="298">
        <f t="shared" si="175"/>
        <v>46248.2147919208</v>
      </c>
      <c r="P340" s="301">
        <f t="shared" si="176"/>
        <v>1.57077470433867</v>
      </c>
      <c r="Q340" s="320">
        <f t="shared" si="166"/>
        <v>19.2960189944626</v>
      </c>
      <c r="R340" s="321">
        <f t="shared" si="167"/>
        <v>1.51894893972022</v>
      </c>
      <c r="S340" s="298">
        <f t="shared" si="177"/>
        <v>1.00821814987376</v>
      </c>
      <c r="T340" s="301">
        <f t="shared" si="178"/>
        <v>0.127767445834306</v>
      </c>
      <c r="U340" s="316">
        <f t="shared" si="190"/>
        <v>0.967140782196405</v>
      </c>
      <c r="V340" s="317">
        <f t="shared" si="191"/>
        <v>-0.315970548735564</v>
      </c>
      <c r="W340" s="318">
        <f t="shared" si="179"/>
        <v>1.00343741567101</v>
      </c>
      <c r="X340" s="319">
        <f t="shared" si="180"/>
        <v>-120.48321328487</v>
      </c>
      <c r="Y340" s="332">
        <f t="shared" si="181"/>
        <v>59.5167867151296</v>
      </c>
      <c r="AA340" s="22">
        <f t="shared" si="182"/>
        <v>1000000000</v>
      </c>
      <c r="AB340" s="22">
        <f t="shared" si="183"/>
        <v>653198585.0625</v>
      </c>
      <c r="AD340" s="331">
        <f t="shared" si="184"/>
        <v>27.5448143340161</v>
      </c>
      <c r="AE340" s="332">
        <f t="shared" si="185"/>
        <v>-10.2899329999055</v>
      </c>
      <c r="AG340" s="331">
        <f t="shared" si="186"/>
        <v>-0.573021839141573</v>
      </c>
      <c r="AH340" s="332">
        <f t="shared" si="187"/>
        <v>-73.9857224576306</v>
      </c>
      <c r="AJ340" s="22">
        <f t="shared" si="188"/>
        <v>0</v>
      </c>
      <c r="AK340" s="22">
        <f t="shared" si="168"/>
        <v>0</v>
      </c>
      <c r="AM340" s="22" t="str">
        <f t="shared" si="192"/>
        <v>0.103420571583417+0.442882973865775i</v>
      </c>
      <c r="AN340" s="22" t="str">
        <f t="shared" si="193"/>
        <v>0.4588116545745i</v>
      </c>
      <c r="AO340" s="22" t="str">
        <f t="shared" si="194"/>
        <v>0.965282746090011-0.22540964370081i</v>
      </c>
      <c r="AP340" s="22" t="str">
        <f t="shared" si="195"/>
        <v>0.149429904736097-0.0738138289776292i</v>
      </c>
      <c r="AQ340" s="22" t="str">
        <f t="shared" si="196"/>
        <v>0.850570095263903+0.0738138289776292i</v>
      </c>
      <c r="AR340" s="22" t="str">
        <f t="shared" si="197"/>
        <v>0.972022806629177-0.0843536889086373i</v>
      </c>
    </row>
    <row r="341" spans="7:44">
      <c r="G341" s="257">
        <v>25704</v>
      </c>
      <c r="H341" s="256">
        <f t="shared" si="189"/>
        <v>25.704</v>
      </c>
      <c r="I341" s="298">
        <f t="shared" si="169"/>
        <v>25.0977561733147</v>
      </c>
      <c r="J341" s="299">
        <f t="shared" si="170"/>
        <v>1.53094157740345</v>
      </c>
      <c r="K341" s="299">
        <f t="shared" si="171"/>
        <v>1.00009645108646</v>
      </c>
      <c r="L341" s="300">
        <f t="shared" si="172"/>
        <v>0.013888364536775</v>
      </c>
      <c r="M341" s="299">
        <f t="shared" si="173"/>
        <v>1.00414337392599</v>
      </c>
      <c r="N341" s="300">
        <f t="shared" si="174"/>
        <v>-0.0908748374092518</v>
      </c>
      <c r="O341" s="298">
        <f t="shared" si="175"/>
        <v>46512.8625566953</v>
      </c>
      <c r="P341" s="301">
        <f t="shared" si="176"/>
        <v>1.5707748273656</v>
      </c>
      <c r="Q341" s="320">
        <f t="shared" si="166"/>
        <v>19.4061415599852</v>
      </c>
      <c r="R341" s="321">
        <f t="shared" si="167"/>
        <v>1.51924341584</v>
      </c>
      <c r="S341" s="298">
        <f t="shared" si="177"/>
        <v>1.00831208418924</v>
      </c>
      <c r="T341" s="301">
        <f t="shared" si="178"/>
        <v>0.128490575675968</v>
      </c>
      <c r="U341" s="316">
        <f t="shared" si="190"/>
        <v>0.9667853932424</v>
      </c>
      <c r="V341" s="317">
        <f t="shared" si="191"/>
        <v>-0.317720995656677</v>
      </c>
      <c r="W341" s="318">
        <f t="shared" si="179"/>
        <v>0.950236117572973</v>
      </c>
      <c r="X341" s="319">
        <f t="shared" si="180"/>
        <v>-120.646063379398</v>
      </c>
      <c r="Y341" s="332">
        <f t="shared" si="181"/>
        <v>59.353936620602</v>
      </c>
      <c r="AA341" s="22">
        <f t="shared" si="182"/>
        <v>1000000000</v>
      </c>
      <c r="AB341" s="22">
        <f t="shared" si="183"/>
        <v>660695616</v>
      </c>
      <c r="AD341" s="331">
        <f t="shared" si="184"/>
        <v>27.5438727632764</v>
      </c>
      <c r="AE341" s="332">
        <f t="shared" si="185"/>
        <v>-10.3145000979938</v>
      </c>
      <c r="AG341" s="331">
        <f t="shared" si="186"/>
        <v>-0.618896898239029</v>
      </c>
      <c r="AH341" s="332">
        <f t="shared" si="187"/>
        <v>-73.9234190121577</v>
      </c>
      <c r="AJ341" s="22">
        <f t="shared" si="188"/>
        <v>0</v>
      </c>
      <c r="AK341" s="22">
        <f t="shared" si="168"/>
        <v>0</v>
      </c>
      <c r="AM341" s="22" t="str">
        <f t="shared" si="192"/>
        <v>0.104586438027245+0.44523539059161i</v>
      </c>
      <c r="AN341" s="22" t="str">
        <f t="shared" si="193"/>
        <v>0.461437128432i</v>
      </c>
      <c r="AO341" s="22" t="str">
        <f t="shared" si="194"/>
        <v>0.964888525777185-0.226653712029281i</v>
      </c>
      <c r="AP341" s="22" t="str">
        <f t="shared" si="195"/>
        <v>0.149235593662126-0.074205898431935i</v>
      </c>
      <c r="AQ341" s="22" t="str">
        <f t="shared" si="196"/>
        <v>0.850764406337874+0.074205898431935i</v>
      </c>
      <c r="AR341" s="22" t="str">
        <f t="shared" si="197"/>
        <v>0.971726787822863-0.08475655396911i</v>
      </c>
    </row>
    <row r="342" spans="7:44">
      <c r="G342" s="257">
        <v>25853.75</v>
      </c>
      <c r="H342" s="256">
        <f t="shared" si="189"/>
        <v>25.85375</v>
      </c>
      <c r="I342" s="298">
        <f t="shared" si="169"/>
        <v>25.2437427734892</v>
      </c>
      <c r="J342" s="299">
        <f t="shared" si="170"/>
        <v>1.53117218168579</v>
      </c>
      <c r="K342" s="299">
        <f t="shared" si="171"/>
        <v>1.00009757814195</v>
      </c>
      <c r="L342" s="300">
        <f t="shared" si="172"/>
        <v>0.0139692668405763</v>
      </c>
      <c r="M342" s="299">
        <f t="shared" si="173"/>
        <v>1.00419169160976</v>
      </c>
      <c r="N342" s="300">
        <f t="shared" si="174"/>
        <v>-0.0914013336151954</v>
      </c>
      <c r="O342" s="298">
        <f t="shared" si="175"/>
        <v>46783.8437722514</v>
      </c>
      <c r="P342" s="301">
        <f t="shared" si="176"/>
        <v>1.57077495189452</v>
      </c>
      <c r="Q342" s="320">
        <f t="shared" si="166"/>
        <v>19.5189012611389</v>
      </c>
      <c r="R342" s="321">
        <f t="shared" si="167"/>
        <v>1.51954149621863</v>
      </c>
      <c r="S342" s="298">
        <f t="shared" si="177"/>
        <v>1.00840881274394</v>
      </c>
      <c r="T342" s="301">
        <f t="shared" si="178"/>
        <v>0.129230871195797</v>
      </c>
      <c r="U342" s="316">
        <f t="shared" si="190"/>
        <v>0.966419783651925</v>
      </c>
      <c r="V342" s="317">
        <f t="shared" si="191"/>
        <v>-0.319512364780578</v>
      </c>
      <c r="W342" s="318">
        <f t="shared" si="179"/>
        <v>0.896035056544685</v>
      </c>
      <c r="X342" s="319">
        <f t="shared" si="180"/>
        <v>-120.812788768232</v>
      </c>
      <c r="Y342" s="332">
        <f t="shared" si="181"/>
        <v>59.1872112317676</v>
      </c>
      <c r="AA342" s="22">
        <f t="shared" si="182"/>
        <v>1000000000</v>
      </c>
      <c r="AB342" s="22">
        <f t="shared" si="183"/>
        <v>668416389.0625</v>
      </c>
      <c r="AD342" s="331">
        <f t="shared" si="184"/>
        <v>27.5429063489726</v>
      </c>
      <c r="AE342" s="332">
        <f t="shared" si="185"/>
        <v>-10.3398442942319</v>
      </c>
      <c r="AG342" s="331">
        <f t="shared" si="186"/>
        <v>-0.665560810249394</v>
      </c>
      <c r="AH342" s="332">
        <f t="shared" si="187"/>
        <v>-73.8595244238204</v>
      </c>
      <c r="AJ342" s="22">
        <f t="shared" si="188"/>
        <v>0</v>
      </c>
      <c r="AK342" s="22">
        <f t="shared" si="168"/>
        <v>0</v>
      </c>
      <c r="AM342" s="22" t="str">
        <f t="shared" si="192"/>
        <v>0.105786600997994+0.447640924229767i</v>
      </c>
      <c r="AN342" s="22" t="str">
        <f t="shared" si="193"/>
        <v>0.4641254341425i</v>
      </c>
      <c r="AO342" s="22" t="str">
        <f t="shared" si="194"/>
        <v>0.96448264046725-0.227926748279678i</v>
      </c>
      <c r="AP342" s="22" t="str">
        <f t="shared" si="195"/>
        <v>0.149035566500334-0.0746068207049612i</v>
      </c>
      <c r="AQ342" s="22" t="str">
        <f t="shared" si="196"/>
        <v>0.850964433499666+0.0746068207049612i</v>
      </c>
      <c r="AR342" s="22" t="str">
        <f t="shared" si="197"/>
        <v>0.971422390324734-0.0851677617191162i</v>
      </c>
    </row>
    <row r="343" spans="7:44">
      <c r="G343" s="257">
        <v>26003.5</v>
      </c>
      <c r="H343" s="256">
        <f t="shared" si="189"/>
        <v>26.0035</v>
      </c>
      <c r="I343" s="298">
        <f t="shared" si="169"/>
        <v>25.3897307006466</v>
      </c>
      <c r="J343" s="299">
        <f t="shared" si="170"/>
        <v>1.53140013408583</v>
      </c>
      <c r="K343" s="299">
        <f t="shared" si="171"/>
        <v>1.00009871174325</v>
      </c>
      <c r="L343" s="300">
        <f t="shared" si="172"/>
        <v>0.0140501689615033</v>
      </c>
      <c r="M343" s="299">
        <f t="shared" si="173"/>
        <v>1.00424028762688</v>
      </c>
      <c r="N343" s="300">
        <f t="shared" si="174"/>
        <v>-0.0919277790118844</v>
      </c>
      <c r="O343" s="298">
        <f t="shared" si="175"/>
        <v>47054.8249878083</v>
      </c>
      <c r="P343" s="301">
        <f t="shared" si="176"/>
        <v>1.57077507498915</v>
      </c>
      <c r="Q343" s="320">
        <f t="shared" ref="Q343:Q406" si="198">SQRT(1+(G343/Zero2)^2)</f>
        <v>19.6316626766614</v>
      </c>
      <c r="R343" s="321">
        <f t="shared" ref="R343:R406" si="199">ATAN(G343/Zero2)</f>
        <v>1.51983615236249</v>
      </c>
      <c r="S343" s="298">
        <f t="shared" si="177"/>
        <v>1.00850609383826</v>
      </c>
      <c r="T343" s="301">
        <f t="shared" si="178"/>
        <v>0.129971024302505</v>
      </c>
      <c r="U343" s="316">
        <f t="shared" si="190"/>
        <v>0.966052444229249</v>
      </c>
      <c r="V343" s="317">
        <f t="shared" si="191"/>
        <v>-0.321302749431169</v>
      </c>
      <c r="W343" s="318">
        <f t="shared" si="179"/>
        <v>0.842107297178993</v>
      </c>
      <c r="X343" s="319">
        <f t="shared" si="180"/>
        <v>-120.97949086091</v>
      </c>
      <c r="Y343" s="332">
        <f t="shared" si="181"/>
        <v>59.0205091390896</v>
      </c>
      <c r="AA343" s="22">
        <f t="shared" si="182"/>
        <v>1000000000</v>
      </c>
      <c r="AB343" s="22">
        <f t="shared" si="183"/>
        <v>676182012.25</v>
      </c>
      <c r="AD343" s="331">
        <f t="shared" si="184"/>
        <v>27.5419375465026</v>
      </c>
      <c r="AE343" s="332">
        <f t="shared" si="185"/>
        <v>-10.3653764428209</v>
      </c>
      <c r="AG343" s="331">
        <f t="shared" si="186"/>
        <v>-0.711915439946962</v>
      </c>
      <c r="AH343" s="332">
        <f t="shared" si="187"/>
        <v>-73.7955313993072</v>
      </c>
      <c r="AJ343" s="22">
        <f t="shared" si="188"/>
        <v>0</v>
      </c>
      <c r="AK343" s="22">
        <f t="shared" si="168"/>
        <v>0</v>
      </c>
      <c r="AM343" s="22" t="str">
        <f t="shared" si="192"/>
        <v>0.106993226433992+0.450043222774467i</v>
      </c>
      <c r="AN343" s="22" t="str">
        <f t="shared" si="193"/>
        <v>0.466813739853i</v>
      </c>
      <c r="AO343" s="22" t="str">
        <f t="shared" si="194"/>
        <v>0.964074499855523-0.229198965882376i</v>
      </c>
      <c r="AP343" s="22" t="str">
        <f t="shared" si="195"/>
        <v>0.148834462261001-0.0750072037957445i</v>
      </c>
      <c r="AQ343" s="22" t="str">
        <f t="shared" si="196"/>
        <v>0.851165537738999+0.0750072037957445i</v>
      </c>
      <c r="AR343" s="22" t="str">
        <f t="shared" si="197"/>
        <v>0.971116690031696-0.0855776511724704i</v>
      </c>
    </row>
    <row r="344" spans="7:44">
      <c r="G344" s="257">
        <v>26153.25</v>
      </c>
      <c r="H344" s="256">
        <f t="shared" si="189"/>
        <v>26.15325</v>
      </c>
      <c r="I344" s="298">
        <f t="shared" si="169"/>
        <v>25.5357199320276</v>
      </c>
      <c r="J344" s="299">
        <f t="shared" si="170"/>
        <v>1.53162548006258</v>
      </c>
      <c r="K344" s="299">
        <f t="shared" si="171"/>
        <v>1.00009985189033</v>
      </c>
      <c r="L344" s="300">
        <f t="shared" si="172"/>
        <v>0.0141310708984977</v>
      </c>
      <c r="M344" s="299">
        <f t="shared" si="173"/>
        <v>1.00428916193695</v>
      </c>
      <c r="N344" s="300">
        <f t="shared" si="174"/>
        <v>-0.0924541733149126</v>
      </c>
      <c r="O344" s="298">
        <f t="shared" si="175"/>
        <v>47325.8062033659</v>
      </c>
      <c r="P344" s="301">
        <f t="shared" si="176"/>
        <v>1.57077519667414</v>
      </c>
      <c r="Q344" s="320">
        <f t="shared" si="198"/>
        <v>19.7444257771803</v>
      </c>
      <c r="R344" s="321">
        <f t="shared" si="199"/>
        <v>1.5201274428888</v>
      </c>
      <c r="S344" s="298">
        <f t="shared" si="177"/>
        <v>1.0086039273123</v>
      </c>
      <c r="T344" s="301">
        <f t="shared" si="178"/>
        <v>0.130711034226467</v>
      </c>
      <c r="U344" s="316">
        <f t="shared" si="190"/>
        <v>0.965683381093608</v>
      </c>
      <c r="V344" s="317">
        <f t="shared" si="191"/>
        <v>-0.323092145415385</v>
      </c>
      <c r="W344" s="318">
        <f t="shared" si="179"/>
        <v>0.788449510136639</v>
      </c>
      <c r="X344" s="319">
        <f t="shared" si="180"/>
        <v>-121.146168604359</v>
      </c>
      <c r="Y344" s="332">
        <f t="shared" si="181"/>
        <v>58.8538313956415</v>
      </c>
      <c r="AA344" s="22">
        <f t="shared" si="182"/>
        <v>1000000000</v>
      </c>
      <c r="AB344" s="22">
        <f t="shared" si="183"/>
        <v>683992485.5625</v>
      </c>
      <c r="AD344" s="331">
        <f t="shared" si="184"/>
        <v>27.540966306402</v>
      </c>
      <c r="AE344" s="332">
        <f t="shared" si="185"/>
        <v>-10.391093142558</v>
      </c>
      <c r="AG344" s="331">
        <f t="shared" si="186"/>
        <v>-0.757964139906559</v>
      </c>
      <c r="AH344" s="332">
        <f t="shared" si="187"/>
        <v>-73.7314427672377</v>
      </c>
      <c r="AJ344" s="22">
        <f t="shared" si="188"/>
        <v>0</v>
      </c>
      <c r="AK344" s="22">
        <f t="shared" si="168"/>
        <v>0</v>
      </c>
      <c r="AM344" s="22" t="str">
        <f t="shared" si="192"/>
        <v>0.108206305614976+0.452442268864338i</v>
      </c>
      <c r="AN344" s="22" t="str">
        <f t="shared" si="193"/>
        <v>0.4695020455635i</v>
      </c>
      <c r="AO344" s="22" t="str">
        <f t="shared" si="194"/>
        <v>0.963664105704403-0.230470360326345i</v>
      </c>
      <c r="AP344" s="22" t="str">
        <f t="shared" si="195"/>
        <v>0.148632282397504-0.075407044810723i</v>
      </c>
      <c r="AQ344" s="22" t="str">
        <f t="shared" si="196"/>
        <v>0.851367717602496+0.075407044810723i</v>
      </c>
      <c r="AR344" s="22" t="str">
        <f t="shared" si="197"/>
        <v>0.970809694005639-0.0859862179232257i</v>
      </c>
    </row>
    <row r="345" spans="7:44">
      <c r="G345" s="257">
        <v>26303</v>
      </c>
      <c r="H345" s="256">
        <f t="shared" si="189"/>
        <v>26.303</v>
      </c>
      <c r="I345" s="298">
        <f t="shared" si="169"/>
        <v>25.6817104453905</v>
      </c>
      <c r="J345" s="299">
        <f t="shared" si="170"/>
        <v>1.53184826404246</v>
      </c>
      <c r="K345" s="299">
        <f t="shared" si="171"/>
        <v>1.00010099858317</v>
      </c>
      <c r="L345" s="300">
        <f t="shared" si="172"/>
        <v>0.0142119726505009</v>
      </c>
      <c r="M345" s="299">
        <f t="shared" si="173"/>
        <v>1.00433831449935</v>
      </c>
      <c r="N345" s="300">
        <f t="shared" si="174"/>
        <v>-0.0929805162400422</v>
      </c>
      <c r="O345" s="298">
        <f t="shared" si="175"/>
        <v>47596.7874189241</v>
      </c>
      <c r="P345" s="301">
        <f t="shared" si="176"/>
        <v>1.57077531697356</v>
      </c>
      <c r="Q345" s="320">
        <f t="shared" si="198"/>
        <v>19.8571905339897</v>
      </c>
      <c r="R345" s="321">
        <f t="shared" si="199"/>
        <v>1.52041542508556</v>
      </c>
      <c r="S345" s="298">
        <f t="shared" si="177"/>
        <v>1.00870231300536</v>
      </c>
      <c r="T345" s="301">
        <f t="shared" si="178"/>
        <v>0.131450900198983</v>
      </c>
      <c r="U345" s="316">
        <f t="shared" si="190"/>
        <v>0.965312600380479</v>
      </c>
      <c r="V345" s="317">
        <f t="shared" si="191"/>
        <v>-0.324880548562974</v>
      </c>
      <c r="W345" s="318">
        <f t="shared" si="179"/>
        <v>0.735058424125351</v>
      </c>
      <c r="X345" s="319">
        <f t="shared" si="180"/>
        <v>-121.312820963836</v>
      </c>
      <c r="Y345" s="332">
        <f t="shared" si="181"/>
        <v>58.6871790361642</v>
      </c>
      <c r="AA345" s="22">
        <f t="shared" si="182"/>
        <v>1000000000</v>
      </c>
      <c r="AB345" s="22">
        <f t="shared" si="183"/>
        <v>691847809</v>
      </c>
      <c r="AD345" s="331">
        <f t="shared" si="184"/>
        <v>27.5399925806986</v>
      </c>
      <c r="AE345" s="332">
        <f t="shared" si="185"/>
        <v>-10.4169910684177</v>
      </c>
      <c r="AG345" s="331">
        <f t="shared" si="186"/>
        <v>-0.803710206385431</v>
      </c>
      <c r="AH345" s="332">
        <f t="shared" si="187"/>
        <v>-73.6672612957714</v>
      </c>
      <c r="AJ345" s="22">
        <f t="shared" si="188"/>
        <v>0</v>
      </c>
      <c r="AK345" s="22">
        <f t="shared" si="168"/>
        <v>0</v>
      </c>
      <c r="AM345" s="22" t="str">
        <f t="shared" si="192"/>
        <v>0.109425829774043+0.454838045161514i</v>
      </c>
      <c r="AN345" s="22" t="str">
        <f t="shared" si="193"/>
        <v>0.472190351274i</v>
      </c>
      <c r="AO345" s="22" t="str">
        <f t="shared" si="194"/>
        <v>0.963251459785935-0.231740927104514i</v>
      </c>
      <c r="AP345" s="22" t="str">
        <f t="shared" si="195"/>
        <v>0.148429028370993-0.0758063408602523i</v>
      </c>
      <c r="AQ345" s="22" t="str">
        <f t="shared" si="196"/>
        <v>0.851570971629007+0.0758063408602523i</v>
      </c>
      <c r="AR345" s="22" t="str">
        <f t="shared" si="197"/>
        <v>0.970501409322662-0.0863934576113291i</v>
      </c>
    </row>
    <row r="346" spans="7:44">
      <c r="G346" s="257">
        <v>26456</v>
      </c>
      <c r="H346" s="256">
        <f t="shared" si="189"/>
        <v>26.456</v>
      </c>
      <c r="I346" s="298">
        <f t="shared" si="169"/>
        <v>25.8308706686299</v>
      </c>
      <c r="J346" s="299">
        <f t="shared" si="170"/>
        <v>1.53207328222852</v>
      </c>
      <c r="K346" s="299">
        <f t="shared" si="171"/>
        <v>1.00010217692288</v>
      </c>
      <c r="L346" s="300">
        <f t="shared" si="172"/>
        <v>0.014294630007969</v>
      </c>
      <c r="M346" s="299">
        <f t="shared" si="173"/>
        <v>1.00438882114549</v>
      </c>
      <c r="N346" s="300">
        <f t="shared" si="174"/>
        <v>-0.0935182289423698</v>
      </c>
      <c r="O346" s="298">
        <f t="shared" si="175"/>
        <v>47873.6496959226</v>
      </c>
      <c r="P346" s="301">
        <f t="shared" si="176"/>
        <v>1.57077543847728</v>
      </c>
      <c r="Q346" s="320">
        <f t="shared" si="198"/>
        <v>19.9724042874714</v>
      </c>
      <c r="R346" s="321">
        <f t="shared" si="199"/>
        <v>1.52070629874803</v>
      </c>
      <c r="S346" s="298">
        <f t="shared" si="177"/>
        <v>1.00880340410524</v>
      </c>
      <c r="T346" s="301">
        <f t="shared" si="178"/>
        <v>0.13220667389263</v>
      </c>
      <c r="U346" s="316">
        <f t="shared" si="190"/>
        <v>0.964932005176335</v>
      </c>
      <c r="V346" s="317">
        <f t="shared" si="191"/>
        <v>-0.326706735428723</v>
      </c>
      <c r="W346" s="318">
        <f t="shared" si="179"/>
        <v>0.680780702439507</v>
      </c>
      <c r="X346" s="319">
        <f t="shared" si="180"/>
        <v>-121.483062878453</v>
      </c>
      <c r="Y346" s="332">
        <f t="shared" si="181"/>
        <v>58.5169371215475</v>
      </c>
      <c r="AA346" s="22">
        <f t="shared" si="182"/>
        <v>1000000000</v>
      </c>
      <c r="AB346" s="22">
        <f t="shared" si="183"/>
        <v>699919936</v>
      </c>
      <c r="AD346" s="331">
        <f t="shared" si="184"/>
        <v>27.5389951068831</v>
      </c>
      <c r="AE346" s="332">
        <f t="shared" si="185"/>
        <v>-10.4436348397807</v>
      </c>
      <c r="AG346" s="331">
        <f t="shared" si="186"/>
        <v>-0.850139906976297</v>
      </c>
      <c r="AH346" s="332">
        <f t="shared" si="187"/>
        <v>-73.601593838767</v>
      </c>
      <c r="AJ346" s="22">
        <f t="shared" si="188"/>
        <v>0</v>
      </c>
      <c r="AK346" s="22">
        <f t="shared" ref="AK346:AK409" si="200">IF(AJ346&gt;0,Y346,0)</f>
        <v>0</v>
      </c>
      <c r="AM346" s="22" t="str">
        <f t="shared" si="192"/>
        <v>0.110678468207255+0.457282421584087i</v>
      </c>
      <c r="AN346" s="22" t="str">
        <f t="shared" si="193"/>
        <v>0.474937000848i</v>
      </c>
      <c r="AO346" s="22" t="str">
        <f t="shared" si="194"/>
        <v>0.962827534531126-0.233038209298578i</v>
      </c>
      <c r="AP346" s="22" t="str">
        <f t="shared" si="195"/>
        <v>0.148220255298791-0.0762137369306812i</v>
      </c>
      <c r="AQ346" s="22" t="str">
        <f t="shared" si="196"/>
        <v>0.851779744701209+0.0762137369306812i</v>
      </c>
      <c r="AR346" s="22" t="str">
        <f t="shared" si="197"/>
        <v>0.97018511045094-0.0868081604921344i</v>
      </c>
    </row>
    <row r="347" spans="7:44">
      <c r="G347" s="257">
        <v>26609</v>
      </c>
      <c r="H347" s="256">
        <f t="shared" si="189"/>
        <v>26.609</v>
      </c>
      <c r="I347" s="298">
        <f t="shared" si="169"/>
        <v>25.9800321847503</v>
      </c>
      <c r="J347" s="299">
        <f t="shared" si="170"/>
        <v>1.53229571659108</v>
      </c>
      <c r="K347" s="299">
        <f t="shared" si="171"/>
        <v>1.0001033620955</v>
      </c>
      <c r="L347" s="300">
        <f t="shared" si="172"/>
        <v>0.0143772871700956</v>
      </c>
      <c r="M347" s="299">
        <f t="shared" si="173"/>
        <v>1.0044396181663</v>
      </c>
      <c r="N347" s="300">
        <f t="shared" si="174"/>
        <v>-0.0940558874131909</v>
      </c>
      <c r="O347" s="298">
        <f t="shared" si="175"/>
        <v>48150.5119729217</v>
      </c>
      <c r="P347" s="301">
        <f t="shared" si="176"/>
        <v>1.57077555858374</v>
      </c>
      <c r="Q347" s="320">
        <f t="shared" si="198"/>
        <v>20.0876197113839</v>
      </c>
      <c r="R347" s="321">
        <f t="shared" si="199"/>
        <v>1.52099383573938</v>
      </c>
      <c r="S347" s="298">
        <f t="shared" si="177"/>
        <v>1.00890507131178</v>
      </c>
      <c r="T347" s="301">
        <f t="shared" si="178"/>
        <v>0.132962295699417</v>
      </c>
      <c r="U347" s="316">
        <f t="shared" si="190"/>
        <v>0.964549630032161</v>
      </c>
      <c r="V347" s="317">
        <f t="shared" si="191"/>
        <v>-0.328531877167556</v>
      </c>
      <c r="W347" s="318">
        <f t="shared" si="179"/>
        <v>0.626774659658035</v>
      </c>
      <c r="X347" s="319">
        <f t="shared" si="180"/>
        <v>-121.653276168122</v>
      </c>
      <c r="Y347" s="332">
        <f t="shared" si="181"/>
        <v>58.3467238318783</v>
      </c>
      <c r="AA347" s="22">
        <f t="shared" si="182"/>
        <v>1000000000</v>
      </c>
      <c r="AB347" s="22">
        <f t="shared" si="183"/>
        <v>708038881</v>
      </c>
      <c r="AD347" s="331">
        <f t="shared" si="184"/>
        <v>27.5379949417147</v>
      </c>
      <c r="AE347" s="332">
        <f t="shared" si="185"/>
        <v>-10.4704610057828</v>
      </c>
      <c r="AG347" s="331">
        <f t="shared" si="186"/>
        <v>-0.896260477602261</v>
      </c>
      <c r="AH347" s="332">
        <f t="shared" si="187"/>
        <v>-73.535835124898</v>
      </c>
      <c r="AJ347" s="22">
        <f t="shared" si="188"/>
        <v>0</v>
      </c>
      <c r="AK347" s="22">
        <f t="shared" si="200"/>
        <v>0</v>
      </c>
      <c r="AM347" s="22" t="str">
        <f t="shared" si="192"/>
        <v>0.111937815752485+0.459723348231882i</v>
      </c>
      <c r="AN347" s="22" t="str">
        <f t="shared" si="193"/>
        <v>0.477683650422i</v>
      </c>
      <c r="AO347" s="22" t="str">
        <f t="shared" si="194"/>
        <v>0.96240126247936-0.234334618012561i</v>
      </c>
      <c r="AP347" s="22" t="str">
        <f t="shared" si="195"/>
        <v>0.148010364041253-0.076620558038647i</v>
      </c>
      <c r="AQ347" s="22" t="str">
        <f t="shared" si="196"/>
        <v>0.851989635958747+0.076620558038647i</v>
      </c>
      <c r="AR347" s="22" t="str">
        <f t="shared" si="197"/>
        <v>0.96986748135762-0.0872214690282407i</v>
      </c>
    </row>
    <row r="348" spans="7:44">
      <c r="G348" s="257">
        <v>26762</v>
      </c>
      <c r="H348" s="256">
        <f t="shared" si="189"/>
        <v>26.762</v>
      </c>
      <c r="I348" s="298">
        <f t="shared" si="169"/>
        <v>26.12919497161</v>
      </c>
      <c r="J348" s="299">
        <f t="shared" si="170"/>
        <v>1.53251561135847</v>
      </c>
      <c r="K348" s="299">
        <f t="shared" si="171"/>
        <v>1.00010455410103</v>
      </c>
      <c r="L348" s="300">
        <f t="shared" si="172"/>
        <v>0.014459944135752</v>
      </c>
      <c r="M348" s="299">
        <f t="shared" si="173"/>
        <v>1.00449070551771</v>
      </c>
      <c r="N348" s="300">
        <f t="shared" si="174"/>
        <v>-0.0945934913499075</v>
      </c>
      <c r="O348" s="298">
        <f t="shared" si="175"/>
        <v>48427.3742499215</v>
      </c>
      <c r="P348" s="301">
        <f t="shared" si="176"/>
        <v>1.57077567731688</v>
      </c>
      <c r="Q348" s="320">
        <f t="shared" si="198"/>
        <v>20.2028367771482</v>
      </c>
      <c r="R348" s="321">
        <f t="shared" si="199"/>
        <v>1.5212780930989</v>
      </c>
      <c r="S348" s="298">
        <f t="shared" si="177"/>
        <v>1.00900731445084</v>
      </c>
      <c r="T348" s="301">
        <f t="shared" si="178"/>
        <v>0.133717764802521</v>
      </c>
      <c r="U348" s="316">
        <f t="shared" si="190"/>
        <v>0.964165481542444</v>
      </c>
      <c r="V348" s="317">
        <f t="shared" si="191"/>
        <v>-0.33035596940584</v>
      </c>
      <c r="W348" s="318">
        <f t="shared" si="179"/>
        <v>0.573036986116995</v>
      </c>
      <c r="X348" s="319">
        <f t="shared" si="180"/>
        <v>-121.823459785537</v>
      </c>
      <c r="Y348" s="332">
        <f t="shared" si="181"/>
        <v>58.1765402144629</v>
      </c>
      <c r="AA348" s="22">
        <f t="shared" si="182"/>
        <v>1000000000</v>
      </c>
      <c r="AB348" s="22">
        <f t="shared" si="183"/>
        <v>716204644</v>
      </c>
      <c r="AD348" s="331">
        <f t="shared" si="184"/>
        <v>27.5369920385378</v>
      </c>
      <c r="AE348" s="332">
        <f t="shared" si="185"/>
        <v>-10.4974662528859</v>
      </c>
      <c r="AG348" s="331">
        <f t="shared" si="186"/>
        <v>-0.942075259813816</v>
      </c>
      <c r="AH348" s="332">
        <f t="shared" si="187"/>
        <v>-73.469987921579</v>
      </c>
      <c r="AJ348" s="22">
        <f t="shared" si="188"/>
        <v>0</v>
      </c>
      <c r="AK348" s="22">
        <f t="shared" si="200"/>
        <v>0</v>
      </c>
      <c r="AM348" s="22" t="str">
        <f t="shared" si="192"/>
        <v>0.113203862909112+0.462160806690355i</v>
      </c>
      <c r="AN348" s="22" t="str">
        <f t="shared" si="193"/>
        <v>0.480430299996i</v>
      </c>
      <c r="AO348" s="22" t="str">
        <f t="shared" si="194"/>
        <v>0.961972645551712-0.235630148452449i</v>
      </c>
      <c r="AP348" s="22" t="str">
        <f t="shared" si="195"/>
        <v>0.147799356181815-0.0770268011150592i</v>
      </c>
      <c r="AQ348" s="22" t="str">
        <f t="shared" si="196"/>
        <v>0.852200643818185+0.0770268011150592i</v>
      </c>
      <c r="AR348" s="22" t="str">
        <f t="shared" si="197"/>
        <v>0.969548529633269-0.0876333787180205i</v>
      </c>
    </row>
    <row r="349" spans="7:44">
      <c r="G349" s="257">
        <v>26915</v>
      </c>
      <c r="H349" s="256">
        <f t="shared" si="189"/>
        <v>26.915</v>
      </c>
      <c r="I349" s="298">
        <f t="shared" si="169"/>
        <v>26.2783590075699</v>
      </c>
      <c r="J349" s="299">
        <f t="shared" si="170"/>
        <v>1.53273300975581</v>
      </c>
      <c r="K349" s="299">
        <f t="shared" si="171"/>
        <v>1.00010575293942</v>
      </c>
      <c r="L349" s="300">
        <f t="shared" si="172"/>
        <v>0.0145426009038093</v>
      </c>
      <c r="M349" s="299">
        <f t="shared" si="173"/>
        <v>1.00454208315543</v>
      </c>
      <c r="N349" s="300">
        <f t="shared" si="174"/>
        <v>-0.0951310404501093</v>
      </c>
      <c r="O349" s="298">
        <f t="shared" si="175"/>
        <v>48704.2365269221</v>
      </c>
      <c r="P349" s="301">
        <f t="shared" si="176"/>
        <v>1.57077579470013</v>
      </c>
      <c r="Q349" s="320">
        <f t="shared" si="198"/>
        <v>20.3180554568329</v>
      </c>
      <c r="R349" s="321">
        <f t="shared" si="199"/>
        <v>1.52155912657421</v>
      </c>
      <c r="S349" s="298">
        <f t="shared" si="177"/>
        <v>1.00911013334735</v>
      </c>
      <c r="T349" s="301">
        <f t="shared" si="178"/>
        <v>0.134473080386147</v>
      </c>
      <c r="U349" s="316">
        <f t="shared" si="190"/>
        <v>0.963779566318222</v>
      </c>
      <c r="V349" s="317">
        <f t="shared" si="191"/>
        <v>-0.332179007795002</v>
      </c>
      <c r="W349" s="318">
        <f t="shared" si="179"/>
        <v>0.519564429821732</v>
      </c>
      <c r="X349" s="319">
        <f t="shared" si="180"/>
        <v>-121.993612701396</v>
      </c>
      <c r="Y349" s="332">
        <f t="shared" si="181"/>
        <v>58.006387298604</v>
      </c>
      <c r="AA349" s="22">
        <f t="shared" si="182"/>
        <v>1000000000</v>
      </c>
      <c r="AB349" s="22">
        <f t="shared" si="183"/>
        <v>724417225</v>
      </c>
      <c r="AD349" s="331">
        <f t="shared" si="184"/>
        <v>27.5359863521151</v>
      </c>
      <c r="AE349" s="332">
        <f t="shared" si="185"/>
        <v>-10.524647341587</v>
      </c>
      <c r="AG349" s="331">
        <f t="shared" si="186"/>
        <v>-0.987587539158558</v>
      </c>
      <c r="AH349" s="332">
        <f t="shared" si="187"/>
        <v>-73.4040549373196</v>
      </c>
      <c r="AJ349" s="22">
        <f t="shared" si="188"/>
        <v>0</v>
      </c>
      <c r="AK349" s="22">
        <f t="shared" si="200"/>
        <v>0</v>
      </c>
      <c r="AM349" s="22" t="str">
        <f t="shared" si="192"/>
        <v>0.114476600125979+0.464594778571127i</v>
      </c>
      <c r="AN349" s="22" t="str">
        <f t="shared" si="193"/>
        <v>0.48317694957i</v>
      </c>
      <c r="AO349" s="22" t="str">
        <f t="shared" si="194"/>
        <v>0.961541685679729-0.236924795828643i</v>
      </c>
      <c r="AP349" s="22" t="str">
        <f t="shared" si="195"/>
        <v>0.147587233312337-0.0774324630951878i</v>
      </c>
      <c r="AQ349" s="22" t="str">
        <f t="shared" si="196"/>
        <v>0.852412766687663+0.0774324630951878i</v>
      </c>
      <c r="AR349" s="22" t="str">
        <f t="shared" si="197"/>
        <v>0.969228262882408-0.0880438851098935i</v>
      </c>
    </row>
    <row r="350" spans="7:44">
      <c r="G350" s="257">
        <v>27071.75</v>
      </c>
      <c r="H350" s="256">
        <f t="shared" si="189"/>
        <v>27.07175</v>
      </c>
      <c r="I350" s="298">
        <f t="shared" si="169"/>
        <v>26.4311802980906</v>
      </c>
      <c r="J350" s="299">
        <f t="shared" si="170"/>
        <v>1.53295319181511</v>
      </c>
      <c r="K350" s="299">
        <f t="shared" si="171"/>
        <v>1.00010698824722</v>
      </c>
      <c r="L350" s="300">
        <f t="shared" si="172"/>
        <v>0.0146272833669414</v>
      </c>
      <c r="M350" s="299">
        <f t="shared" si="173"/>
        <v>1.0045950210482</v>
      </c>
      <c r="N350" s="300">
        <f t="shared" si="174"/>
        <v>-0.0956817075883378</v>
      </c>
      <c r="O350" s="298">
        <f t="shared" si="175"/>
        <v>48987.8846440458</v>
      </c>
      <c r="P350" s="301">
        <f t="shared" si="176"/>
        <v>1.57077591358442</v>
      </c>
      <c r="Q350" s="320">
        <f t="shared" si="198"/>
        <v>20.4360997689645</v>
      </c>
      <c r="R350" s="321">
        <f t="shared" si="199"/>
        <v>1.52184376171304</v>
      </c>
      <c r="S350" s="298">
        <f t="shared" si="177"/>
        <v>1.00921606922881</v>
      </c>
      <c r="T350" s="301">
        <f t="shared" si="178"/>
        <v>0.135246748545078</v>
      </c>
      <c r="U350" s="316">
        <f t="shared" si="190"/>
        <v>0.963382367098066</v>
      </c>
      <c r="V350" s="317">
        <f t="shared" si="191"/>
        <v>-0.334045631067312</v>
      </c>
      <c r="W350" s="318">
        <f t="shared" si="179"/>
        <v>0.465052874687173</v>
      </c>
      <c r="X350" s="319">
        <f t="shared" si="180"/>
        <v>-122.167903134625</v>
      </c>
      <c r="Y350" s="332">
        <f t="shared" si="181"/>
        <v>57.832096865375</v>
      </c>
      <c r="AA350" s="22">
        <f t="shared" si="182"/>
        <v>1000000000</v>
      </c>
      <c r="AB350" s="22">
        <f t="shared" si="183"/>
        <v>732879648.0625</v>
      </c>
      <c r="AD350" s="331">
        <f t="shared" si="184"/>
        <v>27.5349530842535</v>
      </c>
      <c r="AE350" s="332">
        <f t="shared" si="185"/>
        <v>-10.5526736812813</v>
      </c>
      <c r="AG350" s="331">
        <f t="shared" si="186"/>
        <v>-1.03390497797419</v>
      </c>
      <c r="AH350" s="332">
        <f t="shared" si="187"/>
        <v>-73.3364197597212</v>
      </c>
      <c r="AJ350" s="22">
        <f t="shared" si="188"/>
        <v>0</v>
      </c>
      <c r="AK350" s="22">
        <f t="shared" si="200"/>
        <v>0</v>
      </c>
      <c r="AM350" s="22" t="str">
        <f t="shared" si="192"/>
        <v>0.115787459871082+0.46708477161942i</v>
      </c>
      <c r="AN350" s="22" t="str">
        <f t="shared" si="193"/>
        <v>0.4859909189865i</v>
      </c>
      <c r="AO350" s="22" t="str">
        <f t="shared" si="194"/>
        <v>0.961097735310554-0.238250253960606i</v>
      </c>
      <c r="AP350" s="22" t="str">
        <f t="shared" si="195"/>
        <v>0.147368756688153-0.07784746193657i</v>
      </c>
      <c r="AQ350" s="22" t="str">
        <f t="shared" si="196"/>
        <v>0.852631243311847+0.07784746193657i</v>
      </c>
      <c r="AR350" s="22" t="str">
        <f t="shared" si="197"/>
        <v>0.96889879065331-0.0884629930200497i</v>
      </c>
    </row>
    <row r="351" spans="7:44">
      <c r="G351" s="257">
        <v>27228.5</v>
      </c>
      <c r="H351" s="256">
        <f t="shared" si="189"/>
        <v>27.2285</v>
      </c>
      <c r="I351" s="298">
        <f t="shared" si="169"/>
        <v>26.5840028552661</v>
      </c>
      <c r="J351" s="299">
        <f t="shared" si="170"/>
        <v>1.53317084237855</v>
      </c>
      <c r="K351" s="299">
        <f t="shared" si="171"/>
        <v>1.00010823072688</v>
      </c>
      <c r="L351" s="300">
        <f t="shared" si="172"/>
        <v>0.014711965620271</v>
      </c>
      <c r="M351" s="299">
        <f t="shared" si="173"/>
        <v>1.00464826353648</v>
      </c>
      <c r="N351" s="300">
        <f t="shared" si="174"/>
        <v>-0.0962323165270406</v>
      </c>
      <c r="O351" s="298">
        <f t="shared" si="175"/>
        <v>49271.5327611703</v>
      </c>
      <c r="P351" s="301">
        <f t="shared" si="176"/>
        <v>1.57077603109992</v>
      </c>
      <c r="Q351" s="320">
        <f t="shared" si="198"/>
        <v>20.5541457177535</v>
      </c>
      <c r="R351" s="321">
        <f t="shared" si="199"/>
        <v>1.52212512745859</v>
      </c>
      <c r="S351" s="298">
        <f t="shared" si="177"/>
        <v>1.00932260906206</v>
      </c>
      <c r="T351" s="301">
        <f t="shared" si="178"/>
        <v>0.136020253836629</v>
      </c>
      <c r="U351" s="316">
        <f t="shared" si="190"/>
        <v>0.962983327577661</v>
      </c>
      <c r="V351" s="317">
        <f t="shared" si="191"/>
        <v>-0.335911139038375</v>
      </c>
      <c r="W351" s="318">
        <f t="shared" si="179"/>
        <v>0.410812861564881</v>
      </c>
      <c r="X351" s="319">
        <f t="shared" si="180"/>
        <v>-122.342159211602</v>
      </c>
      <c r="Y351" s="332">
        <f t="shared" si="181"/>
        <v>57.6578407883983</v>
      </c>
      <c r="AA351" s="22">
        <f t="shared" si="182"/>
        <v>1000000000</v>
      </c>
      <c r="AB351" s="22">
        <f t="shared" si="183"/>
        <v>741391212.25</v>
      </c>
      <c r="AD351" s="331">
        <f t="shared" si="184"/>
        <v>27.5339168032749</v>
      </c>
      <c r="AE351" s="332">
        <f t="shared" si="185"/>
        <v>-10.580877933373</v>
      </c>
      <c r="AG351" s="331">
        <f t="shared" si="186"/>
        <v>-1.07991171051475</v>
      </c>
      <c r="AH351" s="332">
        <f t="shared" si="187"/>
        <v>-73.2687001175821</v>
      </c>
      <c r="AJ351" s="22">
        <f t="shared" si="188"/>
        <v>0</v>
      </c>
      <c r="AK351" s="22">
        <f t="shared" si="200"/>
        <v>0</v>
      </c>
      <c r="AM351" s="22" t="str">
        <f t="shared" si="192"/>
        <v>0.117105321181254+0.469571066094946i</v>
      </c>
      <c r="AN351" s="22" t="str">
        <f t="shared" si="193"/>
        <v>0.488804888403i</v>
      </c>
      <c r="AO351" s="22" t="str">
        <f t="shared" si="194"/>
        <v>0.960651329877461-0.239574775047473i</v>
      </c>
      <c r="AP351" s="22" t="str">
        <f t="shared" si="195"/>
        <v>0.147149113136458-0.0782618443491577i</v>
      </c>
      <c r="AQ351" s="22" t="str">
        <f t="shared" si="196"/>
        <v>0.852850886863542+0.0782618443491577i</v>
      </c>
      <c r="AR351" s="22" t="str">
        <f t="shared" si="197"/>
        <v>0.968567954348242-0.0888806187017692i</v>
      </c>
    </row>
    <row r="352" spans="7:44">
      <c r="G352" s="257">
        <v>27385.25</v>
      </c>
      <c r="H352" s="256">
        <f t="shared" si="189"/>
        <v>27.38525</v>
      </c>
      <c r="I352" s="298">
        <f t="shared" si="169"/>
        <v>26.7368266573766</v>
      </c>
      <c r="J352" s="299">
        <f t="shared" si="170"/>
        <v>1.53338600483434</v>
      </c>
      <c r="K352" s="299">
        <f t="shared" si="171"/>
        <v>1.00010948037839</v>
      </c>
      <c r="L352" s="300">
        <f t="shared" si="172"/>
        <v>0.0147966476625845</v>
      </c>
      <c r="M352" s="299">
        <f t="shared" si="173"/>
        <v>1.00470181057184</v>
      </c>
      <c r="N352" s="300">
        <f t="shared" si="174"/>
        <v>-0.0967828669416405</v>
      </c>
      <c r="O352" s="298">
        <f t="shared" si="175"/>
        <v>49555.1808782954</v>
      </c>
      <c r="P352" s="301">
        <f t="shared" si="176"/>
        <v>1.57077614727013</v>
      </c>
      <c r="Q352" s="320">
        <f t="shared" si="198"/>
        <v>20.672193275162</v>
      </c>
      <c r="R352" s="321">
        <f t="shared" si="199"/>
        <v>1.52240327977506</v>
      </c>
      <c r="S352" s="298">
        <f t="shared" si="177"/>
        <v>1.00942975265588</v>
      </c>
      <c r="T352" s="301">
        <f t="shared" si="178"/>
        <v>0.136793595386926</v>
      </c>
      <c r="U352" s="316">
        <f t="shared" si="190"/>
        <v>0.962582454918287</v>
      </c>
      <c r="V352" s="317">
        <f t="shared" si="191"/>
        <v>-0.337775527114074</v>
      </c>
      <c r="W352" s="318">
        <f t="shared" si="179"/>
        <v>0.356841073266923</v>
      </c>
      <c r="X352" s="319">
        <f t="shared" si="180"/>
        <v>-122.516379881301</v>
      </c>
      <c r="Y352" s="332">
        <f t="shared" si="181"/>
        <v>57.4836201186988</v>
      </c>
      <c r="AA352" s="22">
        <f t="shared" si="182"/>
        <v>1000000000</v>
      </c>
      <c r="AB352" s="22">
        <f t="shared" si="183"/>
        <v>749951917.5625</v>
      </c>
      <c r="AD352" s="331">
        <f t="shared" si="184"/>
        <v>27.5328774648617</v>
      </c>
      <c r="AE352" s="332">
        <f t="shared" si="185"/>
        <v>-10.6092568426269</v>
      </c>
      <c r="AG352" s="331">
        <f t="shared" si="186"/>
        <v>-1.12561109516709</v>
      </c>
      <c r="AH352" s="332">
        <f t="shared" si="187"/>
        <v>-73.2008987415596</v>
      </c>
      <c r="AJ352" s="22">
        <f t="shared" si="188"/>
        <v>0</v>
      </c>
      <c r="AK352" s="22">
        <f t="shared" si="200"/>
        <v>0</v>
      </c>
      <c r="AM352" s="22" t="str">
        <f t="shared" si="192"/>
        <v>0.11843017362112+0.472053642310183i</v>
      </c>
      <c r="AN352" s="22" t="str">
        <f t="shared" si="193"/>
        <v>0.4916188578195i</v>
      </c>
      <c r="AO352" s="22" t="str">
        <f t="shared" si="194"/>
        <v>0.960202471491644-0.240898353953302i</v>
      </c>
      <c r="AP352" s="22" t="str">
        <f t="shared" si="195"/>
        <v>0.14692830439648-0.0786756070516972i</v>
      </c>
      <c r="AQ352" s="22" t="str">
        <f t="shared" si="196"/>
        <v>0.85307169560352+0.0786756070516972i</v>
      </c>
      <c r="AR352" s="22" t="str">
        <f t="shared" si="197"/>
        <v>0.96823576218774-0.0892967575314883i</v>
      </c>
    </row>
    <row r="353" spans="7:44">
      <c r="G353" s="257">
        <v>27542</v>
      </c>
      <c r="H353" s="256">
        <f t="shared" si="189"/>
        <v>27.542</v>
      </c>
      <c r="I353" s="298">
        <f t="shared" si="169"/>
        <v>26.8896516831959</v>
      </c>
      <c r="J353" s="299">
        <f t="shared" si="170"/>
        <v>1.5335987215852</v>
      </c>
      <c r="K353" s="299">
        <f t="shared" si="171"/>
        <v>1.00011073720171</v>
      </c>
      <c r="L353" s="300">
        <f t="shared" si="172"/>
        <v>0.014881329492668</v>
      </c>
      <c r="M353" s="299">
        <f t="shared" si="173"/>
        <v>1.0047556621056</v>
      </c>
      <c r="N353" s="300">
        <f t="shared" si="174"/>
        <v>-0.097333358507771</v>
      </c>
      <c r="O353" s="298">
        <f t="shared" si="175"/>
        <v>49838.8289954211</v>
      </c>
      <c r="P353" s="301">
        <f t="shared" si="176"/>
        <v>1.57077626211801</v>
      </c>
      <c r="Q353" s="320">
        <f t="shared" si="198"/>
        <v>20.7902424137888</v>
      </c>
      <c r="R353" s="321">
        <f t="shared" si="199"/>
        <v>1.52267827335757</v>
      </c>
      <c r="S353" s="298">
        <f t="shared" si="177"/>
        <v>1.00953749981804</v>
      </c>
      <c r="T353" s="301">
        <f t="shared" si="178"/>
        <v>0.137566772323245</v>
      </c>
      <c r="U353" s="316">
        <f t="shared" si="190"/>
        <v>0.962179756298167</v>
      </c>
      <c r="V353" s="317">
        <f t="shared" si="191"/>
        <v>-0.339638790728071</v>
      </c>
      <c r="W353" s="318">
        <f t="shared" si="179"/>
        <v>0.303134250533741</v>
      </c>
      <c r="X353" s="319">
        <f t="shared" si="180"/>
        <v>-122.690564110586</v>
      </c>
      <c r="Y353" s="332">
        <f t="shared" si="181"/>
        <v>57.309435889414</v>
      </c>
      <c r="AA353" s="22">
        <f t="shared" si="182"/>
        <v>1000000000</v>
      </c>
      <c r="AB353" s="22">
        <f t="shared" si="183"/>
        <v>758561764</v>
      </c>
      <c r="AD353" s="331">
        <f t="shared" si="184"/>
        <v>27.5318350260602</v>
      </c>
      <c r="AE353" s="332">
        <f t="shared" si="185"/>
        <v>-10.6378072265554</v>
      </c>
      <c r="AG353" s="331">
        <f t="shared" si="186"/>
        <v>-1.17100643401371</v>
      </c>
      <c r="AH353" s="332">
        <f t="shared" si="187"/>
        <v>-73.1330183042674</v>
      </c>
      <c r="AJ353" s="22">
        <f t="shared" si="188"/>
        <v>0</v>
      </c>
      <c r="AK353" s="22">
        <f t="shared" si="200"/>
        <v>0</v>
      </c>
      <c r="AM353" s="22" t="str">
        <f t="shared" si="192"/>
        <v>0.119762006699941+0.474532480607055i</v>
      </c>
      <c r="AN353" s="22" t="str">
        <f t="shared" si="193"/>
        <v>0.494432827236i</v>
      </c>
      <c r="AO353" s="22" t="str">
        <f t="shared" si="194"/>
        <v>0.959751162275788-0.242220985547096i</v>
      </c>
      <c r="AP353" s="22" t="str">
        <f t="shared" si="195"/>
        <v>0.146706332216677-0.0790887467678425i</v>
      </c>
      <c r="AQ353" s="22" t="str">
        <f t="shared" si="196"/>
        <v>0.853293667783323+0.0790887467678425i</v>
      </c>
      <c r="AR353" s="22" t="str">
        <f t="shared" si="197"/>
        <v>0.967902222406008-0.0897114049407655i</v>
      </c>
    </row>
    <row r="354" spans="7:44">
      <c r="G354" s="257">
        <v>27702.5</v>
      </c>
      <c r="H354" s="256">
        <f t="shared" si="189"/>
        <v>27.7025</v>
      </c>
      <c r="I354" s="298">
        <f t="shared" si="169"/>
        <v>27.0461340564176</v>
      </c>
      <c r="J354" s="299">
        <f t="shared" si="170"/>
        <v>1.53381403636507</v>
      </c>
      <c r="K354" s="299">
        <f t="shared" si="171"/>
        <v>1.00011203152378</v>
      </c>
      <c r="L354" s="300">
        <f t="shared" si="172"/>
        <v>0.0149680369826798</v>
      </c>
      <c r="M354" s="299">
        <f t="shared" si="173"/>
        <v>1.00481111741492</v>
      </c>
      <c r="N354" s="300">
        <f t="shared" si="174"/>
        <v>-0.0978969584129402</v>
      </c>
      <c r="O354" s="298">
        <f t="shared" si="175"/>
        <v>50129.2629526702</v>
      </c>
      <c r="P354" s="301">
        <f t="shared" si="176"/>
        <v>1.57077637836675</v>
      </c>
      <c r="Q354" s="320">
        <f t="shared" si="198"/>
        <v>20.9111173049318</v>
      </c>
      <c r="R354" s="321">
        <f t="shared" si="199"/>
        <v>1.52295662857417</v>
      </c>
      <c r="S354" s="298">
        <f t="shared" si="177"/>
        <v>1.00964844986187</v>
      </c>
      <c r="T354" s="301">
        <f t="shared" si="178"/>
        <v>0.138358274836889</v>
      </c>
      <c r="U354" s="316">
        <f t="shared" si="190"/>
        <v>0.961765539246221</v>
      </c>
      <c r="V354" s="317">
        <f t="shared" si="191"/>
        <v>-0.341545460151654</v>
      </c>
      <c r="W354" s="318">
        <f t="shared" si="179"/>
        <v>0.248413780694125</v>
      </c>
      <c r="X354" s="319">
        <f t="shared" si="180"/>
        <v>-122.868876607463</v>
      </c>
      <c r="Y354" s="332">
        <f t="shared" si="181"/>
        <v>57.1311233925373</v>
      </c>
      <c r="AA354" s="22">
        <f t="shared" si="182"/>
        <v>1000000000</v>
      </c>
      <c r="AB354" s="22">
        <f t="shared" si="183"/>
        <v>767428506.25</v>
      </c>
      <c r="AD354" s="331">
        <f t="shared" si="184"/>
        <v>27.5307643925201</v>
      </c>
      <c r="AE354" s="332">
        <f t="shared" si="185"/>
        <v>-10.6672150615403</v>
      </c>
      <c r="AG354" s="331">
        <f t="shared" si="186"/>
        <v>-1.21717613319437</v>
      </c>
      <c r="AH354" s="332">
        <f t="shared" si="187"/>
        <v>-73.0634347441136</v>
      </c>
      <c r="AJ354" s="22">
        <f t="shared" si="188"/>
        <v>0</v>
      </c>
      <c r="AK354" s="22">
        <f t="shared" si="200"/>
        <v>0</v>
      </c>
      <c r="AM354" s="22" t="str">
        <f t="shared" si="192"/>
        <v>0.121132923937152+0.477066727631199i</v>
      </c>
      <c r="AN354" s="22" t="str">
        <f t="shared" si="193"/>
        <v>0.497314116495i</v>
      </c>
      <c r="AO354" s="22" t="str">
        <f t="shared" si="194"/>
        <v>0.959286518937967-0.243574272113729i</v>
      </c>
      <c r="AP354" s="22" t="str">
        <f t="shared" si="195"/>
        <v>0.146477846010475-0.0795111212718665i</v>
      </c>
      <c r="AQ354" s="22" t="str">
        <f t="shared" si="196"/>
        <v>0.853522153989525+0.0795111212718665i</v>
      </c>
      <c r="AR354" s="22" t="str">
        <f t="shared" si="197"/>
        <v>0.967559315451166-0.0901344220638776i</v>
      </c>
    </row>
    <row r="355" spans="7:44">
      <c r="G355" s="257">
        <v>27863</v>
      </c>
      <c r="H355" s="256">
        <f t="shared" si="189"/>
        <v>27.863</v>
      </c>
      <c r="I355" s="298">
        <f t="shared" si="169"/>
        <v>27.2026176690847</v>
      </c>
      <c r="J355" s="299">
        <f t="shared" si="170"/>
        <v>1.53402687394939</v>
      </c>
      <c r="K355" s="299">
        <f t="shared" si="171"/>
        <v>1.00011333336486</v>
      </c>
      <c r="L355" s="300">
        <f t="shared" si="172"/>
        <v>0.0150547442476104</v>
      </c>
      <c r="M355" s="299">
        <f t="shared" si="173"/>
        <v>1.00486689186205</v>
      </c>
      <c r="N355" s="300">
        <f t="shared" si="174"/>
        <v>-0.098460495932646</v>
      </c>
      <c r="O355" s="298">
        <f t="shared" si="175"/>
        <v>50419.69690992</v>
      </c>
      <c r="P355" s="301">
        <f t="shared" si="176"/>
        <v>1.57077649327623</v>
      </c>
      <c r="Q355" s="320">
        <f t="shared" si="198"/>
        <v>21.0319937976785</v>
      </c>
      <c r="R355" s="321">
        <f t="shared" si="199"/>
        <v>1.52323178424815</v>
      </c>
      <c r="S355" s="298">
        <f t="shared" si="177"/>
        <v>1.00976003228722</v>
      </c>
      <c r="T355" s="301">
        <f t="shared" si="178"/>
        <v>0.139149602917954</v>
      </c>
      <c r="U355" s="316">
        <f t="shared" si="190"/>
        <v>0.961349423106574</v>
      </c>
      <c r="V355" s="317">
        <f t="shared" si="191"/>
        <v>-0.343450941068071</v>
      </c>
      <c r="W355" s="318">
        <f t="shared" si="179"/>
        <v>0.19396437039886</v>
      </c>
      <c r="X355" s="319">
        <f t="shared" si="180"/>
        <v>-123.047148762821</v>
      </c>
      <c r="Y355" s="332">
        <f t="shared" si="181"/>
        <v>56.9528512371788</v>
      </c>
      <c r="AA355" s="22">
        <f t="shared" si="182"/>
        <v>1000000000</v>
      </c>
      <c r="AB355" s="22">
        <f t="shared" si="183"/>
        <v>776346769</v>
      </c>
      <c r="AD355" s="331">
        <f t="shared" si="184"/>
        <v>27.5296904215152</v>
      </c>
      <c r="AE355" s="332">
        <f t="shared" si="185"/>
        <v>-10.6967961458292</v>
      </c>
      <c r="AG355" s="331">
        <f t="shared" si="186"/>
        <v>-1.2630338962298</v>
      </c>
      <c r="AH355" s="332">
        <f t="shared" si="187"/>
        <v>-72.9937737860266</v>
      </c>
      <c r="AJ355" s="22">
        <f t="shared" si="188"/>
        <v>0</v>
      </c>
      <c r="AK355" s="22">
        <f t="shared" si="200"/>
        <v>0</v>
      </c>
      <c r="AM355" s="22" t="str">
        <f t="shared" si="192"/>
        <v>0.122511137372436+0.479597014132265i</v>
      </c>
      <c r="AN355" s="22" t="str">
        <f t="shared" si="193"/>
        <v>0.500195405754i</v>
      </c>
      <c r="AO355" s="22" t="str">
        <f t="shared" si="194"/>
        <v>0.958819310643838-0.244926554628708i</v>
      </c>
      <c r="AP355" s="22" t="str">
        <f t="shared" si="195"/>
        <v>0.146248143771261-0.0799328356887108i</v>
      </c>
      <c r="AQ355" s="22" t="str">
        <f t="shared" si="196"/>
        <v>0.853751856228739+0.0799328356887108i</v>
      </c>
      <c r="AR355" s="22" t="str">
        <f t="shared" si="197"/>
        <v>0.967215013138705-0.0905558660362745i</v>
      </c>
    </row>
    <row r="356" spans="7:44">
      <c r="G356" s="257">
        <v>28023.5</v>
      </c>
      <c r="H356" s="256">
        <f t="shared" si="189"/>
        <v>28.0235</v>
      </c>
      <c r="I356" s="298">
        <f t="shared" si="169"/>
        <v>27.3591024999296</v>
      </c>
      <c r="J356" s="299">
        <f t="shared" si="170"/>
        <v>1.53423727682488</v>
      </c>
      <c r="K356" s="299">
        <f t="shared" si="171"/>
        <v>1.00011464272492</v>
      </c>
      <c r="L356" s="300">
        <f t="shared" si="172"/>
        <v>0.0151414512861568</v>
      </c>
      <c r="M356" s="299">
        <f t="shared" si="173"/>
        <v>1.00492298539382</v>
      </c>
      <c r="N356" s="300">
        <f t="shared" si="174"/>
        <v>-0.0990239707193752</v>
      </c>
      <c r="O356" s="298">
        <f t="shared" si="175"/>
        <v>50710.1308671704</v>
      </c>
      <c r="P356" s="301">
        <f t="shared" si="176"/>
        <v>1.57077660686945</v>
      </c>
      <c r="Q356" s="320">
        <f t="shared" si="198"/>
        <v>21.1528718645724</v>
      </c>
      <c r="R356" s="321">
        <f t="shared" si="199"/>
        <v>1.52350379518883</v>
      </c>
      <c r="S356" s="298">
        <f t="shared" si="177"/>
        <v>1.00987224688448</v>
      </c>
      <c r="T356" s="301">
        <f t="shared" si="178"/>
        <v>0.139940755633367</v>
      </c>
      <c r="U356" s="316">
        <f t="shared" si="190"/>
        <v>0.960931415638134</v>
      </c>
      <c r="V356" s="317">
        <f t="shared" si="191"/>
        <v>-0.345355228666229</v>
      </c>
      <c r="W356" s="318">
        <f t="shared" si="179"/>
        <v>0.139782701100496</v>
      </c>
      <c r="X356" s="319">
        <f t="shared" si="180"/>
        <v>-123.225379522993</v>
      </c>
      <c r="Y356" s="332">
        <f t="shared" si="181"/>
        <v>56.7746204770066</v>
      </c>
      <c r="AA356" s="22">
        <f t="shared" si="182"/>
        <v>1000000000</v>
      </c>
      <c r="AB356" s="22">
        <f t="shared" si="183"/>
        <v>785316552.25</v>
      </c>
      <c r="AD356" s="331">
        <f t="shared" si="184"/>
        <v>27.5286130710871</v>
      </c>
      <c r="AE356" s="332">
        <f t="shared" si="185"/>
        <v>-10.7265472869365</v>
      </c>
      <c r="AG356" s="331">
        <f t="shared" si="186"/>
        <v>-1.30858309261687</v>
      </c>
      <c r="AH356" s="332">
        <f t="shared" si="187"/>
        <v>-72.9240381201352</v>
      </c>
      <c r="AJ356" s="22">
        <f t="shared" si="188"/>
        <v>0</v>
      </c>
      <c r="AK356" s="22">
        <f t="shared" si="200"/>
        <v>0</v>
      </c>
      <c r="AM356" s="22" t="str">
        <f t="shared" si="192"/>
        <v>0.123896635564108+0.482123319104262i</v>
      </c>
      <c r="AN356" s="22" t="str">
        <f t="shared" si="193"/>
        <v>0.503076695013i</v>
      </c>
      <c r="AO356" s="22" t="str">
        <f t="shared" si="194"/>
        <v>0.958349539709454-0.246277827600236i</v>
      </c>
      <c r="AP356" s="22" t="str">
        <f t="shared" si="195"/>
        <v>0.146017227405982-0.080353886517377i</v>
      </c>
      <c r="AQ356" s="22" t="str">
        <f t="shared" si="196"/>
        <v>0.853982772594018+0.080353886517377i</v>
      </c>
      <c r="AR356" s="22" t="str">
        <f t="shared" si="197"/>
        <v>0.966869324349778-0.0909757321332635i</v>
      </c>
    </row>
    <row r="357" spans="7:44">
      <c r="G357" s="257">
        <v>28184</v>
      </c>
      <c r="H357" s="256">
        <f t="shared" si="189"/>
        <v>28.184</v>
      </c>
      <c r="I357" s="298">
        <f t="shared" si="169"/>
        <v>27.5155885281685</v>
      </c>
      <c r="J357" s="299">
        <f t="shared" si="170"/>
        <v>1.53444528651262</v>
      </c>
      <c r="K357" s="299">
        <f t="shared" si="171"/>
        <v>1.00011595960393</v>
      </c>
      <c r="L357" s="300">
        <f t="shared" si="172"/>
        <v>0.0152281580970162</v>
      </c>
      <c r="M357" s="299">
        <f t="shared" si="173"/>
        <v>1.00497939795682</v>
      </c>
      <c r="N357" s="300">
        <f t="shared" si="174"/>
        <v>-0.0995873824258516</v>
      </c>
      <c r="O357" s="298">
        <f t="shared" si="175"/>
        <v>51000.5648244214</v>
      </c>
      <c r="P357" s="301">
        <f t="shared" si="176"/>
        <v>1.57077671916891</v>
      </c>
      <c r="Q357" s="320">
        <f t="shared" si="198"/>
        <v>21.2737514787802</v>
      </c>
      <c r="R357" s="321">
        <f t="shared" si="199"/>
        <v>1.5237727149617</v>
      </c>
      <c r="S357" s="298">
        <f t="shared" si="177"/>
        <v>1.00998509344293</v>
      </c>
      <c r="T357" s="301">
        <f t="shared" si="178"/>
        <v>0.140731732051345</v>
      </c>
      <c r="U357" s="316">
        <f t="shared" si="190"/>
        <v>0.960511524617006</v>
      </c>
      <c r="V357" s="317">
        <f t="shared" si="191"/>
        <v>-0.347258318165783</v>
      </c>
      <c r="W357" s="318">
        <f t="shared" si="179"/>
        <v>0.0858655123030695</v>
      </c>
      <c r="X357" s="319">
        <f t="shared" si="180"/>
        <v>-123.403567852071</v>
      </c>
      <c r="Y357" s="332">
        <f t="shared" si="181"/>
        <v>56.5964321479289</v>
      </c>
      <c r="AA357" s="22">
        <f t="shared" si="182"/>
        <v>1000000000</v>
      </c>
      <c r="AB357" s="22">
        <f t="shared" si="183"/>
        <v>794337856</v>
      </c>
      <c r="AD357" s="331">
        <f t="shared" si="184"/>
        <v>27.5275323005858</v>
      </c>
      <c r="AE357" s="332">
        <f t="shared" si="185"/>
        <v>-10.7564653636873</v>
      </c>
      <c r="AG357" s="331">
        <f t="shared" si="186"/>
        <v>-1.35382703538077</v>
      </c>
      <c r="AH357" s="332">
        <f t="shared" si="187"/>
        <v>-72.8542303794927</v>
      </c>
      <c r="AJ357" s="22">
        <f t="shared" si="188"/>
        <v>0</v>
      </c>
      <c r="AK357" s="22">
        <f t="shared" si="200"/>
        <v>0</v>
      </c>
      <c r="AM357" s="22" t="str">
        <f t="shared" si="192"/>
        <v>0.12528940701001+0.484645621574259i</v>
      </c>
      <c r="AN357" s="22" t="str">
        <f t="shared" si="193"/>
        <v>0.505957984272i</v>
      </c>
      <c r="AO357" s="22" t="str">
        <f t="shared" si="194"/>
        <v>0.957877208463453-0.24762808554209i</v>
      </c>
      <c r="AP357" s="22" t="str">
        <f t="shared" si="195"/>
        <v>0.145785098831665-0.0807742702623765i</v>
      </c>
      <c r="AQ357" s="22" t="str">
        <f t="shared" si="196"/>
        <v>0.854214901168335+0.0807742702623765i</v>
      </c>
      <c r="AR357" s="22" t="str">
        <f t="shared" si="197"/>
        <v>0.966522257978662-0.0913940156906559i</v>
      </c>
    </row>
    <row r="358" spans="7:44">
      <c r="G358" s="257">
        <v>28348</v>
      </c>
      <c r="H358" s="256">
        <f t="shared" si="189"/>
        <v>28.348</v>
      </c>
      <c r="I358" s="298">
        <f t="shared" si="169"/>
        <v>27.6754882400257</v>
      </c>
      <c r="J358" s="299">
        <f t="shared" si="170"/>
        <v>1.53465540241785</v>
      </c>
      <c r="K358" s="299">
        <f t="shared" si="171"/>
        <v>1.00011731296659</v>
      </c>
      <c r="L358" s="300">
        <f t="shared" si="172"/>
        <v>0.0153167554740602</v>
      </c>
      <c r="M358" s="299">
        <f t="shared" si="173"/>
        <v>1.00503737018711</v>
      </c>
      <c r="N358" s="300">
        <f t="shared" si="174"/>
        <v>-0.100163014849217</v>
      </c>
      <c r="O358" s="298">
        <f t="shared" si="175"/>
        <v>51297.3322324543</v>
      </c>
      <c r="P358" s="301">
        <f t="shared" si="176"/>
        <v>1.57077683260375</v>
      </c>
      <c r="Q358" s="320">
        <f t="shared" si="198"/>
        <v>21.3972686680466</v>
      </c>
      <c r="R358" s="321">
        <f t="shared" si="199"/>
        <v>1.52404436048109</v>
      </c>
      <c r="S358" s="298">
        <f t="shared" si="177"/>
        <v>1.01010105339246</v>
      </c>
      <c r="T358" s="301">
        <f t="shared" si="178"/>
        <v>0.141539774102042</v>
      </c>
      <c r="U358" s="316">
        <f t="shared" si="190"/>
        <v>0.96008053959006</v>
      </c>
      <c r="V358" s="317">
        <f t="shared" si="191"/>
        <v>-0.349201665544251</v>
      </c>
      <c r="W358" s="318">
        <f t="shared" si="179"/>
        <v>0.0310424208170353</v>
      </c>
      <c r="X358" s="319">
        <f t="shared" si="180"/>
        <v>-123.585597019127</v>
      </c>
      <c r="Y358" s="332">
        <f t="shared" si="181"/>
        <v>56.4144029808726</v>
      </c>
      <c r="AA358" s="22">
        <f t="shared" si="182"/>
        <v>1000000000</v>
      </c>
      <c r="AB358" s="22">
        <f t="shared" si="183"/>
        <v>803609104</v>
      </c>
      <c r="AD358" s="331">
        <f t="shared" si="184"/>
        <v>27.5264243881503</v>
      </c>
      <c r="AE358" s="332">
        <f t="shared" si="185"/>
        <v>-10.7872051204494</v>
      </c>
      <c r="AG358" s="331">
        <f t="shared" si="186"/>
        <v>-1.39974568436685</v>
      </c>
      <c r="AH358" s="332">
        <f t="shared" si="187"/>
        <v>-72.7828285837045</v>
      </c>
      <c r="AJ358" s="22">
        <f t="shared" si="188"/>
        <v>28348</v>
      </c>
      <c r="AK358" s="22">
        <f t="shared" si="200"/>
        <v>56.4144029808726</v>
      </c>
      <c r="AM358" s="22" t="str">
        <f t="shared" si="192"/>
        <v>0.126720051282016+0.487218771361608i</v>
      </c>
      <c r="AN358" s="22" t="str">
        <f t="shared" si="193"/>
        <v>0.508902105384i</v>
      </c>
      <c r="AO358" s="22" t="str">
        <f t="shared" si="194"/>
        <v>0.957391934926206-0.249006734185934i</v>
      </c>
      <c r="AP358" s="22" t="str">
        <f t="shared" si="195"/>
        <v>0.145546658119664-0.081203128560268i</v>
      </c>
      <c r="AQ358" s="22" t="str">
        <f t="shared" si="196"/>
        <v>0.854453341880336+0.081203128560268i</v>
      </c>
      <c r="AR358" s="22" t="str">
        <f t="shared" si="197"/>
        <v>0.966166209478508-0.0918197812255238i</v>
      </c>
    </row>
    <row r="359" spans="7:44">
      <c r="G359" s="257">
        <v>28512</v>
      </c>
      <c r="H359" s="256">
        <f t="shared" si="189"/>
        <v>28.512</v>
      </c>
      <c r="I359" s="298">
        <f t="shared" si="169"/>
        <v>27.8353891596819</v>
      </c>
      <c r="J359" s="299">
        <f t="shared" si="170"/>
        <v>1.53486310430258</v>
      </c>
      <c r="K359" s="299">
        <f t="shared" si="171"/>
        <v>1.00011867417964</v>
      </c>
      <c r="L359" s="300">
        <f t="shared" si="172"/>
        <v>0.0154053526106284</v>
      </c>
      <c r="M359" s="299">
        <f t="shared" si="173"/>
        <v>1.00509567540075</v>
      </c>
      <c r="N359" s="300">
        <f t="shared" si="174"/>
        <v>-0.100738580678848</v>
      </c>
      <c r="O359" s="298">
        <f t="shared" si="175"/>
        <v>51594.0996404878</v>
      </c>
      <c r="P359" s="301">
        <f t="shared" si="176"/>
        <v>1.57077694473363</v>
      </c>
      <c r="Q359" s="320">
        <f t="shared" si="198"/>
        <v>21.5207874181205</v>
      </c>
      <c r="R359" s="321">
        <f t="shared" si="199"/>
        <v>1.52431288779637</v>
      </c>
      <c r="S359" s="298">
        <f t="shared" si="177"/>
        <v>1.01021767271758</v>
      </c>
      <c r="T359" s="301">
        <f t="shared" si="178"/>
        <v>0.14234763011969</v>
      </c>
      <c r="U359" s="316">
        <f t="shared" si="190"/>
        <v>0.95964760443425</v>
      </c>
      <c r="V359" s="317">
        <f t="shared" si="191"/>
        <v>-0.351143752008151</v>
      </c>
      <c r="W359" s="318">
        <f t="shared" si="179"/>
        <v>-0.0235112324113777</v>
      </c>
      <c r="X359" s="319">
        <f t="shared" si="180"/>
        <v>-123.767579752411</v>
      </c>
      <c r="Y359" s="332">
        <f t="shared" si="181"/>
        <v>56.2324202475893</v>
      </c>
      <c r="AA359" s="22">
        <f t="shared" si="182"/>
        <v>28512</v>
      </c>
      <c r="AB359" s="22">
        <f t="shared" si="183"/>
        <v>812934144</v>
      </c>
      <c r="AD359" s="331">
        <f t="shared" si="184"/>
        <v>27.525312823035</v>
      </c>
      <c r="AE359" s="332">
        <f t="shared" si="185"/>
        <v>-10.81811280347</v>
      </c>
      <c r="AG359" s="331">
        <f t="shared" si="186"/>
        <v>-1.44535244004654</v>
      </c>
      <c r="AH359" s="332">
        <f t="shared" si="187"/>
        <v>-72.7113569180513</v>
      </c>
      <c r="AJ359" s="22">
        <f t="shared" si="188"/>
        <v>0</v>
      </c>
      <c r="AK359" s="22">
        <f t="shared" si="200"/>
        <v>0</v>
      </c>
      <c r="AM359" s="22" t="str">
        <f t="shared" si="192"/>
        <v>0.128158265007391+0.489787698013208i</v>
      </c>
      <c r="AN359" s="22" t="str">
        <f t="shared" si="193"/>
        <v>0.511846226496i</v>
      </c>
      <c r="AO359" s="22" t="str">
        <f t="shared" si="194"/>
        <v>0.956903993150833-0.25038431148499i</v>
      </c>
      <c r="AP359" s="22" t="str">
        <f t="shared" si="195"/>
        <v>0.145306955832101-0.0816312830022013i</v>
      </c>
      <c r="AQ359" s="22" t="str">
        <f t="shared" si="196"/>
        <v>0.854693044167899+0.0816312830022013i</v>
      </c>
      <c r="AR359" s="22" t="str">
        <f t="shared" si="197"/>
        <v>0.965808741474813-0.092243884795022i</v>
      </c>
    </row>
    <row r="360" spans="7:44">
      <c r="G360" s="257">
        <v>28676</v>
      </c>
      <c r="H360" s="256">
        <f t="shared" si="189"/>
        <v>28.676</v>
      </c>
      <c r="I360" s="298">
        <f t="shared" si="169"/>
        <v>27.9952912664413</v>
      </c>
      <c r="J360" s="299">
        <f t="shared" si="170"/>
        <v>1.53506843351358</v>
      </c>
      <c r="K360" s="299">
        <f t="shared" si="171"/>
        <v>1.00012004324306</v>
      </c>
      <c r="L360" s="300">
        <f t="shared" si="172"/>
        <v>0.0154939495053311</v>
      </c>
      <c r="M360" s="299">
        <f t="shared" si="173"/>
        <v>1.0051543135398</v>
      </c>
      <c r="N360" s="300">
        <f t="shared" si="174"/>
        <v>-0.101314079545024</v>
      </c>
      <c r="O360" s="298">
        <f t="shared" si="175"/>
        <v>51890.867048522</v>
      </c>
      <c r="P360" s="301">
        <f t="shared" si="176"/>
        <v>1.57077705558096</v>
      </c>
      <c r="Q360" s="320">
        <f t="shared" si="198"/>
        <v>21.6443077022806</v>
      </c>
      <c r="R360" s="321">
        <f t="shared" si="199"/>
        <v>1.52457835025362</v>
      </c>
      <c r="S360" s="298">
        <f t="shared" si="177"/>
        <v>1.01033495118997</v>
      </c>
      <c r="T360" s="301">
        <f t="shared" si="178"/>
        <v>0.143155299114426</v>
      </c>
      <c r="U360" s="316">
        <f t="shared" si="190"/>
        <v>0.959212727498794</v>
      </c>
      <c r="V360" s="317">
        <f t="shared" si="191"/>
        <v>-0.353084572557278</v>
      </c>
      <c r="W360" s="318">
        <f t="shared" si="179"/>
        <v>-0.0777987465155617</v>
      </c>
      <c r="X360" s="319">
        <f t="shared" si="180"/>
        <v>-123.949515001385</v>
      </c>
      <c r="Y360" s="332">
        <f t="shared" si="181"/>
        <v>56.0504849986146</v>
      </c>
      <c r="AA360" s="22">
        <f t="shared" si="182"/>
        <v>28676</v>
      </c>
      <c r="AB360" s="22">
        <f t="shared" si="183"/>
        <v>822312976</v>
      </c>
      <c r="AD360" s="331">
        <f t="shared" si="184"/>
        <v>27.524197565827</v>
      </c>
      <c r="AE360" s="332">
        <f t="shared" si="185"/>
        <v>-10.8491853008119</v>
      </c>
      <c r="AG360" s="331">
        <f t="shared" si="186"/>
        <v>-1.49065066240396</v>
      </c>
      <c r="AH360" s="332">
        <f t="shared" si="187"/>
        <v>-72.6398180169155</v>
      </c>
      <c r="AJ360" s="22">
        <f t="shared" si="188"/>
        <v>0</v>
      </c>
      <c r="AK360" s="22">
        <f t="shared" si="200"/>
        <v>0</v>
      </c>
      <c r="AM360" s="22" t="str">
        <f t="shared" si="192"/>
        <v>0.129604035719925+0.492352379262006i</v>
      </c>
      <c r="AN360" s="22" t="str">
        <f t="shared" si="193"/>
        <v>0.514790347608i</v>
      </c>
      <c r="AO360" s="22" t="str">
        <f t="shared" si="194"/>
        <v>0.956413385662235-0.251760811604446i</v>
      </c>
      <c r="AP360" s="22" t="str">
        <f t="shared" si="195"/>
        <v>0.145065994046679-0.082058729877001i</v>
      </c>
      <c r="AQ360" s="22" t="str">
        <f t="shared" si="196"/>
        <v>0.854934005953321+0.082058729877001i</v>
      </c>
      <c r="AR360" s="22" t="str">
        <f t="shared" si="197"/>
        <v>0.965449863495857-0.0926663216186532i</v>
      </c>
    </row>
    <row r="361" spans="7:44">
      <c r="G361" s="257">
        <v>28840</v>
      </c>
      <c r="H361" s="256">
        <f t="shared" si="189"/>
        <v>28.84</v>
      </c>
      <c r="I361" s="298">
        <f t="shared" si="169"/>
        <v>28.1551945400782</v>
      </c>
      <c r="J361" s="299">
        <f t="shared" si="170"/>
        <v>1.53527143045913</v>
      </c>
      <c r="K361" s="299">
        <f t="shared" si="171"/>
        <v>1.0001214201568</v>
      </c>
      <c r="L361" s="300">
        <f t="shared" si="172"/>
        <v>0.0155825461567782</v>
      </c>
      <c r="M361" s="299">
        <f t="shared" si="173"/>
        <v>1.00521328454599</v>
      </c>
      <c r="N361" s="300">
        <f t="shared" si="174"/>
        <v>-0.101889511078289</v>
      </c>
      <c r="O361" s="298">
        <f t="shared" si="175"/>
        <v>52187.6344565568</v>
      </c>
      <c r="P361" s="301">
        <f t="shared" si="176"/>
        <v>1.57077716516762</v>
      </c>
      <c r="Q361" s="320">
        <f t="shared" si="198"/>
        <v>21.7678294944116</v>
      </c>
      <c r="R361" s="321">
        <f t="shared" si="199"/>
        <v>1.52484079998982</v>
      </c>
      <c r="S361" s="298">
        <f t="shared" si="177"/>
        <v>1.01045288858012</v>
      </c>
      <c r="T361" s="301">
        <f t="shared" si="178"/>
        <v>0.143962780097823</v>
      </c>
      <c r="U361" s="316">
        <f t="shared" si="190"/>
        <v>0.958775917150052</v>
      </c>
      <c r="V361" s="317">
        <f t="shared" si="191"/>
        <v>-0.355024122225131</v>
      </c>
      <c r="W361" s="318">
        <f t="shared" si="179"/>
        <v>-0.131823362930851</v>
      </c>
      <c r="X361" s="319">
        <f t="shared" si="180"/>
        <v>-124.131401733019</v>
      </c>
      <c r="Y361" s="332">
        <f t="shared" si="181"/>
        <v>55.8685982669806</v>
      </c>
      <c r="AA361" s="22">
        <f t="shared" si="182"/>
        <v>28840</v>
      </c>
      <c r="AB361" s="22">
        <f t="shared" si="183"/>
        <v>831745600</v>
      </c>
      <c r="AD361" s="331">
        <f t="shared" si="184"/>
        <v>27.5230785783584</v>
      </c>
      <c r="AE361" s="332">
        <f t="shared" si="185"/>
        <v>-10.8804195698674</v>
      </c>
      <c r="AG361" s="331">
        <f t="shared" si="186"/>
        <v>-1.53564365525002</v>
      </c>
      <c r="AH361" s="332">
        <f t="shared" si="187"/>
        <v>-72.5682144589916</v>
      </c>
      <c r="AJ361" s="22">
        <f t="shared" si="188"/>
        <v>0</v>
      </c>
      <c r="AK361" s="22">
        <f t="shared" si="200"/>
        <v>0</v>
      </c>
      <c r="AM361" s="22" t="str">
        <f t="shared" si="192"/>
        <v>0.131057350887904+0.494912792877749i</v>
      </c>
      <c r="AN361" s="22" t="str">
        <f t="shared" si="193"/>
        <v>0.51773446872i</v>
      </c>
      <c r="AO361" s="22" t="str">
        <f t="shared" si="194"/>
        <v>0.955920114998962-0.253136228715694i</v>
      </c>
      <c r="AP361" s="22" t="str">
        <f t="shared" si="195"/>
        <v>0.144823774852016-0.0824854654796248i</v>
      </c>
      <c r="AQ361" s="22" t="str">
        <f t="shared" si="196"/>
        <v>0.855176225147984+0.0824854654796248i</v>
      </c>
      <c r="AR361" s="22" t="str">
        <f t="shared" si="197"/>
        <v>0.965089585082132-0.0930870869817063i</v>
      </c>
    </row>
    <row r="362" spans="7:44">
      <c r="G362" s="257">
        <v>29008</v>
      </c>
      <c r="H362" s="256">
        <f t="shared" si="189"/>
        <v>29.008</v>
      </c>
      <c r="I362" s="298">
        <f t="shared" si="169"/>
        <v>28.3189990828129</v>
      </c>
      <c r="J362" s="299">
        <f t="shared" si="170"/>
        <v>1.53547700154402</v>
      </c>
      <c r="K362" s="299">
        <f t="shared" si="171"/>
        <v>1.00012283879365</v>
      </c>
      <c r="L362" s="300">
        <f t="shared" si="172"/>
        <v>0.0156733034484827</v>
      </c>
      <c r="M362" s="299">
        <f t="shared" si="173"/>
        <v>1.00527403895239</v>
      </c>
      <c r="N362" s="300">
        <f t="shared" si="174"/>
        <v>-0.102478907324741</v>
      </c>
      <c r="O362" s="298">
        <f t="shared" si="175"/>
        <v>52491.6400940565</v>
      </c>
      <c r="P362" s="301">
        <f t="shared" si="176"/>
        <v>1.57077727614229</v>
      </c>
      <c r="Q362" s="320">
        <f t="shared" si="198"/>
        <v>21.89436555009</v>
      </c>
      <c r="R362" s="321">
        <f t="shared" si="199"/>
        <v>1.52510658036426</v>
      </c>
      <c r="S362" s="298">
        <f t="shared" si="177"/>
        <v>1.01057438547131</v>
      </c>
      <c r="T362" s="301">
        <f t="shared" si="178"/>
        <v>0.144789759761927</v>
      </c>
      <c r="U362" s="316">
        <f t="shared" si="190"/>
        <v>0.958326456930434</v>
      </c>
      <c r="V362" s="317">
        <f t="shared" si="191"/>
        <v>-0.357009655071436</v>
      </c>
      <c r="W362" s="318">
        <f t="shared" si="179"/>
        <v>-0.186896387843054</v>
      </c>
      <c r="X362" s="319">
        <f t="shared" si="180"/>
        <v>-124.317673357716</v>
      </c>
      <c r="Y362" s="332">
        <f t="shared" si="181"/>
        <v>55.6823266422841</v>
      </c>
      <c r="AA362" s="22">
        <f t="shared" si="182"/>
        <v>29008</v>
      </c>
      <c r="AB362" s="22">
        <f t="shared" si="183"/>
        <v>841464064</v>
      </c>
      <c r="AD362" s="331">
        <f t="shared" si="184"/>
        <v>27.5219283920374</v>
      </c>
      <c r="AE362" s="332">
        <f t="shared" si="185"/>
        <v>-10.9125802790482</v>
      </c>
      <c r="AG362" s="331">
        <f t="shared" si="186"/>
        <v>-1.5814209467101</v>
      </c>
      <c r="AH362" s="332">
        <f t="shared" si="187"/>
        <v>-72.4948000698918</v>
      </c>
      <c r="AJ362" s="22">
        <f t="shared" si="188"/>
        <v>0</v>
      </c>
      <c r="AK362" s="22">
        <f t="shared" si="200"/>
        <v>0</v>
      </c>
      <c r="AM362" s="22" t="str">
        <f t="shared" si="192"/>
        <v>0.13255392231511+0.497531207372061i</v>
      </c>
      <c r="AN362" s="22" t="str">
        <f t="shared" si="193"/>
        <v>0.520750397664i</v>
      </c>
      <c r="AO362" s="22" t="str">
        <f t="shared" si="194"/>
        <v>0.955412054611775-0.254544063546999i</v>
      </c>
      <c r="AP362" s="22" t="str">
        <f t="shared" si="195"/>
        <v>0.144574346280815-0.0829218678953435i</v>
      </c>
      <c r="AQ362" s="22" t="str">
        <f t="shared" si="196"/>
        <v>0.855425653719185+0.0829218678953435i</v>
      </c>
      <c r="AR362" s="22" t="str">
        <f t="shared" si="197"/>
        <v>0.964719077288378-0.0935163769466346i</v>
      </c>
    </row>
    <row r="363" spans="7:44">
      <c r="G363" s="257">
        <v>29176</v>
      </c>
      <c r="H363" s="256">
        <f t="shared" si="189"/>
        <v>29.176</v>
      </c>
      <c r="I363" s="298">
        <f t="shared" si="169"/>
        <v>28.4828048085287</v>
      </c>
      <c r="J363" s="299">
        <f t="shared" si="170"/>
        <v>1.53568020814271</v>
      </c>
      <c r="K363" s="299">
        <f t="shared" si="171"/>
        <v>1.00012426566837</v>
      </c>
      <c r="L363" s="300">
        <f t="shared" si="172"/>
        <v>0.0157640604819684</v>
      </c>
      <c r="M363" s="299">
        <f t="shared" si="173"/>
        <v>1.00533514253658</v>
      </c>
      <c r="N363" s="300">
        <f t="shared" si="174"/>
        <v>-0.103068232129694</v>
      </c>
      <c r="O363" s="298">
        <f t="shared" si="175"/>
        <v>52795.6457315569</v>
      </c>
      <c r="P363" s="301">
        <f t="shared" si="176"/>
        <v>1.57077738583895</v>
      </c>
      <c r="Q363" s="320">
        <f t="shared" si="198"/>
        <v>22.0209031345948</v>
      </c>
      <c r="R363" s="321">
        <f t="shared" si="199"/>
        <v>1.52536930627685</v>
      </c>
      <c r="S363" s="298">
        <f t="shared" si="177"/>
        <v>1.0106965733232</v>
      </c>
      <c r="T363" s="301">
        <f t="shared" si="178"/>
        <v>0.145616540036443</v>
      </c>
      <c r="U363" s="316">
        <f t="shared" si="190"/>
        <v>0.957874985660969</v>
      </c>
      <c r="V363" s="317">
        <f t="shared" si="191"/>
        <v>-0.358993843844244</v>
      </c>
      <c r="W363" s="318">
        <f t="shared" si="179"/>
        <v>-0.241700240354532</v>
      </c>
      <c r="X363" s="319">
        <f t="shared" si="180"/>
        <v>-124.503891929458</v>
      </c>
      <c r="Y363" s="332">
        <f t="shared" si="181"/>
        <v>55.4961080705419</v>
      </c>
      <c r="AA363" s="22">
        <f t="shared" si="182"/>
        <v>29176</v>
      </c>
      <c r="AB363" s="22">
        <f t="shared" si="183"/>
        <v>851238976</v>
      </c>
      <c r="AD363" s="331">
        <f t="shared" si="184"/>
        <v>27.520774214018</v>
      </c>
      <c r="AE363" s="332">
        <f t="shared" si="185"/>
        <v>-10.9449044985947</v>
      </c>
      <c r="AG363" s="331">
        <f t="shared" si="186"/>
        <v>-1.62688478101494</v>
      </c>
      <c r="AH363" s="332">
        <f t="shared" si="187"/>
        <v>-72.4213231369492</v>
      </c>
      <c r="AJ363" s="22">
        <f t="shared" si="188"/>
        <v>0</v>
      </c>
      <c r="AK363" s="22">
        <f t="shared" si="200"/>
        <v>0</v>
      </c>
      <c r="AM363" s="22" t="str">
        <f t="shared" si="192"/>
        <v>0.134058383876133+0.500145096411817i</v>
      </c>
      <c r="AN363" s="22" t="str">
        <f t="shared" si="193"/>
        <v>0.523766326608i</v>
      </c>
      <c r="AO363" s="22" t="str">
        <f t="shared" si="194"/>
        <v>0.954901204991245-0.255950749534278i</v>
      </c>
      <c r="AP363" s="22" t="str">
        <f t="shared" si="195"/>
        <v>0.144323602687311-0.0833575160686362i</v>
      </c>
      <c r="AQ363" s="22" t="str">
        <f t="shared" si="196"/>
        <v>0.855676397312689+0.0833575160686362i</v>
      </c>
      <c r="AR363" s="22" t="str">
        <f t="shared" si="197"/>
        <v>0.964347120217195-0.0939439031177024i</v>
      </c>
    </row>
    <row r="364" spans="7:44">
      <c r="G364" s="257">
        <v>29344</v>
      </c>
      <c r="H364" s="256">
        <f t="shared" si="189"/>
        <v>29.344</v>
      </c>
      <c r="I364" s="298">
        <f t="shared" si="169"/>
        <v>28.6466116969319</v>
      </c>
      <c r="J364" s="299">
        <f t="shared" si="170"/>
        <v>1.53588109080003</v>
      </c>
      <c r="K364" s="299">
        <f t="shared" si="171"/>
        <v>1.00012570078093</v>
      </c>
      <c r="L364" s="300">
        <f t="shared" si="172"/>
        <v>0.0158548172557413</v>
      </c>
      <c r="M364" s="299">
        <f t="shared" si="173"/>
        <v>1.0053965952349</v>
      </c>
      <c r="N364" s="300">
        <f t="shared" si="174"/>
        <v>-0.10365748509686</v>
      </c>
      <c r="O364" s="298">
        <f t="shared" si="175"/>
        <v>53099.6513690579</v>
      </c>
      <c r="P364" s="301">
        <f t="shared" si="176"/>
        <v>1.57077749427954</v>
      </c>
      <c r="Q364" s="320">
        <f t="shared" si="198"/>
        <v>22.1474422217216</v>
      </c>
      <c r="R364" s="321">
        <f t="shared" si="199"/>
        <v>1.52562903004589</v>
      </c>
      <c r="S364" s="298">
        <f t="shared" si="177"/>
        <v>1.01081945188522</v>
      </c>
      <c r="T364" s="301">
        <f t="shared" si="178"/>
        <v>0.146443119863566</v>
      </c>
      <c r="U364" s="316">
        <f t="shared" si="190"/>
        <v>0.957421512388546</v>
      </c>
      <c r="V364" s="317">
        <f t="shared" si="191"/>
        <v>-0.360976683314982</v>
      </c>
      <c r="W364" s="318">
        <f t="shared" si="179"/>
        <v>-0.296238225060941</v>
      </c>
      <c r="X364" s="319">
        <f t="shared" si="180"/>
        <v>-124.69005639213</v>
      </c>
      <c r="Y364" s="332">
        <f t="shared" si="181"/>
        <v>55.3099436078696</v>
      </c>
      <c r="AA364" s="22">
        <f t="shared" si="182"/>
        <v>29344</v>
      </c>
      <c r="AB364" s="22">
        <f t="shared" si="183"/>
        <v>861070336</v>
      </c>
      <c r="AD364" s="331">
        <f t="shared" si="184"/>
        <v>27.5196160070684</v>
      </c>
      <c r="AE364" s="332">
        <f t="shared" si="185"/>
        <v>-10.9773891715398</v>
      </c>
      <c r="AG364" s="331">
        <f t="shared" si="186"/>
        <v>-1.67203853449674</v>
      </c>
      <c r="AH364" s="332">
        <f t="shared" si="187"/>
        <v>-72.3477862601665</v>
      </c>
      <c r="AJ364" s="22">
        <f t="shared" si="188"/>
        <v>0</v>
      </c>
      <c r="AK364" s="22">
        <f t="shared" si="200"/>
        <v>0</v>
      </c>
      <c r="AM364" s="22" t="str">
        <f t="shared" si="192"/>
        <v>0.13557072188666+0.502754436221552i</v>
      </c>
      <c r="AN364" s="22" t="str">
        <f t="shared" si="193"/>
        <v>0.526782255552i</v>
      </c>
      <c r="AO364" s="22" t="str">
        <f t="shared" si="194"/>
        <v>0.954387568910669-0.257356280432414i</v>
      </c>
      <c r="AP364" s="22" t="str">
        <f t="shared" si="195"/>
        <v>0.144071546352223-0.0837924060369253i</v>
      </c>
      <c r="AQ364" s="22" t="str">
        <f t="shared" si="196"/>
        <v>0.855928453647777+0.0837924060369253i</v>
      </c>
      <c r="AR364" s="22" t="str">
        <f t="shared" si="197"/>
        <v>0.963973724160743-0.0943696606411021i</v>
      </c>
    </row>
    <row r="365" spans="7:44">
      <c r="G365" s="257">
        <v>29512</v>
      </c>
      <c r="H365" s="256">
        <f t="shared" si="189"/>
        <v>29.512</v>
      </c>
      <c r="I365" s="298">
        <f t="shared" si="169"/>
        <v>28.8104197281907</v>
      </c>
      <c r="J365" s="299">
        <f t="shared" si="170"/>
        <v>1.53607968913949</v>
      </c>
      <c r="K365" s="299">
        <f t="shared" si="171"/>
        <v>1.0001271441313</v>
      </c>
      <c r="L365" s="300">
        <f t="shared" si="172"/>
        <v>0.0159455737683074</v>
      </c>
      <c r="M365" s="299">
        <f t="shared" si="173"/>
        <v>1.00545839698334</v>
      </c>
      <c r="N365" s="300">
        <f t="shared" si="174"/>
        <v>-0.10424666583025</v>
      </c>
      <c r="O365" s="298">
        <f t="shared" si="175"/>
        <v>53403.6570065595</v>
      </c>
      <c r="P365" s="301">
        <f t="shared" si="176"/>
        <v>1.57077760148551</v>
      </c>
      <c r="Q365" s="320">
        <f t="shared" si="198"/>
        <v>22.2739827858611</v>
      </c>
      <c r="R365" s="321">
        <f t="shared" si="199"/>
        <v>1.52588580280239</v>
      </c>
      <c r="S365" s="298">
        <f t="shared" si="177"/>
        <v>1.01094302090551</v>
      </c>
      <c r="T365" s="301">
        <f t="shared" si="178"/>
        <v>0.147269498187101</v>
      </c>
      <c r="U365" s="316">
        <f t="shared" si="190"/>
        <v>0.956966046177156</v>
      </c>
      <c r="V365" s="317">
        <f t="shared" si="191"/>
        <v>-0.362958168292363</v>
      </c>
      <c r="W365" s="318">
        <f t="shared" si="179"/>
        <v>-0.350513588627109</v>
      </c>
      <c r="X365" s="319">
        <f t="shared" si="180"/>
        <v>-124.876165707073</v>
      </c>
      <c r="Y365" s="332">
        <f t="shared" si="181"/>
        <v>55.1238342929269</v>
      </c>
      <c r="AA365" s="22">
        <f t="shared" si="182"/>
        <v>29512</v>
      </c>
      <c r="AB365" s="22">
        <f t="shared" si="183"/>
        <v>870958144</v>
      </c>
      <c r="AD365" s="331">
        <f t="shared" si="184"/>
        <v>27.5184537351535</v>
      </c>
      <c r="AE365" s="332">
        <f t="shared" si="185"/>
        <v>-11.0100313090048</v>
      </c>
      <c r="AG365" s="331">
        <f t="shared" si="186"/>
        <v>-1.71688552704405</v>
      </c>
      <c r="AH365" s="332">
        <f t="shared" si="187"/>
        <v>-72.2741919846395</v>
      </c>
      <c r="AJ365" s="22">
        <f t="shared" si="188"/>
        <v>0</v>
      </c>
      <c r="AK365" s="22">
        <f t="shared" si="200"/>
        <v>0</v>
      </c>
      <c r="AM365" s="22" t="str">
        <f t="shared" si="192"/>
        <v>0.137090922590737+0.505359203067179i</v>
      </c>
      <c r="AN365" s="22" t="str">
        <f t="shared" si="193"/>
        <v>0.529798184496i</v>
      </c>
      <c r="AO365" s="22" t="str">
        <f t="shared" si="194"/>
        <v>0.953871149158297-0.258760650003269i</v>
      </c>
      <c r="AP365" s="22" t="str">
        <f t="shared" si="195"/>
        <v>0.14381817956821-0.0842265338445298i</v>
      </c>
      <c r="AQ365" s="22" t="str">
        <f t="shared" si="196"/>
        <v>0.85618182043179+0.0842265338445298i</v>
      </c>
      <c r="AR365" s="22" t="str">
        <f t="shared" si="197"/>
        <v>0.963598899422312-0.0947936447351966i</v>
      </c>
    </row>
    <row r="366" spans="7:44">
      <c r="G366" s="257">
        <v>29684</v>
      </c>
      <c r="H366" s="256">
        <f t="shared" si="189"/>
        <v>29.684</v>
      </c>
      <c r="I366" s="298">
        <f t="shared" si="169"/>
        <v>28.9781291144275</v>
      </c>
      <c r="J366" s="299">
        <f t="shared" si="170"/>
        <v>1.53628068989799</v>
      </c>
      <c r="K366" s="299">
        <f t="shared" si="171"/>
        <v>1.00012863038146</v>
      </c>
      <c r="L366" s="300">
        <f t="shared" si="172"/>
        <v>0.0160384908780506</v>
      </c>
      <c r="M366" s="299">
        <f t="shared" si="173"/>
        <v>1.00552203174991</v>
      </c>
      <c r="N366" s="300">
        <f t="shared" si="174"/>
        <v>-0.104849799429123</v>
      </c>
      <c r="O366" s="298">
        <f t="shared" si="175"/>
        <v>53714.900873526</v>
      </c>
      <c r="P366" s="301">
        <f t="shared" si="176"/>
        <v>1.57077770998683</v>
      </c>
      <c r="Q366" s="320">
        <f t="shared" si="198"/>
        <v>22.4035377246228</v>
      </c>
      <c r="R366" s="321">
        <f t="shared" si="199"/>
        <v>1.52614568413387</v>
      </c>
      <c r="S366" s="298">
        <f t="shared" si="177"/>
        <v>1.01107024709416</v>
      </c>
      <c r="T366" s="301">
        <f t="shared" si="178"/>
        <v>0.148115342326542</v>
      </c>
      <c r="U366" s="316">
        <f t="shared" si="190"/>
        <v>0.956497680334182</v>
      </c>
      <c r="V366" s="317">
        <f t="shared" si="191"/>
        <v>-0.364985422849803</v>
      </c>
      <c r="W366" s="318">
        <f t="shared" si="179"/>
        <v>-0.405812478620162</v>
      </c>
      <c r="X366" s="319">
        <f t="shared" si="180"/>
        <v>-125.066647996552</v>
      </c>
      <c r="Y366" s="332">
        <f t="shared" si="181"/>
        <v>54.9333520034477</v>
      </c>
      <c r="AA366" s="22">
        <f t="shared" si="182"/>
        <v>29684</v>
      </c>
      <c r="AB366" s="22">
        <f t="shared" si="183"/>
        <v>881139856</v>
      </c>
      <c r="AD366" s="331">
        <f t="shared" si="184"/>
        <v>27.5172595423901</v>
      </c>
      <c r="AE366" s="332">
        <f t="shared" si="185"/>
        <v>-11.0436107215585</v>
      </c>
      <c r="AG366" s="331">
        <f t="shared" si="186"/>
        <v>-1.76248591024422</v>
      </c>
      <c r="AH366" s="332">
        <f t="shared" si="187"/>
        <v>-72.1987886010195</v>
      </c>
      <c r="AJ366" s="22">
        <f t="shared" si="188"/>
        <v>0</v>
      </c>
      <c r="AK366" s="22">
        <f t="shared" si="200"/>
        <v>0</v>
      </c>
      <c r="AM366" s="22" t="str">
        <f t="shared" si="192"/>
        <v>0.138655449842993+0.508021225850676i</v>
      </c>
      <c r="AN366" s="22" t="str">
        <f t="shared" si="193"/>
        <v>0.532885921272i</v>
      </c>
      <c r="AO366" s="22" t="str">
        <f t="shared" si="194"/>
        <v>0.953339552747102-0.260197247305806i</v>
      </c>
      <c r="AP366" s="22" t="str">
        <f t="shared" si="195"/>
        <v>0.143557425026168-0.084670204308446i</v>
      </c>
      <c r="AQ366" s="22" t="str">
        <f t="shared" si="196"/>
        <v>0.856442574973832+0.084670204308446i</v>
      </c>
      <c r="AR366" s="22" t="str">
        <f t="shared" si="197"/>
        <v>0.963213680944026-0.0952258815025781i</v>
      </c>
    </row>
    <row r="367" spans="7:44">
      <c r="G367" s="257">
        <v>29856</v>
      </c>
      <c r="H367" s="256">
        <f t="shared" si="189"/>
        <v>29.856</v>
      </c>
      <c r="I367" s="298">
        <f t="shared" si="169"/>
        <v>29.1458396579451</v>
      </c>
      <c r="J367" s="299">
        <f t="shared" si="170"/>
        <v>1.53647937747347</v>
      </c>
      <c r="K367" s="299">
        <f t="shared" si="171"/>
        <v>1.00013012526629</v>
      </c>
      <c r="L367" s="300">
        <f t="shared" si="172"/>
        <v>0.0161314077108315</v>
      </c>
      <c r="M367" s="299">
        <f t="shared" si="173"/>
        <v>1.00558603224898</v>
      </c>
      <c r="N367" s="300">
        <f t="shared" si="174"/>
        <v>-0.1054528564745</v>
      </c>
      <c r="O367" s="298">
        <f t="shared" si="175"/>
        <v>54026.1447404932</v>
      </c>
      <c r="P367" s="301">
        <f t="shared" si="176"/>
        <v>1.570777817238</v>
      </c>
      <c r="Q367" s="320">
        <f t="shared" si="198"/>
        <v>22.5330941590823</v>
      </c>
      <c r="R367" s="321">
        <f t="shared" si="199"/>
        <v>1.52640257705153</v>
      </c>
      <c r="S367" s="298">
        <f t="shared" si="177"/>
        <v>1.01119819647303</v>
      </c>
      <c r="T367" s="301">
        <f t="shared" si="178"/>
        <v>0.148960973017412</v>
      </c>
      <c r="U367" s="316">
        <f t="shared" si="190"/>
        <v>0.956027244801253</v>
      </c>
      <c r="V367" s="317">
        <f t="shared" si="191"/>
        <v>-0.367011246753824</v>
      </c>
      <c r="W367" s="318">
        <f t="shared" si="179"/>
        <v>-0.460842799677025</v>
      </c>
      <c r="X367" s="319">
        <f t="shared" si="180"/>
        <v>-125.25707033185</v>
      </c>
      <c r="Y367" s="332">
        <f t="shared" si="181"/>
        <v>54.7429296681503</v>
      </c>
      <c r="AA367" s="22">
        <f t="shared" si="182"/>
        <v>29856</v>
      </c>
      <c r="AB367" s="22">
        <f t="shared" si="183"/>
        <v>891380736</v>
      </c>
      <c r="AD367" s="331">
        <f t="shared" si="184"/>
        <v>27.5160610160192</v>
      </c>
      <c r="AE367" s="332">
        <f t="shared" si="185"/>
        <v>-11.0773490562816</v>
      </c>
      <c r="AG367" s="331">
        <f t="shared" si="186"/>
        <v>-1.80777161771419</v>
      </c>
      <c r="AH367" s="332">
        <f t="shared" si="187"/>
        <v>-72.1233302818545</v>
      </c>
      <c r="AJ367" s="22">
        <f t="shared" si="188"/>
        <v>0</v>
      </c>
      <c r="AK367" s="22">
        <f t="shared" si="200"/>
        <v>0</v>
      </c>
      <c r="AM367" s="22" t="str">
        <f t="shared" si="192"/>
        <v>0.140228189249648+0.510678405103506i</v>
      </c>
      <c r="AN367" s="22" t="str">
        <f t="shared" si="193"/>
        <v>0.535973658048i</v>
      </c>
      <c r="AO367" s="22" t="str">
        <f t="shared" si="194"/>
        <v>0.95280504449301-0.261632614110841i</v>
      </c>
      <c r="AP367" s="22" t="str">
        <f t="shared" si="195"/>
        <v>0.143295301791725-0.085113067517251i</v>
      </c>
      <c r="AQ367" s="22" t="str">
        <f t="shared" si="196"/>
        <v>0.856704698208275+0.085113067517251i</v>
      </c>
      <c r="AR367" s="22" t="str">
        <f t="shared" si="197"/>
        <v>0.96282698683125-0.0956562494742811i</v>
      </c>
    </row>
    <row r="368" spans="7:44">
      <c r="G368" s="257">
        <v>30028</v>
      </c>
      <c r="H368" s="256">
        <f t="shared" si="189"/>
        <v>30.028</v>
      </c>
      <c r="I368" s="298">
        <f t="shared" si="169"/>
        <v>29.3135513388803</v>
      </c>
      <c r="J368" s="299">
        <f t="shared" si="170"/>
        <v>1.53667579155338</v>
      </c>
      <c r="K368" s="299">
        <f t="shared" si="171"/>
        <v>1.00013162878575</v>
      </c>
      <c r="L368" s="300">
        <f t="shared" si="172"/>
        <v>0.0162243242650467</v>
      </c>
      <c r="M368" s="299">
        <f t="shared" si="173"/>
        <v>1.00565039841075</v>
      </c>
      <c r="N368" s="300">
        <f t="shared" si="174"/>
        <v>-0.106055836542402</v>
      </c>
      <c r="O368" s="298">
        <f t="shared" si="175"/>
        <v>54337.388607461</v>
      </c>
      <c r="P368" s="301">
        <f t="shared" si="176"/>
        <v>1.5707779232605</v>
      </c>
      <c r="Q368" s="320">
        <f t="shared" si="198"/>
        <v>22.662652063588</v>
      </c>
      <c r="R368" s="321">
        <f t="shared" si="199"/>
        <v>1.52665653277367</v>
      </c>
      <c r="S368" s="298">
        <f t="shared" si="177"/>
        <v>1.01132686876763</v>
      </c>
      <c r="T368" s="301">
        <f t="shared" si="178"/>
        <v>0.14980638913155</v>
      </c>
      <c r="U368" s="316">
        <f t="shared" si="190"/>
        <v>0.955554749358062</v>
      </c>
      <c r="V368" s="317">
        <f t="shared" si="191"/>
        <v>-0.369035634555138</v>
      </c>
      <c r="W368" s="318">
        <f t="shared" si="179"/>
        <v>-0.515607855722652</v>
      </c>
      <c r="X368" s="319">
        <f t="shared" si="180"/>
        <v>-125.447431652466</v>
      </c>
      <c r="Y368" s="332">
        <f t="shared" si="181"/>
        <v>54.5525683475337</v>
      </c>
      <c r="AA368" s="22">
        <f t="shared" si="182"/>
        <v>30028</v>
      </c>
      <c r="AB368" s="22">
        <f t="shared" si="183"/>
        <v>901680784</v>
      </c>
      <c r="AD368" s="331">
        <f t="shared" si="184"/>
        <v>27.5148581210146</v>
      </c>
      <c r="AE368" s="332">
        <f t="shared" si="185"/>
        <v>-11.1112433151729</v>
      </c>
      <c r="AG368" s="331">
        <f t="shared" si="186"/>
        <v>-1.85274603651832</v>
      </c>
      <c r="AH368" s="332">
        <f t="shared" si="187"/>
        <v>-72.0478195890888</v>
      </c>
      <c r="AJ368" s="22">
        <f t="shared" si="188"/>
        <v>0</v>
      </c>
      <c r="AK368" s="22">
        <f t="shared" si="200"/>
        <v>0</v>
      </c>
      <c r="AM368" s="22" t="str">
        <f t="shared" si="192"/>
        <v>0.141809125816029+0.513330715491827i</v>
      </c>
      <c r="AN368" s="22" t="str">
        <f t="shared" si="193"/>
        <v>0.539061394824i</v>
      </c>
      <c r="AO368" s="22" t="str">
        <f t="shared" si="194"/>
        <v>0.952267627436808-0.263066743746932i</v>
      </c>
      <c r="AP368" s="22" t="str">
        <f t="shared" si="195"/>
        <v>0.143031812363995-0.0855551192486378i</v>
      </c>
      <c r="AQ368" s="22" t="str">
        <f t="shared" si="196"/>
        <v>0.856968187636005+0.0855551192486378i</v>
      </c>
      <c r="AR368" s="22" t="str">
        <f t="shared" si="197"/>
        <v>0.962438828173304-0.0960847437534759i</v>
      </c>
    </row>
    <row r="369" spans="7:44">
      <c r="G369" s="257">
        <v>30200</v>
      </c>
      <c r="H369" s="256">
        <f t="shared" si="189"/>
        <v>30.2</v>
      </c>
      <c r="I369" s="298">
        <f t="shared" si="169"/>
        <v>29.4812641378215</v>
      </c>
      <c r="J369" s="299">
        <f t="shared" si="170"/>
        <v>1.53686997092276</v>
      </c>
      <c r="K369" s="299">
        <f t="shared" si="171"/>
        <v>1.00013314093982</v>
      </c>
      <c r="L369" s="300">
        <f t="shared" si="172"/>
        <v>0.0163172405390933</v>
      </c>
      <c r="M369" s="299">
        <f t="shared" si="173"/>
        <v>1.005715130165</v>
      </c>
      <c r="N369" s="300">
        <f t="shared" si="174"/>
        <v>-0.106658739209182</v>
      </c>
      <c r="O369" s="298">
        <f t="shared" si="175"/>
        <v>54648.6324744294</v>
      </c>
      <c r="P369" s="301">
        <f t="shared" si="176"/>
        <v>1.57077802807534</v>
      </c>
      <c r="Q369" s="320">
        <f t="shared" si="198"/>
        <v>22.7922114130712</v>
      </c>
      <c r="R369" s="321">
        <f t="shared" si="199"/>
        <v>1.52690760135557</v>
      </c>
      <c r="S369" s="298">
        <f t="shared" si="177"/>
        <v>1.01145626370206</v>
      </c>
      <c r="T369" s="301">
        <f t="shared" si="178"/>
        <v>0.150651589542593</v>
      </c>
      <c r="U369" s="316">
        <f t="shared" si="190"/>
        <v>0.955080203801098</v>
      </c>
      <c r="V369" s="317">
        <f t="shared" si="191"/>
        <v>-0.371058580845589</v>
      </c>
      <c r="W369" s="318">
        <f t="shared" si="179"/>
        <v>-0.570110892652696</v>
      </c>
      <c r="X369" s="319">
        <f t="shared" si="180"/>
        <v>-125.637730915287</v>
      </c>
      <c r="Y369" s="332">
        <f t="shared" si="181"/>
        <v>54.3622690847128</v>
      </c>
      <c r="AA369" s="22">
        <f t="shared" si="182"/>
        <v>30200</v>
      </c>
      <c r="AB369" s="22">
        <f t="shared" si="183"/>
        <v>912040000</v>
      </c>
      <c r="AD369" s="331">
        <f t="shared" si="184"/>
        <v>27.5136508234983</v>
      </c>
      <c r="AE369" s="332">
        <f t="shared" si="185"/>
        <v>-11.1452905669435</v>
      </c>
      <c r="AG369" s="331">
        <f t="shared" si="186"/>
        <v>-1.8974124971387</v>
      </c>
      <c r="AH369" s="332">
        <f t="shared" si="187"/>
        <v>-71.9722590306247</v>
      </c>
      <c r="AJ369" s="22">
        <f t="shared" si="188"/>
        <v>0</v>
      </c>
      <c r="AK369" s="22">
        <f t="shared" si="200"/>
        <v>0</v>
      </c>
      <c r="AM369" s="22" t="str">
        <f t="shared" si="192"/>
        <v>0.143398244469311+0.515978131728218i</v>
      </c>
      <c r="AN369" s="22" t="str">
        <f t="shared" si="193"/>
        <v>0.5421491316i</v>
      </c>
      <c r="AO369" s="22" t="str">
        <f t="shared" si="194"/>
        <v>0.951727304635635-0.264499629550474i</v>
      </c>
      <c r="AP369" s="22" t="str">
        <f t="shared" si="195"/>
        <v>0.142766959255115-0.0859963552880363i</v>
      </c>
      <c r="AQ369" s="22" t="str">
        <f t="shared" si="196"/>
        <v>0.857233040744885+0.0859963552880363i</v>
      </c>
      <c r="AR369" s="22" t="str">
        <f t="shared" si="197"/>
        <v>0.962049216069156-0.0965113595222252i</v>
      </c>
    </row>
    <row r="370" spans="7:44">
      <c r="G370" s="257">
        <v>30375.75</v>
      </c>
      <c r="H370" s="256">
        <f t="shared" si="189"/>
        <v>30.37575</v>
      </c>
      <c r="I370" s="298">
        <f t="shared" si="169"/>
        <v>29.6526346009064</v>
      </c>
      <c r="J370" s="299">
        <f t="shared" si="170"/>
        <v>1.53706611496609</v>
      </c>
      <c r="K370" s="299">
        <f t="shared" si="171"/>
        <v>1.00013469498135</v>
      </c>
      <c r="L370" s="300">
        <f t="shared" si="172"/>
        <v>0.0164121823129328</v>
      </c>
      <c r="M370" s="299">
        <f t="shared" si="173"/>
        <v>1.00578165078411</v>
      </c>
      <c r="N370" s="300">
        <f t="shared" si="174"/>
        <v>-0.107274706164959</v>
      </c>
      <c r="O370" s="298">
        <f t="shared" si="175"/>
        <v>54966.6621815212</v>
      </c>
      <c r="P370" s="301">
        <f t="shared" si="176"/>
        <v>1.57077813394926</v>
      </c>
      <c r="Q370" s="320">
        <f t="shared" si="198"/>
        <v>22.9245969247609</v>
      </c>
      <c r="R370" s="321">
        <f t="shared" si="199"/>
        <v>1.52716121246815</v>
      </c>
      <c r="S370" s="298">
        <f t="shared" si="177"/>
        <v>1.01158922590288</v>
      </c>
      <c r="T370" s="301">
        <f t="shared" si="178"/>
        <v>0.151514993309545</v>
      </c>
      <c r="U370" s="316">
        <f t="shared" si="190"/>
        <v>0.954593204610284</v>
      </c>
      <c r="V370" s="317">
        <f t="shared" si="191"/>
        <v>-0.373124137489942</v>
      </c>
      <c r="W370" s="318">
        <f t="shared" si="179"/>
        <v>-0.625534890079641</v>
      </c>
      <c r="X370" s="319">
        <f t="shared" si="180"/>
        <v>-125.832113974983</v>
      </c>
      <c r="Y370" s="332">
        <f t="shared" si="181"/>
        <v>54.1678860250172</v>
      </c>
      <c r="AA370" s="22">
        <f t="shared" si="182"/>
        <v>30375.75</v>
      </c>
      <c r="AB370" s="22">
        <f t="shared" si="183"/>
        <v>922686188.0625</v>
      </c>
      <c r="AD370" s="331">
        <f t="shared" si="184"/>
        <v>27.5124126224659</v>
      </c>
      <c r="AE370" s="332">
        <f t="shared" si="185"/>
        <v>-11.1802351785865</v>
      </c>
      <c r="AG370" s="331">
        <f t="shared" si="186"/>
        <v>-1.94273809513854</v>
      </c>
      <c r="AH370" s="332">
        <f t="shared" si="187"/>
        <v>-71.8950021222743</v>
      </c>
      <c r="AJ370" s="22">
        <f t="shared" si="188"/>
        <v>0</v>
      </c>
      <c r="AK370" s="22">
        <f t="shared" si="200"/>
        <v>0</v>
      </c>
      <c r="AM370" s="22" t="str">
        <f t="shared" si="192"/>
        <v>0.145030445455092+0.518678186162944i</v>
      </c>
      <c r="AN370" s="22" t="str">
        <f t="shared" si="193"/>
        <v>0.5453041882185i</v>
      </c>
      <c r="AO370" s="22" t="str">
        <f t="shared" si="194"/>
        <v>0.951172203275125-0.265962463866093i</v>
      </c>
      <c r="AP370" s="22" t="str">
        <f t="shared" si="195"/>
        <v>0.142494925757485-0.0864463643604907i</v>
      </c>
      <c r="AQ370" s="22" t="str">
        <f t="shared" si="196"/>
        <v>0.857505074242515+0.0864463643604907i</v>
      </c>
      <c r="AR370" s="22" t="str">
        <f t="shared" si="197"/>
        <v>0.961649619747973-0.0969453311857021i</v>
      </c>
    </row>
    <row r="371" spans="7:44">
      <c r="G371" s="257">
        <v>30551.5</v>
      </c>
      <c r="H371" s="256">
        <f t="shared" si="189"/>
        <v>30.5515</v>
      </c>
      <c r="I371" s="298">
        <f t="shared" si="169"/>
        <v>29.8240061916916</v>
      </c>
      <c r="J371" s="299">
        <f t="shared" si="170"/>
        <v>1.53726000489196</v>
      </c>
      <c r="K371" s="299">
        <f t="shared" si="171"/>
        <v>1.000136258038</v>
      </c>
      <c r="L371" s="300">
        <f t="shared" si="172"/>
        <v>0.0165071237908697</v>
      </c>
      <c r="M371" s="299">
        <f t="shared" si="173"/>
        <v>1.0058485529616</v>
      </c>
      <c r="N371" s="300">
        <f t="shared" si="174"/>
        <v>-0.107890591414554</v>
      </c>
      <c r="O371" s="298">
        <f t="shared" si="175"/>
        <v>55284.6918886137</v>
      </c>
      <c r="P371" s="301">
        <f t="shared" si="176"/>
        <v>1.57077823860509</v>
      </c>
      <c r="Q371" s="320">
        <f t="shared" si="198"/>
        <v>23.0569838939965</v>
      </c>
      <c r="R371" s="321">
        <f t="shared" si="199"/>
        <v>1.52741191126378</v>
      </c>
      <c r="S371" s="298">
        <f t="shared" si="177"/>
        <v>1.0117229420106</v>
      </c>
      <c r="T371" s="301">
        <f t="shared" si="178"/>
        <v>0.152378169493327</v>
      </c>
      <c r="U371" s="316">
        <f t="shared" si="190"/>
        <v>0.954104085667833</v>
      </c>
      <c r="V371" s="317">
        <f t="shared" si="191"/>
        <v>-0.375188177796895</v>
      </c>
      <c r="W371" s="318">
        <f t="shared" si="179"/>
        <v>-0.680691990754323</v>
      </c>
      <c r="X371" s="319">
        <f t="shared" si="180"/>
        <v>-126.026430093186</v>
      </c>
      <c r="Y371" s="332">
        <f t="shared" si="181"/>
        <v>53.9735699068141</v>
      </c>
      <c r="AA371" s="22">
        <f t="shared" si="182"/>
        <v>30551.5</v>
      </c>
      <c r="AB371" s="22">
        <f t="shared" si="183"/>
        <v>933394152.25</v>
      </c>
      <c r="AD371" s="331">
        <f t="shared" si="184"/>
        <v>27.5111697568507</v>
      </c>
      <c r="AE371" s="332">
        <f t="shared" si="185"/>
        <v>-11.2153335443523</v>
      </c>
      <c r="AG371" s="331">
        <f t="shared" si="186"/>
        <v>-1.98774901531688</v>
      </c>
      <c r="AH371" s="332">
        <f t="shared" si="187"/>
        <v>-71.8176982777748</v>
      </c>
      <c r="AJ371" s="22">
        <f t="shared" si="188"/>
        <v>0</v>
      </c>
      <c r="AK371" s="22">
        <f t="shared" si="200"/>
        <v>0</v>
      </c>
      <c r="AM371" s="22" t="str">
        <f t="shared" si="192"/>
        <v>0.146671157127584+0.521373077481014i</v>
      </c>
      <c r="AN371" s="22" t="str">
        <f t="shared" si="193"/>
        <v>0.548459244837i</v>
      </c>
      <c r="AO371" s="22" t="str">
        <f t="shared" si="194"/>
        <v>0.950614074589925-0.267423985479858i</v>
      </c>
      <c r="AP371" s="22" t="str">
        <f t="shared" si="195"/>
        <v>0.142221473812069-0.0868955129135023i</v>
      </c>
      <c r="AQ371" s="22" t="str">
        <f t="shared" si="196"/>
        <v>0.857778526187931+0.0868955129135023i</v>
      </c>
      <c r="AR371" s="22" t="str">
        <f t="shared" si="197"/>
        <v>0.961248529369814-0.0973773316151301i</v>
      </c>
    </row>
    <row r="372" spans="7:44">
      <c r="G372" s="257">
        <v>30727.25</v>
      </c>
      <c r="H372" s="256">
        <f t="shared" si="189"/>
        <v>30.72725</v>
      </c>
      <c r="I372" s="298">
        <f t="shared" si="169"/>
        <v>29.9953788908485</v>
      </c>
      <c r="J372" s="299">
        <f t="shared" si="170"/>
        <v>1.53745167932104</v>
      </c>
      <c r="K372" s="299">
        <f t="shared" si="171"/>
        <v>1.00013783010974</v>
      </c>
      <c r="L372" s="300">
        <f t="shared" si="172"/>
        <v>0.0166020649711939</v>
      </c>
      <c r="M372" s="299">
        <f t="shared" si="173"/>
        <v>1.00591583662133</v>
      </c>
      <c r="N372" s="300">
        <f t="shared" si="174"/>
        <v>-0.108506394507089</v>
      </c>
      <c r="O372" s="298">
        <f t="shared" si="175"/>
        <v>55602.7215957068</v>
      </c>
      <c r="P372" s="301">
        <f t="shared" si="176"/>
        <v>1.57077834206373</v>
      </c>
      <c r="Q372" s="320">
        <f t="shared" si="198"/>
        <v>23.1893722958148</v>
      </c>
      <c r="R372" s="321">
        <f t="shared" si="199"/>
        <v>1.52765974759004</v>
      </c>
      <c r="S372" s="298">
        <f t="shared" si="177"/>
        <v>1.01185741172633</v>
      </c>
      <c r="T372" s="301">
        <f t="shared" si="178"/>
        <v>0.153241116898163</v>
      </c>
      <c r="U372" s="316">
        <f t="shared" si="190"/>
        <v>0.953612857476167</v>
      </c>
      <c r="V372" s="317">
        <f t="shared" si="191"/>
        <v>-0.377250696130057</v>
      </c>
      <c r="W372" s="318">
        <f t="shared" si="179"/>
        <v>-0.735585478258409</v>
      </c>
      <c r="X372" s="319">
        <f t="shared" si="180"/>
        <v>-126.22067821065</v>
      </c>
      <c r="Y372" s="332">
        <f t="shared" si="181"/>
        <v>53.7793217893503</v>
      </c>
      <c r="AA372" s="22">
        <f t="shared" si="182"/>
        <v>30727.25</v>
      </c>
      <c r="AB372" s="22">
        <f t="shared" si="183"/>
        <v>944163892.5625</v>
      </c>
      <c r="AD372" s="331">
        <f t="shared" si="184"/>
        <v>27.5099221939833</v>
      </c>
      <c r="AE372" s="332">
        <f t="shared" si="185"/>
        <v>-11.2505827408701</v>
      </c>
      <c r="AG372" s="331">
        <f t="shared" si="186"/>
        <v>-2.03244863590239</v>
      </c>
      <c r="AH372" s="332">
        <f t="shared" si="187"/>
        <v>-71.7403500071335</v>
      </c>
      <c r="AJ372" s="22">
        <f t="shared" si="188"/>
        <v>0</v>
      </c>
      <c r="AK372" s="22">
        <f t="shared" si="200"/>
        <v>0</v>
      </c>
      <c r="AM372" s="22" t="str">
        <f t="shared" si="192"/>
        <v>0.148320363154531+0.524062778856474i</v>
      </c>
      <c r="AN372" s="22" t="str">
        <f t="shared" si="193"/>
        <v>0.5516143014555i</v>
      </c>
      <c r="AO372" s="22" t="str">
        <f t="shared" si="194"/>
        <v>0.950052921894287-0.26888418730836i</v>
      </c>
      <c r="AP372" s="22" t="str">
        <f t="shared" si="195"/>
        <v>0.141946606140912-0.087343796476079i</v>
      </c>
      <c r="AQ372" s="22" t="str">
        <f t="shared" si="196"/>
        <v>0.858053393859088+0.087343796476079i</v>
      </c>
      <c r="AR372" s="22" t="str">
        <f t="shared" si="197"/>
        <v>0.960845956802565-0.0978073559249961i</v>
      </c>
    </row>
    <row r="373" spans="7:44">
      <c r="G373" s="257">
        <v>30903</v>
      </c>
      <c r="H373" s="256">
        <f t="shared" si="189"/>
        <v>30.903</v>
      </c>
      <c r="I373" s="298">
        <f t="shared" si="169"/>
        <v>30.1667526794875</v>
      </c>
      <c r="J373" s="299">
        <f t="shared" si="170"/>
        <v>1.53764117599705</v>
      </c>
      <c r="K373" s="299">
        <f t="shared" si="171"/>
        <v>1.00013941119652</v>
      </c>
      <c r="L373" s="300">
        <f t="shared" si="172"/>
        <v>0.0166970058521953</v>
      </c>
      <c r="M373" s="299">
        <f t="shared" si="173"/>
        <v>1.00598350168677</v>
      </c>
      <c r="N373" s="300">
        <f t="shared" si="174"/>
        <v>-0.109122114992054</v>
      </c>
      <c r="O373" s="298">
        <f t="shared" si="175"/>
        <v>55920.7513028004</v>
      </c>
      <c r="P373" s="301">
        <f t="shared" si="176"/>
        <v>1.5707784443456</v>
      </c>
      <c r="Q373" s="320">
        <f t="shared" si="198"/>
        <v>23.3217621058192</v>
      </c>
      <c r="R373" s="321">
        <f t="shared" si="199"/>
        <v>1.52790477016404</v>
      </c>
      <c r="S373" s="298">
        <f t="shared" si="177"/>
        <v>1.01199263474967</v>
      </c>
      <c r="T373" s="301">
        <f t="shared" si="178"/>
        <v>0.15410383433027</v>
      </c>
      <c r="U373" s="316">
        <f t="shared" si="190"/>
        <v>0.953119530553821</v>
      </c>
      <c r="V373" s="317">
        <f t="shared" si="191"/>
        <v>-0.379311686898</v>
      </c>
      <c r="W373" s="318">
        <f t="shared" si="179"/>
        <v>-0.790218578498225</v>
      </c>
      <c r="X373" s="319">
        <f t="shared" si="180"/>
        <v>-126.414857285337</v>
      </c>
      <c r="Y373" s="332">
        <f t="shared" si="181"/>
        <v>53.5851427146632</v>
      </c>
      <c r="AA373" s="22">
        <f t="shared" si="182"/>
        <v>30903</v>
      </c>
      <c r="AB373" s="22">
        <f t="shared" si="183"/>
        <v>954995409</v>
      </c>
      <c r="AD373" s="331">
        <f t="shared" si="184"/>
        <v>27.5086699022878</v>
      </c>
      <c r="AE373" s="332">
        <f t="shared" si="185"/>
        <v>-11.2859799096259</v>
      </c>
      <c r="AG373" s="331">
        <f t="shared" si="186"/>
        <v>-2.07684027884492</v>
      </c>
      <c r="AH373" s="332">
        <f t="shared" si="187"/>
        <v>-71.6629597675572</v>
      </c>
      <c r="AJ373" s="22">
        <f t="shared" si="188"/>
        <v>0</v>
      </c>
      <c r="AK373" s="22">
        <f t="shared" si="200"/>
        <v>0</v>
      </c>
      <c r="AM373" s="22" t="str">
        <f t="shared" si="192"/>
        <v>0.149978047119118+0.526747263515029i</v>
      </c>
      <c r="AN373" s="22" t="str">
        <f t="shared" si="193"/>
        <v>0.554769358074i</v>
      </c>
      <c r="AO373" s="22" t="str">
        <f t="shared" si="194"/>
        <v>0.949488748520186-0.270343062276905i</v>
      </c>
      <c r="AP373" s="22" t="str">
        <f t="shared" si="195"/>
        <v>0.141670325480147-0.0877912105858382i</v>
      </c>
      <c r="AQ373" s="22" t="str">
        <f t="shared" si="196"/>
        <v>0.858329674519853+0.0877912105858382i</v>
      </c>
      <c r="AR373" s="22" t="str">
        <f t="shared" si="197"/>
        <v>0.96044191392181-0.098235399315237i</v>
      </c>
    </row>
    <row r="374" spans="7:44">
      <c r="G374" s="257">
        <v>31083</v>
      </c>
      <c r="H374" s="256">
        <f t="shared" si="189"/>
        <v>31.083</v>
      </c>
      <c r="I374" s="298">
        <f t="shared" si="169"/>
        <v>30.3422717522773</v>
      </c>
      <c r="J374" s="299">
        <f t="shared" si="170"/>
        <v>1.53783303625601</v>
      </c>
      <c r="K374" s="299">
        <f t="shared" si="171"/>
        <v>1.0001410398619</v>
      </c>
      <c r="L374" s="300">
        <f t="shared" si="172"/>
        <v>0.016794242288819</v>
      </c>
      <c r="M374" s="299">
        <f t="shared" si="173"/>
        <v>1.0060531983056</v>
      </c>
      <c r="N374" s="300">
        <f t="shared" si="174"/>
        <v>-0.109752638778567</v>
      </c>
      <c r="O374" s="298">
        <f t="shared" si="175"/>
        <v>56246.4716287006</v>
      </c>
      <c r="P374" s="301">
        <f t="shared" si="176"/>
        <v>1.57077854790191</v>
      </c>
      <c r="Q374" s="320">
        <f t="shared" si="198"/>
        <v>23.4573548111419</v>
      </c>
      <c r="R374" s="321">
        <f t="shared" si="199"/>
        <v>1.52815285100505</v>
      </c>
      <c r="S374" s="298">
        <f t="shared" si="177"/>
        <v>1.01213190828372</v>
      </c>
      <c r="T374" s="301">
        <f t="shared" si="178"/>
        <v>0.154987174434495</v>
      </c>
      <c r="U374" s="316">
        <f t="shared" si="190"/>
        <v>0.952612109497539</v>
      </c>
      <c r="V374" s="317">
        <f t="shared" si="191"/>
        <v>-0.381420927486298</v>
      </c>
      <c r="W374" s="318">
        <f t="shared" si="179"/>
        <v>-0.845906223681195</v>
      </c>
      <c r="X374" s="319">
        <f t="shared" si="180"/>
        <v>-126.613659374781</v>
      </c>
      <c r="Y374" s="332">
        <f t="shared" si="181"/>
        <v>53.3863406252195</v>
      </c>
      <c r="AA374" s="22">
        <f t="shared" si="182"/>
        <v>31083</v>
      </c>
      <c r="AB374" s="22">
        <f t="shared" si="183"/>
        <v>966152889</v>
      </c>
      <c r="AD374" s="331">
        <f t="shared" si="184"/>
        <v>27.5073823939557</v>
      </c>
      <c r="AE374" s="332">
        <f t="shared" si="185"/>
        <v>-11.3223835176861</v>
      </c>
      <c r="AG374" s="331">
        <f t="shared" si="186"/>
        <v>-2.12198957826112</v>
      </c>
      <c r="AH374" s="332">
        <f t="shared" si="187"/>
        <v>-71.5836570812905</v>
      </c>
      <c r="AJ374" s="22">
        <f t="shared" si="188"/>
        <v>0</v>
      </c>
      <c r="AK374" s="22">
        <f t="shared" si="200"/>
        <v>0</v>
      </c>
      <c r="AM374" s="22" t="str">
        <f t="shared" si="192"/>
        <v>0.151684588019365+0.529491229196598i</v>
      </c>
      <c r="AN374" s="22" t="str">
        <f t="shared" si="193"/>
        <v>0.558000710514i</v>
      </c>
      <c r="AO374" s="22" t="str">
        <f t="shared" si="194"/>
        <v>0.948907804631394-0.271835833111469i</v>
      </c>
      <c r="AP374" s="22" t="str">
        <f t="shared" si="195"/>
        <v>0.141385901996773-0.088248538199433i</v>
      </c>
      <c r="AQ374" s="22" t="str">
        <f t="shared" si="196"/>
        <v>0.858614098003227+0.088248538199433i</v>
      </c>
      <c r="AR374" s="22" t="str">
        <f t="shared" si="197"/>
        <v>0.960026588785221-0.0986717354046585i</v>
      </c>
    </row>
    <row r="375" spans="7:44">
      <c r="G375" s="257">
        <v>31263</v>
      </c>
      <c r="H375" s="256">
        <f t="shared" si="189"/>
        <v>31.263</v>
      </c>
      <c r="I375" s="298">
        <f t="shared" si="169"/>
        <v>30.5177919291296</v>
      </c>
      <c r="J375" s="299">
        <f t="shared" si="170"/>
        <v>1.53802268958982</v>
      </c>
      <c r="K375" s="299">
        <f t="shared" si="171"/>
        <v>1.00014267798351</v>
      </c>
      <c r="L375" s="300">
        <f t="shared" si="172"/>
        <v>0.0168914784078374</v>
      </c>
      <c r="M375" s="299">
        <f t="shared" si="173"/>
        <v>1.00612329483567</v>
      </c>
      <c r="N375" s="300">
        <f t="shared" si="174"/>
        <v>-0.110383074958604</v>
      </c>
      <c r="O375" s="298">
        <f t="shared" si="175"/>
        <v>56572.1919546015</v>
      </c>
      <c r="P375" s="301">
        <f t="shared" si="176"/>
        <v>1.57077865026575</v>
      </c>
      <c r="Q375" s="320">
        <f t="shared" si="198"/>
        <v>23.5929489435325</v>
      </c>
      <c r="R375" s="321">
        <f t="shared" si="199"/>
        <v>1.5283980803051</v>
      </c>
      <c r="S375" s="298">
        <f t="shared" si="177"/>
        <v>1.01227197135623</v>
      </c>
      <c r="T375" s="301">
        <f t="shared" si="178"/>
        <v>0.155870270780818</v>
      </c>
      <c r="U375" s="316">
        <f t="shared" si="190"/>
        <v>0.952102509363073</v>
      </c>
      <c r="V375" s="317">
        <f t="shared" si="191"/>
        <v>-0.3835285540093</v>
      </c>
      <c r="W375" s="318">
        <f t="shared" si="179"/>
        <v>-0.901327405579834</v>
      </c>
      <c r="X375" s="319">
        <f t="shared" si="180"/>
        <v>-126.812386882954</v>
      </c>
      <c r="Y375" s="332">
        <f t="shared" si="181"/>
        <v>53.1876131170463</v>
      </c>
      <c r="AA375" s="22">
        <f t="shared" si="182"/>
        <v>31263</v>
      </c>
      <c r="AB375" s="22">
        <f t="shared" si="183"/>
        <v>977375169</v>
      </c>
      <c r="AD375" s="331">
        <f t="shared" si="184"/>
        <v>27.506089861642</v>
      </c>
      <c r="AE375" s="332">
        <f t="shared" si="185"/>
        <v>-11.3589364723857</v>
      </c>
      <c r="AG375" s="331">
        <f t="shared" si="186"/>
        <v>-2.16682270275418</v>
      </c>
      <c r="AH375" s="332">
        <f t="shared" si="187"/>
        <v>-71.5043154253724</v>
      </c>
      <c r="AJ375" s="22">
        <f t="shared" si="188"/>
        <v>0</v>
      </c>
      <c r="AK375" s="22">
        <f t="shared" si="200"/>
        <v>0</v>
      </c>
      <c r="AM375" s="22" t="str">
        <f t="shared" si="192"/>
        <v>0.153399986714847+0.532229666126926i</v>
      </c>
      <c r="AN375" s="22" t="str">
        <f t="shared" si="193"/>
        <v>0.561232062954i</v>
      </c>
      <c r="AO375" s="22" t="str">
        <f t="shared" si="194"/>
        <v>0.948323699336738-0.273327197144508i</v>
      </c>
      <c r="AP375" s="22" t="str">
        <f t="shared" si="195"/>
        <v>0.141100002214192-0.0887049443544877i</v>
      </c>
      <c r="AQ375" s="22" t="str">
        <f t="shared" si="196"/>
        <v>0.858899997785808+0.0887049443544877i</v>
      </c>
      <c r="AR375" s="22" t="str">
        <f t="shared" si="197"/>
        <v>0.959609746601575-0.0991059836928122i</v>
      </c>
    </row>
    <row r="376" spans="7:44">
      <c r="G376" s="257">
        <v>31443</v>
      </c>
      <c r="H376" s="256">
        <f t="shared" si="189"/>
        <v>31.443</v>
      </c>
      <c r="I376" s="298">
        <f t="shared" si="169"/>
        <v>30.6933131911034</v>
      </c>
      <c r="J376" s="299">
        <f t="shared" si="170"/>
        <v>1.53821017384598</v>
      </c>
      <c r="K376" s="299">
        <f t="shared" si="171"/>
        <v>1.0001443255613</v>
      </c>
      <c r="L376" s="300">
        <f t="shared" si="172"/>
        <v>0.0169887142074132</v>
      </c>
      <c r="M376" s="299">
        <f t="shared" si="173"/>
        <v>1.00619379119342</v>
      </c>
      <c r="N376" s="300">
        <f t="shared" si="174"/>
        <v>-0.111013423049392</v>
      </c>
      <c r="O376" s="298">
        <f t="shared" si="175"/>
        <v>56897.9122805029</v>
      </c>
      <c r="P376" s="301">
        <f t="shared" si="176"/>
        <v>1.5707787514576</v>
      </c>
      <c r="Q376" s="320">
        <f t="shared" si="198"/>
        <v>23.7285444785265</v>
      </c>
      <c r="R376" s="321">
        <f t="shared" si="199"/>
        <v>1.5286405069194</v>
      </c>
      <c r="S376" s="298">
        <f t="shared" si="177"/>
        <v>1.01241282363952</v>
      </c>
      <c r="T376" s="301">
        <f t="shared" si="178"/>
        <v>0.156753122093314</v>
      </c>
      <c r="U376" s="316">
        <f t="shared" si="190"/>
        <v>0.95159074149963</v>
      </c>
      <c r="V376" s="317">
        <f t="shared" si="191"/>
        <v>-0.385634560606902</v>
      </c>
      <c r="W376" s="318">
        <f t="shared" si="179"/>
        <v>-0.956485410180768</v>
      </c>
      <c r="X376" s="319">
        <f t="shared" si="180"/>
        <v>-127.011038743915</v>
      </c>
      <c r="Y376" s="332">
        <f t="shared" si="181"/>
        <v>52.9889612560854</v>
      </c>
      <c r="AA376" s="22">
        <f t="shared" si="182"/>
        <v>31443</v>
      </c>
      <c r="AB376" s="22">
        <f t="shared" si="183"/>
        <v>988662249</v>
      </c>
      <c r="AD376" s="331">
        <f t="shared" si="184"/>
        <v>27.5047922747595</v>
      </c>
      <c r="AE376" s="332">
        <f t="shared" si="185"/>
        <v>-11.3956359025961</v>
      </c>
      <c r="AG376" s="331">
        <f t="shared" si="186"/>
        <v>-2.21134304577891</v>
      </c>
      <c r="AH376" s="332">
        <f t="shared" si="187"/>
        <v>-71.4249372765085</v>
      </c>
      <c r="AJ376" s="22">
        <f t="shared" si="188"/>
        <v>0</v>
      </c>
      <c r="AK376" s="22">
        <f t="shared" si="200"/>
        <v>0</v>
      </c>
      <c r="AM376" s="22" t="str">
        <f t="shared" si="192"/>
        <v>0.155124225294008+0.534962545712268i</v>
      </c>
      <c r="AN376" s="22" t="str">
        <f t="shared" si="193"/>
        <v>0.564463415394i</v>
      </c>
      <c r="AO376" s="22" t="str">
        <f t="shared" si="194"/>
        <v>0.947736436273482-0.274817146804333i</v>
      </c>
      <c r="AP376" s="22" t="str">
        <f t="shared" si="195"/>
        <v>0.140812629117665-0.089160424285378i</v>
      </c>
      <c r="AQ376" s="22" t="str">
        <f t="shared" si="196"/>
        <v>0.859187370882335+0.089160424285378i</v>
      </c>
      <c r="AR376" s="22" t="str">
        <f t="shared" si="197"/>
        <v>0.959191400149483-0.0995381393006135i</v>
      </c>
    </row>
    <row r="377" spans="7:44">
      <c r="G377" s="257">
        <v>31623</v>
      </c>
      <c r="H377" s="256">
        <f t="shared" si="189"/>
        <v>31.623</v>
      </c>
      <c r="I377" s="298">
        <f t="shared" si="169"/>
        <v>30.8688355196887</v>
      </c>
      <c r="J377" s="299">
        <f t="shared" si="170"/>
        <v>1.53839552601176</v>
      </c>
      <c r="K377" s="299">
        <f t="shared" si="171"/>
        <v>1.00014598259522</v>
      </c>
      <c r="L377" s="300">
        <f t="shared" si="172"/>
        <v>0.0170859496857094</v>
      </c>
      <c r="M377" s="299">
        <f t="shared" si="173"/>
        <v>1.0062646872948</v>
      </c>
      <c r="N377" s="300">
        <f t="shared" si="174"/>
        <v>-0.111643682568575</v>
      </c>
      <c r="O377" s="298">
        <f t="shared" si="175"/>
        <v>57223.6326064049</v>
      </c>
      <c r="P377" s="301">
        <f t="shared" si="176"/>
        <v>1.57077885149746</v>
      </c>
      <c r="Q377" s="320">
        <f t="shared" si="198"/>
        <v>23.8641413922152</v>
      </c>
      <c r="R377" s="321">
        <f t="shared" si="199"/>
        <v>1.52888017859408</v>
      </c>
      <c r="S377" s="298">
        <f t="shared" si="177"/>
        <v>1.01255446480424</v>
      </c>
      <c r="T377" s="301">
        <f t="shared" si="178"/>
        <v>0.157635727098293</v>
      </c>
      <c r="U377" s="316">
        <f t="shared" si="190"/>
        <v>0.951076817271742</v>
      </c>
      <c r="V377" s="317">
        <f t="shared" si="191"/>
        <v>-0.387738941468575</v>
      </c>
      <c r="W377" s="318">
        <f t="shared" si="179"/>
        <v>-1.01138346560872</v>
      </c>
      <c r="X377" s="319">
        <f t="shared" si="180"/>
        <v>-127.209613908944</v>
      </c>
      <c r="Y377" s="332">
        <f t="shared" si="181"/>
        <v>52.7903860910557</v>
      </c>
      <c r="AA377" s="22">
        <f t="shared" si="182"/>
        <v>31623</v>
      </c>
      <c r="AB377" s="22">
        <f t="shared" si="183"/>
        <v>1000014129</v>
      </c>
      <c r="AD377" s="331">
        <f t="shared" si="184"/>
        <v>27.5034896037726</v>
      </c>
      <c r="AE377" s="332">
        <f t="shared" si="185"/>
        <v>-11.4324790008345</v>
      </c>
      <c r="AG377" s="331">
        <f t="shared" si="186"/>
        <v>-2.25555394428862</v>
      </c>
      <c r="AH377" s="332">
        <f t="shared" si="187"/>
        <v>-71.3455250593005</v>
      </c>
      <c r="AJ377" s="22">
        <f t="shared" si="188"/>
        <v>0</v>
      </c>
      <c r="AK377" s="22">
        <f t="shared" si="200"/>
        <v>0</v>
      </c>
      <c r="AM377" s="22" t="str">
        <f t="shared" si="192"/>
        <v>0.156857285752987+0.537689839416908i</v>
      </c>
      <c r="AN377" s="22" t="str">
        <f t="shared" si="193"/>
        <v>0.567694767834i</v>
      </c>
      <c r="AO377" s="22" t="str">
        <f t="shared" si="194"/>
        <v>0.947146019098302-0.276305674529052i</v>
      </c>
      <c r="AP377" s="22" t="str">
        <f t="shared" si="195"/>
        <v>0.140523785707835-0.0896149732361513i</v>
      </c>
      <c r="AQ377" s="22" t="str">
        <f t="shared" si="196"/>
        <v>0.859476214292165+0.0896149732361513i</v>
      </c>
      <c r="AR377" s="22" t="str">
        <f t="shared" si="197"/>
        <v>0.958771562212919-0.0999681974422698i</v>
      </c>
    </row>
    <row r="378" spans="7:44">
      <c r="G378" s="257">
        <v>31807</v>
      </c>
      <c r="H378" s="256">
        <f t="shared" si="189"/>
        <v>31.807</v>
      </c>
      <c r="I378" s="298">
        <f t="shared" si="169"/>
        <v>31.048259428058</v>
      </c>
      <c r="J378" s="299">
        <f t="shared" si="170"/>
        <v>1.53858283106546</v>
      </c>
      <c r="K378" s="299">
        <f t="shared" si="171"/>
        <v>1.00014768622574</v>
      </c>
      <c r="L378" s="300">
        <f t="shared" si="172"/>
        <v>0.017185345618431</v>
      </c>
      <c r="M378" s="299">
        <f t="shared" si="173"/>
        <v>1.00633757194426</v>
      </c>
      <c r="N378" s="300">
        <f t="shared" si="174"/>
        <v>-0.112287855807179</v>
      </c>
      <c r="O378" s="298">
        <f t="shared" si="175"/>
        <v>57556.5911617719</v>
      </c>
      <c r="P378" s="301">
        <f t="shared" si="176"/>
        <v>1.57077895259014</v>
      </c>
      <c r="Q378" s="320">
        <f t="shared" si="198"/>
        <v>24.002752971315</v>
      </c>
      <c r="R378" s="321">
        <f t="shared" si="199"/>
        <v>1.52912237744153</v>
      </c>
      <c r="S378" s="298">
        <f t="shared" si="177"/>
        <v>1.01270006857799</v>
      </c>
      <c r="T378" s="301">
        <f t="shared" si="178"/>
        <v>0.158537689645381</v>
      </c>
      <c r="U378" s="316">
        <f t="shared" si="190"/>
        <v>0.950549255578314</v>
      </c>
      <c r="V378" s="317">
        <f t="shared" si="191"/>
        <v>-0.389888400022658</v>
      </c>
      <c r="W378" s="318">
        <f t="shared" si="179"/>
        <v>-1.06723610153719</v>
      </c>
      <c r="X378" s="319">
        <f t="shared" si="180"/>
        <v>-127.412521509673</v>
      </c>
      <c r="Y378" s="332">
        <f t="shared" si="181"/>
        <v>52.5874784903274</v>
      </c>
      <c r="AA378" s="22">
        <f t="shared" si="182"/>
        <v>31807</v>
      </c>
      <c r="AB378" s="22">
        <f t="shared" si="183"/>
        <v>1011685249</v>
      </c>
      <c r="AD378" s="331">
        <f t="shared" si="184"/>
        <v>27.5021527000226</v>
      </c>
      <c r="AE378" s="332">
        <f t="shared" si="185"/>
        <v>-11.4702864685268</v>
      </c>
      <c r="AG378" s="331">
        <f t="shared" si="186"/>
        <v>-2.30043088821234</v>
      </c>
      <c r="AH378" s="332">
        <f t="shared" si="187"/>
        <v>-71.2643153852805</v>
      </c>
      <c r="AJ378" s="22">
        <f t="shared" si="188"/>
        <v>0</v>
      </c>
      <c r="AK378" s="22">
        <f t="shared" si="200"/>
        <v>0</v>
      </c>
      <c r="AM378" s="22" t="str">
        <f t="shared" si="192"/>
        <v>0.158637957944611+0.540471936541006i</v>
      </c>
      <c r="AN378" s="22" t="str">
        <f t="shared" si="193"/>
        <v>0.570997928106i</v>
      </c>
      <c r="AO378" s="22" t="str">
        <f t="shared" si="194"/>
        <v>0.946539225341415-0.27782580310022i</v>
      </c>
      <c r="AP378" s="22" t="str">
        <f t="shared" si="195"/>
        <v>0.140227007009231-0.0900786560901677i</v>
      </c>
      <c r="AQ378" s="22" t="str">
        <f t="shared" si="196"/>
        <v>0.859772992990769+0.0900786560901677i</v>
      </c>
      <c r="AR378" s="22" t="str">
        <f t="shared" si="197"/>
        <v>0.958340866291478-0.100405639646267i</v>
      </c>
    </row>
    <row r="379" spans="7:44">
      <c r="G379" s="257">
        <v>31991</v>
      </c>
      <c r="H379" s="256">
        <f t="shared" si="189"/>
        <v>31.991</v>
      </c>
      <c r="I379" s="298">
        <f t="shared" si="169"/>
        <v>31.2276844131819</v>
      </c>
      <c r="J379" s="299">
        <f t="shared" si="170"/>
        <v>1.53876798372736</v>
      </c>
      <c r="K379" s="299">
        <f t="shared" si="171"/>
        <v>1.00014939973724</v>
      </c>
      <c r="L379" s="300">
        <f t="shared" si="172"/>
        <v>0.0172847412115533</v>
      </c>
      <c r="M379" s="299">
        <f t="shared" si="173"/>
        <v>1.00641087412213</v>
      </c>
      <c r="N379" s="300">
        <f t="shared" si="174"/>
        <v>-0.112931935475992</v>
      </c>
      <c r="O379" s="298">
        <f t="shared" si="175"/>
        <v>57889.5497171395</v>
      </c>
      <c r="P379" s="301">
        <f t="shared" si="176"/>
        <v>1.57077905251992</v>
      </c>
      <c r="Q379" s="320">
        <f t="shared" si="198"/>
        <v>24.1413659422544</v>
      </c>
      <c r="R379" s="321">
        <f t="shared" si="199"/>
        <v>1.5293617950268</v>
      </c>
      <c r="S379" s="298">
        <f t="shared" si="177"/>
        <v>1.01284649598288</v>
      </c>
      <c r="T379" s="301">
        <f t="shared" si="178"/>
        <v>0.159439392132077</v>
      </c>
      <c r="U379" s="316">
        <f t="shared" si="190"/>
        <v>0.950019464677847</v>
      </c>
      <c r="V379" s="317">
        <f t="shared" si="191"/>
        <v>-0.392036147663434</v>
      </c>
      <c r="W379" s="318">
        <f t="shared" si="179"/>
        <v>-1.12282374859608</v>
      </c>
      <c r="X379" s="319">
        <f t="shared" si="180"/>
        <v>-127.615346805219</v>
      </c>
      <c r="Y379" s="332">
        <f t="shared" si="181"/>
        <v>52.3846531947809</v>
      </c>
      <c r="AA379" s="22">
        <f t="shared" si="182"/>
        <v>31991</v>
      </c>
      <c r="AB379" s="22">
        <f t="shared" si="183"/>
        <v>1023424081</v>
      </c>
      <c r="AD379" s="331">
        <f t="shared" si="184"/>
        <v>27.5008104244999</v>
      </c>
      <c r="AE379" s="332">
        <f t="shared" si="185"/>
        <v>-11.5082383238116</v>
      </c>
      <c r="AG379" s="331">
        <f t="shared" si="186"/>
        <v>-2.34499135782867</v>
      </c>
      <c r="AH379" s="332">
        <f t="shared" si="187"/>
        <v>-71.1830750747095</v>
      </c>
      <c r="AJ379" s="22">
        <f t="shared" si="188"/>
        <v>0</v>
      </c>
      <c r="AK379" s="22">
        <f t="shared" si="200"/>
        <v>0</v>
      </c>
      <c r="AM379" s="22" t="str">
        <f t="shared" si="192"/>
        <v>0.160427810117885+0.543248136652626i</v>
      </c>
      <c r="AN379" s="22" t="str">
        <f t="shared" si="193"/>
        <v>0.574301088378i</v>
      </c>
      <c r="AO379" s="22" t="str">
        <f t="shared" si="194"/>
        <v>0.945929143521081-0.279344429889523i</v>
      </c>
      <c r="AP379" s="22" t="str">
        <f t="shared" si="195"/>
        <v>0.139928698313686-0.090541356108771i</v>
      </c>
      <c r="AQ379" s="22" t="str">
        <f t="shared" si="196"/>
        <v>0.860071301686314+0.090541356108771i</v>
      </c>
      <c r="AR379" s="22" t="str">
        <f t="shared" si="197"/>
        <v>0.957908638888428-0.100840880312151i</v>
      </c>
    </row>
    <row r="380" spans="7:44">
      <c r="G380" s="257">
        <v>32175</v>
      </c>
      <c r="H380" s="256">
        <f t="shared" si="189"/>
        <v>32.175</v>
      </c>
      <c r="I380" s="298">
        <f t="shared" si="169"/>
        <v>31.4071104566063</v>
      </c>
      <c r="J380" s="299">
        <f t="shared" si="170"/>
        <v>1.53895102087392</v>
      </c>
      <c r="K380" s="299">
        <f t="shared" si="171"/>
        <v>1.00015112312966</v>
      </c>
      <c r="L380" s="300">
        <f t="shared" si="172"/>
        <v>0.0173841364631142</v>
      </c>
      <c r="M380" s="299">
        <f t="shared" si="173"/>
        <v>1.00648459373718</v>
      </c>
      <c r="N380" s="300">
        <f t="shared" si="174"/>
        <v>-0.113575921061139</v>
      </c>
      <c r="O380" s="298">
        <f t="shared" si="175"/>
        <v>58222.5082725077</v>
      </c>
      <c r="P380" s="301">
        <f t="shared" si="176"/>
        <v>1.57077915130676</v>
      </c>
      <c r="Q380" s="320">
        <f t="shared" si="198"/>
        <v>24.2799802811956</v>
      </c>
      <c r="R380" s="321">
        <f t="shared" si="199"/>
        <v>1.52959847895688</v>
      </c>
      <c r="S380" s="298">
        <f t="shared" si="177"/>
        <v>1.01299374666174</v>
      </c>
      <c r="T380" s="301">
        <f t="shared" si="178"/>
        <v>0.160340833205185</v>
      </c>
      <c r="U380" s="316">
        <f t="shared" si="190"/>
        <v>0.94948745675511</v>
      </c>
      <c r="V380" s="317">
        <f t="shared" si="191"/>
        <v>-0.394182178345098</v>
      </c>
      <c r="W380" s="318">
        <f t="shared" si="179"/>
        <v>-1.17814967591153</v>
      </c>
      <c r="X380" s="319">
        <f t="shared" si="180"/>
        <v>-127.818088728652</v>
      </c>
      <c r="Y380" s="332">
        <f t="shared" si="181"/>
        <v>52.1819112713485</v>
      </c>
      <c r="AA380" s="22">
        <f t="shared" si="182"/>
        <v>32175</v>
      </c>
      <c r="AB380" s="22">
        <f t="shared" si="183"/>
        <v>1035230625</v>
      </c>
      <c r="AD380" s="331">
        <f t="shared" si="184"/>
        <v>27.4994627488417</v>
      </c>
      <c r="AE380" s="332">
        <f t="shared" si="185"/>
        <v>-11.5463317626211</v>
      </c>
      <c r="AG380" s="331">
        <f t="shared" si="186"/>
        <v>-2.38923874265489</v>
      </c>
      <c r="AH380" s="332">
        <f t="shared" si="187"/>
        <v>-71.1018065575219</v>
      </c>
      <c r="AJ380" s="22">
        <f t="shared" si="188"/>
        <v>0</v>
      </c>
      <c r="AK380" s="22">
        <f t="shared" si="200"/>
        <v>0</v>
      </c>
      <c r="AM380" s="22" t="str">
        <f t="shared" si="192"/>
        <v>0.162226822743989+0.546018409461044i</v>
      </c>
      <c r="AN380" s="22" t="str">
        <f t="shared" si="193"/>
        <v>0.57760424865i</v>
      </c>
      <c r="AO380" s="22" t="str">
        <f t="shared" si="194"/>
        <v>0.945315777605896-0.280861546851762i</v>
      </c>
      <c r="AP380" s="22" t="str">
        <f t="shared" si="195"/>
        <v>0.139628862876002-0.0910030682435073i</v>
      </c>
      <c r="AQ380" s="22" t="str">
        <f t="shared" si="196"/>
        <v>0.860371137123998+0.0910030682435073i</v>
      </c>
      <c r="AR380" s="22" t="str">
        <f t="shared" si="197"/>
        <v>0.957474893671402-0.101273914628851i</v>
      </c>
    </row>
    <row r="381" spans="7:44">
      <c r="G381" s="257">
        <v>32359</v>
      </c>
      <c r="H381" s="256">
        <f t="shared" si="189"/>
        <v>32.359</v>
      </c>
      <c r="I381" s="298">
        <f t="shared" si="169"/>
        <v>31.5865375402962</v>
      </c>
      <c r="J381" s="299">
        <f t="shared" si="170"/>
        <v>1.53913197854427</v>
      </c>
      <c r="K381" s="299">
        <f t="shared" si="171"/>
        <v>1.00015285640296</v>
      </c>
      <c r="L381" s="300">
        <f t="shared" si="172"/>
        <v>0.0174835313711513</v>
      </c>
      <c r="M381" s="299">
        <f t="shared" si="173"/>
        <v>1.0065587306977</v>
      </c>
      <c r="N381" s="300">
        <f t="shared" si="174"/>
        <v>-0.114219812049206</v>
      </c>
      <c r="O381" s="298">
        <f t="shared" si="175"/>
        <v>58555.4668278765</v>
      </c>
      <c r="P381" s="301">
        <f t="shared" si="176"/>
        <v>1.57077924897016</v>
      </c>
      <c r="Q381" s="320">
        <f t="shared" si="198"/>
        <v>24.4185959648419</v>
      </c>
      <c r="R381" s="321">
        <f t="shared" si="199"/>
        <v>1.52983247575898</v>
      </c>
      <c r="S381" s="298">
        <f t="shared" si="177"/>
        <v>1.01314182025561</v>
      </c>
      <c r="T381" s="301">
        <f t="shared" si="178"/>
        <v>0.161242011513993</v>
      </c>
      <c r="U381" s="316">
        <f t="shared" si="190"/>
        <v>0.948953244008919</v>
      </c>
      <c r="V381" s="317">
        <f t="shared" si="191"/>
        <v>-0.396326486076048</v>
      </c>
      <c r="W381" s="318">
        <f t="shared" si="179"/>
        <v>-1.23321709500372</v>
      </c>
      <c r="X381" s="319">
        <f t="shared" si="180"/>
        <v>-128.020746230177</v>
      </c>
      <c r="Y381" s="332">
        <f t="shared" si="181"/>
        <v>51.9792537698233</v>
      </c>
      <c r="AA381" s="22">
        <f t="shared" si="182"/>
        <v>32359</v>
      </c>
      <c r="AB381" s="22">
        <f t="shared" si="183"/>
        <v>1047104881</v>
      </c>
      <c r="AD381" s="331">
        <f t="shared" si="184"/>
        <v>27.4981096456891</v>
      </c>
      <c r="AE381" s="332">
        <f t="shared" si="185"/>
        <v>-11.584564042869</v>
      </c>
      <c r="AG381" s="331">
        <f t="shared" si="186"/>
        <v>-2.43317637591532</v>
      </c>
      <c r="AH381" s="332">
        <f t="shared" si="187"/>
        <v>-71.020512212597</v>
      </c>
      <c r="AJ381" s="22">
        <f t="shared" si="188"/>
        <v>0</v>
      </c>
      <c r="AK381" s="22">
        <f t="shared" si="200"/>
        <v>0</v>
      </c>
      <c r="AM381" s="22" t="str">
        <f t="shared" si="192"/>
        <v>0.16403497619415+0.548782724740206i</v>
      </c>
      <c r="AN381" s="22" t="str">
        <f t="shared" si="193"/>
        <v>0.580907408922i</v>
      </c>
      <c r="AO381" s="22" t="str">
        <f t="shared" si="194"/>
        <v>0.944699131585517-0.282377145952662i</v>
      </c>
      <c r="AP381" s="22" t="str">
        <f t="shared" si="195"/>
        <v>0.139327503967642-0.091463787456701i</v>
      </c>
      <c r="AQ381" s="22" t="str">
        <f t="shared" si="196"/>
        <v>0.860672496032358+0.091463787456701i</v>
      </c>
      <c r="AR381" s="22" t="str">
        <f t="shared" si="197"/>
        <v>0.957039644310496-0.101704737886223i</v>
      </c>
    </row>
    <row r="382" spans="7:44">
      <c r="G382" s="257">
        <v>32547.5</v>
      </c>
      <c r="H382" s="256">
        <f t="shared" si="189"/>
        <v>32.5475</v>
      </c>
      <c r="I382" s="298">
        <f t="shared" si="169"/>
        <v>31.7703538466716</v>
      </c>
      <c r="J382" s="299">
        <f t="shared" si="170"/>
        <v>1.5393152422475</v>
      </c>
      <c r="K382" s="299">
        <f t="shared" si="171"/>
        <v>1.00015464231235</v>
      </c>
      <c r="L382" s="300">
        <f t="shared" si="172"/>
        <v>0.0175853567746379</v>
      </c>
      <c r="M382" s="299">
        <f t="shared" si="173"/>
        <v>1.00663511347451</v>
      </c>
      <c r="N382" s="300">
        <f t="shared" si="174"/>
        <v>-0.114879351739324</v>
      </c>
      <c r="O382" s="298">
        <f t="shared" si="175"/>
        <v>58896.5683913935</v>
      </c>
      <c r="P382" s="301">
        <f t="shared" si="176"/>
        <v>1.57077934787698</v>
      </c>
      <c r="Q382" s="320">
        <f t="shared" si="198"/>
        <v>24.5606030766037</v>
      </c>
      <c r="R382" s="321">
        <f t="shared" si="199"/>
        <v>1.53006945633838</v>
      </c>
      <c r="S382" s="298">
        <f t="shared" si="177"/>
        <v>1.01329436818695</v>
      </c>
      <c r="T382" s="301">
        <f t="shared" si="178"/>
        <v>0.162164955617906</v>
      </c>
      <c r="U382" s="316">
        <f t="shared" si="190"/>
        <v>0.948403692677959</v>
      </c>
      <c r="V382" s="317">
        <f t="shared" si="191"/>
        <v>-0.39852144323675</v>
      </c>
      <c r="W382" s="318">
        <f t="shared" si="179"/>
        <v>-1.28936650101444</v>
      </c>
      <c r="X382" s="319">
        <f t="shared" si="180"/>
        <v>-128.228271405263</v>
      </c>
      <c r="Y382" s="332">
        <f t="shared" si="181"/>
        <v>51.7717285947369</v>
      </c>
      <c r="AA382" s="22">
        <f t="shared" si="182"/>
        <v>32547.5</v>
      </c>
      <c r="AB382" s="22">
        <f t="shared" si="183"/>
        <v>1059339756.25</v>
      </c>
      <c r="AD382" s="331">
        <f t="shared" si="184"/>
        <v>27.4967177945344</v>
      </c>
      <c r="AE382" s="332">
        <f t="shared" si="185"/>
        <v>-11.6238725247117</v>
      </c>
      <c r="AG382" s="331">
        <f t="shared" si="186"/>
        <v>-2.47787079029982</v>
      </c>
      <c r="AH382" s="332">
        <f t="shared" si="187"/>
        <v>-70.9372053425127</v>
      </c>
      <c r="AJ382" s="22">
        <f t="shared" si="188"/>
        <v>0</v>
      </c>
      <c r="AK382" s="22">
        <f t="shared" si="200"/>
        <v>0</v>
      </c>
      <c r="AM382" s="22" t="str">
        <f t="shared" si="192"/>
        <v>0.165896809049779+0.551608436163425i</v>
      </c>
      <c r="AN382" s="22" t="str">
        <f t="shared" si="193"/>
        <v>0.584291353005i</v>
      </c>
      <c r="AO382" s="22" t="str">
        <f t="shared" si="194"/>
        <v>0.944064007325306-0.283928228950462i</v>
      </c>
      <c r="AP382" s="22" t="str">
        <f t="shared" si="195"/>
        <v>0.139017198491703-0.0919347393605708i</v>
      </c>
      <c r="AQ382" s="22" t="str">
        <f t="shared" si="196"/>
        <v>0.860982801508297+0.0919347393605708i</v>
      </c>
      <c r="AR382" s="22" t="str">
        <f t="shared" si="197"/>
        <v>0.956592204784151-0.102143799930871i</v>
      </c>
    </row>
    <row r="383" spans="7:44">
      <c r="G383" s="257">
        <v>32736</v>
      </c>
      <c r="H383" s="256">
        <f t="shared" si="189"/>
        <v>32.736</v>
      </c>
      <c r="I383" s="298">
        <f t="shared" si="169"/>
        <v>31.9541712077968</v>
      </c>
      <c r="J383" s="299">
        <f t="shared" si="170"/>
        <v>1.53949639749648</v>
      </c>
      <c r="K383" s="299">
        <f t="shared" si="171"/>
        <v>1.00015643859172</v>
      </c>
      <c r="L383" s="300">
        <f t="shared" si="172"/>
        <v>0.0176871818134238</v>
      </c>
      <c r="M383" s="299">
        <f t="shared" si="173"/>
        <v>1.00671193406359</v>
      </c>
      <c r="N383" s="300">
        <f t="shared" si="174"/>
        <v>-0.115538791059405</v>
      </c>
      <c r="O383" s="298">
        <f t="shared" si="175"/>
        <v>59237.669954911</v>
      </c>
      <c r="P383" s="301">
        <f t="shared" si="176"/>
        <v>1.57077944564476</v>
      </c>
      <c r="Q383" s="320">
        <f t="shared" si="198"/>
        <v>24.7026115518254</v>
      </c>
      <c r="R383" s="321">
        <f t="shared" si="199"/>
        <v>1.53030371225933</v>
      </c>
      <c r="S383" s="298">
        <f t="shared" si="177"/>
        <v>1.01344777900832</v>
      </c>
      <c r="T383" s="301">
        <f t="shared" si="178"/>
        <v>0.163087621085946</v>
      </c>
      <c r="U383" s="316">
        <f t="shared" si="190"/>
        <v>0.947851853321181</v>
      </c>
      <c r="V383" s="317">
        <f t="shared" si="191"/>
        <v>-0.400714579585561</v>
      </c>
      <c r="W383" s="318">
        <f t="shared" si="179"/>
        <v>-1.34525124352902</v>
      </c>
      <c r="X383" s="319">
        <f t="shared" si="180"/>
        <v>-128.435705801607</v>
      </c>
      <c r="Y383" s="332">
        <f t="shared" si="181"/>
        <v>51.5642941983928</v>
      </c>
      <c r="AA383" s="22">
        <f t="shared" si="182"/>
        <v>32736</v>
      </c>
      <c r="AB383" s="22">
        <f t="shared" si="183"/>
        <v>1071645696</v>
      </c>
      <c r="AD383" s="331">
        <f t="shared" si="184"/>
        <v>27.4953201921224</v>
      </c>
      <c r="AE383" s="332">
        <f t="shared" si="185"/>
        <v>-11.6633210880629</v>
      </c>
      <c r="AG383" s="331">
        <f t="shared" si="186"/>
        <v>-2.52224702336492</v>
      </c>
      <c r="AH383" s="332">
        <f t="shared" si="187"/>
        <v>-70.8538762618514</v>
      </c>
      <c r="AJ383" s="22">
        <f t="shared" si="188"/>
        <v>0</v>
      </c>
      <c r="AK383" s="22">
        <f t="shared" si="200"/>
        <v>0</v>
      </c>
      <c r="AM383" s="22" t="str">
        <f t="shared" si="192"/>
        <v>0.167768193276623+0.554427831081688i</v>
      </c>
      <c r="AN383" s="22" t="str">
        <f t="shared" si="193"/>
        <v>0.587675297088i</v>
      </c>
      <c r="AO383" s="22" t="str">
        <f t="shared" si="194"/>
        <v>0.943425449102494-0.285477701900921i</v>
      </c>
      <c r="AP383" s="22" t="str">
        <f t="shared" si="195"/>
        <v>0.138705301120563-0.0924046385136147i</v>
      </c>
      <c r="AQ383" s="22" t="str">
        <f t="shared" si="196"/>
        <v>0.861294698879437+0.0924046385136147i</v>
      </c>
      <c r="AR383" s="22" t="str">
        <f t="shared" si="197"/>
        <v>0.956143215690978-0.102580531760056i</v>
      </c>
    </row>
    <row r="384" spans="7:44">
      <c r="G384" s="257">
        <v>32924.5</v>
      </c>
      <c r="H384" s="256">
        <f t="shared" si="189"/>
        <v>32.9245</v>
      </c>
      <c r="I384" s="298">
        <f t="shared" si="169"/>
        <v>32.1379896055734</v>
      </c>
      <c r="J384" s="299">
        <f t="shared" si="170"/>
        <v>1.53967548045815</v>
      </c>
      <c r="K384" s="299">
        <f t="shared" si="171"/>
        <v>1.00015824524101</v>
      </c>
      <c r="L384" s="300">
        <f t="shared" si="172"/>
        <v>0.0177890064853993</v>
      </c>
      <c r="M384" s="299">
        <f t="shared" si="173"/>
        <v>1.00678919236472</v>
      </c>
      <c r="N384" s="300">
        <f t="shared" si="174"/>
        <v>-0.11619812945896</v>
      </c>
      <c r="O384" s="298">
        <f t="shared" si="175"/>
        <v>59578.7715184291</v>
      </c>
      <c r="P384" s="301">
        <f t="shared" si="176"/>
        <v>1.57077954229306</v>
      </c>
      <c r="Q384" s="320">
        <f t="shared" si="198"/>
        <v>24.8446213671269</v>
      </c>
      <c r="R384" s="321">
        <f t="shared" si="199"/>
        <v>1.53053529021765</v>
      </c>
      <c r="S384" s="298">
        <f t="shared" si="177"/>
        <v>1.01360205232792</v>
      </c>
      <c r="T384" s="301">
        <f t="shared" si="178"/>
        <v>0.164010006474035</v>
      </c>
      <c r="U384" s="316">
        <f t="shared" si="190"/>
        <v>0.947297739095958</v>
      </c>
      <c r="V384" s="317">
        <f t="shared" si="191"/>
        <v>-0.402905888857442</v>
      </c>
      <c r="W384" s="318">
        <f t="shared" si="179"/>
        <v>-1.40087459590302</v>
      </c>
      <c r="X384" s="319">
        <f t="shared" si="180"/>
        <v>-128.64304834395</v>
      </c>
      <c r="Y384" s="332">
        <f t="shared" si="181"/>
        <v>51.3569516560501</v>
      </c>
      <c r="AA384" s="22">
        <f t="shared" si="182"/>
        <v>32924.5</v>
      </c>
      <c r="AB384" s="22">
        <f t="shared" si="183"/>
        <v>1084022700.25</v>
      </c>
      <c r="AD384" s="331">
        <f t="shared" si="184"/>
        <v>27.4939168121024</v>
      </c>
      <c r="AE384" s="332">
        <f t="shared" si="185"/>
        <v>-11.7029069758295</v>
      </c>
      <c r="AG384" s="331">
        <f t="shared" si="186"/>
        <v>-2.56630848334904</v>
      </c>
      <c r="AH384" s="332">
        <f t="shared" si="187"/>
        <v>-70.7705273703669</v>
      </c>
      <c r="AJ384" s="22">
        <f t="shared" si="188"/>
        <v>0</v>
      </c>
      <c r="AK384" s="22">
        <f t="shared" si="200"/>
        <v>0</v>
      </c>
      <c r="AM384" s="22" t="str">
        <f t="shared" si="192"/>
        <v>0.169649107445338+0.557240877209916i</v>
      </c>
      <c r="AN384" s="22" t="str">
        <f t="shared" si="193"/>
        <v>0.591059241171i</v>
      </c>
      <c r="AO384" s="22" t="str">
        <f t="shared" si="194"/>
        <v>0.942783461275246-0.28702555620183i</v>
      </c>
      <c r="AP384" s="22" t="str">
        <f t="shared" si="195"/>
        <v>0.138391815425777-0.092873479534986i</v>
      </c>
      <c r="AQ384" s="22" t="str">
        <f t="shared" si="196"/>
        <v>0.861608184574223+0.092873479534986i</v>
      </c>
      <c r="AR384" s="22" t="str">
        <f t="shared" si="197"/>
        <v>0.955692691731238-0.103014928637311i</v>
      </c>
    </row>
    <row r="385" spans="7:44">
      <c r="G385" s="257">
        <v>33113</v>
      </c>
      <c r="H385" s="256">
        <f t="shared" si="189"/>
        <v>33.113</v>
      </c>
      <c r="I385" s="298">
        <f t="shared" si="169"/>
        <v>32.3218090223147</v>
      </c>
      <c r="J385" s="299">
        <f t="shared" si="170"/>
        <v>1.53985252647723</v>
      </c>
      <c r="K385" s="299">
        <f t="shared" si="171"/>
        <v>1.00016006226017</v>
      </c>
      <c r="L385" s="300">
        <f t="shared" si="172"/>
        <v>0.017890830788455</v>
      </c>
      <c r="M385" s="299">
        <f t="shared" si="173"/>
        <v>1.00686688827714</v>
      </c>
      <c r="N385" s="300">
        <f t="shared" si="174"/>
        <v>-0.116857366388024</v>
      </c>
      <c r="O385" s="298">
        <f t="shared" si="175"/>
        <v>59919.8730819477</v>
      </c>
      <c r="P385" s="301">
        <f t="shared" si="176"/>
        <v>1.57077963784099</v>
      </c>
      <c r="Q385" s="320">
        <f t="shared" si="198"/>
        <v>24.9866324996595</v>
      </c>
      <c r="R385" s="321">
        <f t="shared" si="199"/>
        <v>1.53076423584877</v>
      </c>
      <c r="S385" s="298">
        <f t="shared" si="177"/>
        <v>1.01375718775198</v>
      </c>
      <c r="T385" s="301">
        <f t="shared" si="178"/>
        <v>0.16493211034088</v>
      </c>
      <c r="U385" s="316">
        <f t="shared" si="190"/>
        <v>0.946741363172186</v>
      </c>
      <c r="V385" s="317">
        <f t="shared" si="191"/>
        <v>-0.405095364847075</v>
      </c>
      <c r="W385" s="318">
        <f t="shared" si="179"/>
        <v>-1.45623977363859</v>
      </c>
      <c r="X385" s="319">
        <f t="shared" si="180"/>
        <v>-128.850297974263</v>
      </c>
      <c r="Y385" s="332">
        <f t="shared" si="181"/>
        <v>51.1497020257367</v>
      </c>
      <c r="AA385" s="22">
        <f t="shared" si="182"/>
        <v>33113</v>
      </c>
      <c r="AB385" s="22">
        <f t="shared" si="183"/>
        <v>1096470769</v>
      </c>
      <c r="AD385" s="331">
        <f t="shared" si="184"/>
        <v>27.4925076290908</v>
      </c>
      <c r="AE385" s="332">
        <f t="shared" si="185"/>
        <v>-11.7426274918096</v>
      </c>
      <c r="AG385" s="331">
        <f t="shared" si="186"/>
        <v>-2.61005852191423</v>
      </c>
      <c r="AH385" s="332">
        <f t="shared" si="187"/>
        <v>-70.6871610173109</v>
      </c>
      <c r="AJ385" s="22">
        <f t="shared" si="188"/>
        <v>0</v>
      </c>
      <c r="AK385" s="22">
        <f t="shared" si="200"/>
        <v>0</v>
      </c>
      <c r="AM385" s="22" t="str">
        <f t="shared" si="192"/>
        <v>0.171539530017449+0.56004754233573i</v>
      </c>
      <c r="AN385" s="22" t="str">
        <f t="shared" si="193"/>
        <v>0.594443185254i</v>
      </c>
      <c r="AO385" s="22" t="str">
        <f t="shared" si="194"/>
        <v>0.942138048224789-0.288571783263277i</v>
      </c>
      <c r="AP385" s="22" t="str">
        <f t="shared" si="195"/>
        <v>0.138076744997092-0.093341257055955i</v>
      </c>
      <c r="AQ385" s="22" t="str">
        <f t="shared" si="196"/>
        <v>0.861923255002908+0.093341257055955i</v>
      </c>
      <c r="AR385" s="22" t="str">
        <f t="shared" si="197"/>
        <v>0.955240647604169-0.10344698593614i</v>
      </c>
    </row>
    <row r="386" spans="7:44">
      <c r="G386" s="257">
        <v>33305.75</v>
      </c>
      <c r="H386" s="256">
        <f t="shared" si="189"/>
        <v>33.30575</v>
      </c>
      <c r="I386" s="298">
        <f t="shared" si="169"/>
        <v>32.5097739443412</v>
      </c>
      <c r="J386" s="299">
        <f t="shared" si="170"/>
        <v>1.54003149388783</v>
      </c>
      <c r="K386" s="299">
        <f t="shared" si="171"/>
        <v>1.00016193096976</v>
      </c>
      <c r="L386" s="300">
        <f t="shared" si="172"/>
        <v>0.0179949504812338</v>
      </c>
      <c r="M386" s="299">
        <f t="shared" si="173"/>
        <v>1.006946788371</v>
      </c>
      <c r="N386" s="300">
        <f t="shared" si="174"/>
        <v>-0.117531361248766</v>
      </c>
      <c r="O386" s="298">
        <f t="shared" si="175"/>
        <v>60268.665264273</v>
      </c>
      <c r="P386" s="301">
        <f t="shared" si="176"/>
        <v>1.57077973442479</v>
      </c>
      <c r="Q386" s="320">
        <f t="shared" si="198"/>
        <v>25.131846813553</v>
      </c>
      <c r="R386" s="321">
        <f t="shared" si="199"/>
        <v>1.53099566782897</v>
      </c>
      <c r="S386" s="298">
        <f t="shared" si="177"/>
        <v>1.01391671199167</v>
      </c>
      <c r="T386" s="301">
        <f t="shared" si="178"/>
        <v>0.165874711735538</v>
      </c>
      <c r="U386" s="316">
        <f t="shared" si="190"/>
        <v>0.946170117933763</v>
      </c>
      <c r="V386" s="317">
        <f t="shared" si="191"/>
        <v>-0.40733230352841</v>
      </c>
      <c r="W386" s="318">
        <f t="shared" si="179"/>
        <v>-1.51258955707477</v>
      </c>
      <c r="X386" s="319">
        <f t="shared" si="180"/>
        <v>-129.062123179058</v>
      </c>
      <c r="Y386" s="332">
        <f t="shared" si="181"/>
        <v>50.9378768209419</v>
      </c>
      <c r="AA386" s="22">
        <f t="shared" si="182"/>
        <v>33305.75</v>
      </c>
      <c r="AB386" s="22">
        <f t="shared" si="183"/>
        <v>1109272983.0625</v>
      </c>
      <c r="AD386" s="331">
        <f t="shared" si="184"/>
        <v>27.4910606478605</v>
      </c>
      <c r="AE386" s="332">
        <f t="shared" si="185"/>
        <v>-11.7833800316675</v>
      </c>
      <c r="AG386" s="331">
        <f t="shared" si="186"/>
        <v>-2.65447636843709</v>
      </c>
      <c r="AH386" s="332">
        <f t="shared" si="187"/>
        <v>-70.6018993910147</v>
      </c>
      <c r="AJ386" s="22">
        <f t="shared" si="188"/>
        <v>0</v>
      </c>
      <c r="AK386" s="22">
        <f t="shared" si="200"/>
        <v>0</v>
      </c>
      <c r="AM386" s="22" t="str">
        <f t="shared" si="192"/>
        <v>0.173482384686134+0.562910855798571i</v>
      </c>
      <c r="AN386" s="22" t="str">
        <f t="shared" si="193"/>
        <v>0.5979034251585i</v>
      </c>
      <c r="AO386" s="22" t="str">
        <f t="shared" si="194"/>
        <v>0.941474546076312-0.29015118058597i</v>
      </c>
      <c r="AP386" s="22" t="str">
        <f t="shared" si="195"/>
        <v>0.137752935885644-0.0938184759664285i</v>
      </c>
      <c r="AQ386" s="22" t="str">
        <f t="shared" si="196"/>
        <v>0.862247064114356+0.0938184759664285i</v>
      </c>
      <c r="AR386" s="22" t="str">
        <f t="shared" si="197"/>
        <v>0.95477685484783-0.103886360577927i</v>
      </c>
    </row>
    <row r="387" spans="7:44">
      <c r="G387" s="257">
        <v>33498.5</v>
      </c>
      <c r="H387" s="256">
        <f t="shared" si="189"/>
        <v>33.4985</v>
      </c>
      <c r="I387" s="298">
        <f t="shared" si="169"/>
        <v>32.6977398956624</v>
      </c>
      <c r="J387" s="299">
        <f t="shared" si="170"/>
        <v>1.54020840368294</v>
      </c>
      <c r="K387" s="299">
        <f t="shared" si="171"/>
        <v>1.00016381052197</v>
      </c>
      <c r="L387" s="300">
        <f t="shared" si="172"/>
        <v>0.0180990697838086</v>
      </c>
      <c r="M387" s="299">
        <f t="shared" si="173"/>
        <v>1.00702714581693</v>
      </c>
      <c r="N387" s="300">
        <f t="shared" si="174"/>
        <v>-0.118205248850458</v>
      </c>
      <c r="O387" s="298">
        <f t="shared" si="175"/>
        <v>60617.4574465988</v>
      </c>
      <c r="P387" s="301">
        <f t="shared" si="176"/>
        <v>1.5707798298971</v>
      </c>
      <c r="Q387" s="320">
        <f t="shared" si="198"/>
        <v>25.277062458061</v>
      </c>
      <c r="R387" s="321">
        <f t="shared" si="199"/>
        <v>1.53122444068762</v>
      </c>
      <c r="S387" s="298">
        <f t="shared" si="177"/>
        <v>1.01407713680981</v>
      </c>
      <c r="T387" s="301">
        <f t="shared" si="178"/>
        <v>0.166817015732192</v>
      </c>
      <c r="U387" s="316">
        <f t="shared" si="190"/>
        <v>0.945596535748914</v>
      </c>
      <c r="V387" s="317">
        <f t="shared" si="191"/>
        <v>-0.409567312395857</v>
      </c>
      <c r="W387" s="318">
        <f t="shared" si="179"/>
        <v>-1.56867601336744</v>
      </c>
      <c r="X387" s="319">
        <f t="shared" si="180"/>
        <v>-129.273849050952</v>
      </c>
      <c r="Y387" s="332">
        <f t="shared" si="181"/>
        <v>50.7261509490476</v>
      </c>
      <c r="AA387" s="22">
        <f t="shared" si="182"/>
        <v>33498.5</v>
      </c>
      <c r="AB387" s="22">
        <f t="shared" si="183"/>
        <v>1122149502.25</v>
      </c>
      <c r="AD387" s="331">
        <f t="shared" si="184"/>
        <v>27.4896075482937</v>
      </c>
      <c r="AE387" s="332">
        <f t="shared" si="185"/>
        <v>-11.8242678246339</v>
      </c>
      <c r="AG387" s="331">
        <f t="shared" si="186"/>
        <v>-2.69857550478449</v>
      </c>
      <c r="AH387" s="332">
        <f t="shared" si="187"/>
        <v>-70.5166243190924</v>
      </c>
      <c r="AJ387" s="22">
        <f t="shared" si="188"/>
        <v>0</v>
      </c>
      <c r="AK387" s="22">
        <f t="shared" si="200"/>
        <v>0</v>
      </c>
      <c r="AM387" s="22" t="str">
        <f t="shared" si="192"/>
        <v>0.17543513545541+0.565767429389994i</v>
      </c>
      <c r="AN387" s="22" t="str">
        <f t="shared" si="193"/>
        <v>0.601363665063i</v>
      </c>
      <c r="AO387" s="22" t="str">
        <f t="shared" si="194"/>
        <v>0.940807471849373-0.29172885833904i</v>
      </c>
      <c r="AP387" s="22" t="str">
        <f t="shared" si="195"/>
        <v>0.137427477424098-0.094294571564999i</v>
      </c>
      <c r="AQ387" s="22" t="str">
        <f t="shared" si="196"/>
        <v>0.862572522575902+0.094294571564999i</v>
      </c>
      <c r="AR387" s="22" t="str">
        <f t="shared" si="197"/>
        <v>0.954311503681072-0.104323279520231i</v>
      </c>
    </row>
    <row r="388" spans="7:44">
      <c r="G388" s="257">
        <v>33691.25</v>
      </c>
      <c r="H388" s="256">
        <f t="shared" si="189"/>
        <v>33.69125</v>
      </c>
      <c r="I388" s="298">
        <f t="shared" si="169"/>
        <v>32.885706858629</v>
      </c>
      <c r="J388" s="299">
        <f t="shared" si="170"/>
        <v>1.54038329113395</v>
      </c>
      <c r="K388" s="299">
        <f t="shared" si="171"/>
        <v>1.00016570091674</v>
      </c>
      <c r="L388" s="300">
        <f t="shared" si="172"/>
        <v>0.0182031886939243</v>
      </c>
      <c r="M388" s="299">
        <f t="shared" si="173"/>
        <v>1.00710796050546</v>
      </c>
      <c r="N388" s="300">
        <f t="shared" si="174"/>
        <v>-0.118879028606791</v>
      </c>
      <c r="O388" s="298">
        <f t="shared" si="175"/>
        <v>60966.2496289253</v>
      </c>
      <c r="P388" s="301">
        <f t="shared" si="176"/>
        <v>1.57077992427701</v>
      </c>
      <c r="Q388" s="320">
        <f t="shared" si="198"/>
        <v>25.4222794103817</v>
      </c>
      <c r="R388" s="321">
        <f t="shared" si="199"/>
        <v>1.5314505999688</v>
      </c>
      <c r="S388" s="298">
        <f t="shared" si="177"/>
        <v>1.01423846177907</v>
      </c>
      <c r="T388" s="301">
        <f t="shared" si="178"/>
        <v>0.167759020798947</v>
      </c>
      <c r="U388" s="316">
        <f t="shared" si="190"/>
        <v>0.945020630734315</v>
      </c>
      <c r="V388" s="317">
        <f t="shared" si="191"/>
        <v>-0.41180038500848</v>
      </c>
      <c r="W388" s="318">
        <f t="shared" si="179"/>
        <v>-1.624502401261</v>
      </c>
      <c r="X388" s="319">
        <f t="shared" si="180"/>
        <v>-129.485474512185</v>
      </c>
      <c r="Y388" s="332">
        <f t="shared" si="181"/>
        <v>50.5145254878153</v>
      </c>
      <c r="AA388" s="22">
        <f t="shared" si="182"/>
        <v>33691.25</v>
      </c>
      <c r="AB388" s="22">
        <f t="shared" si="183"/>
        <v>1135100326.5625</v>
      </c>
      <c r="AD388" s="331">
        <f t="shared" si="184"/>
        <v>27.4881483061847</v>
      </c>
      <c r="AE388" s="332">
        <f t="shared" si="185"/>
        <v>-11.8652881745466</v>
      </c>
      <c r="AG388" s="331">
        <f t="shared" si="186"/>
        <v>-2.74235933916747</v>
      </c>
      <c r="AH388" s="332">
        <f t="shared" si="187"/>
        <v>-70.4313381580202</v>
      </c>
      <c r="AJ388" s="22">
        <f t="shared" si="188"/>
        <v>0</v>
      </c>
      <c r="AK388" s="22">
        <f t="shared" si="200"/>
        <v>0</v>
      </c>
      <c r="AM388" s="22" t="str">
        <f t="shared" si="192"/>
        <v>0.177397758944507+0.568617228907532i</v>
      </c>
      <c r="AN388" s="22" t="str">
        <f t="shared" si="193"/>
        <v>0.6048239049675i</v>
      </c>
      <c r="AO388" s="22" t="str">
        <f t="shared" si="194"/>
        <v>0.940136830302841-0.293304807378669i</v>
      </c>
      <c r="AP388" s="22" t="str">
        <f t="shared" si="195"/>
        <v>0.137100373509249-0.0947695381512553i</v>
      </c>
      <c r="AQ388" s="22" t="str">
        <f t="shared" si="196"/>
        <v>0.862899626490751+0.0947695381512553i</v>
      </c>
      <c r="AR388" s="22" t="str">
        <f t="shared" si="197"/>
        <v>0.953844609810573-0.104757738171047i</v>
      </c>
    </row>
    <row r="389" spans="7:44">
      <c r="G389" s="257">
        <v>33884</v>
      </c>
      <c r="H389" s="256">
        <f t="shared" si="189"/>
        <v>33.884</v>
      </c>
      <c r="I389" s="298">
        <f t="shared" si="169"/>
        <v>33.0736748159925</v>
      </c>
      <c r="J389" s="299">
        <f t="shared" si="170"/>
        <v>1.54055619071089</v>
      </c>
      <c r="K389" s="299">
        <f t="shared" si="171"/>
        <v>1.00016760215402</v>
      </c>
      <c r="L389" s="300">
        <f t="shared" si="172"/>
        <v>0.0183073072093254</v>
      </c>
      <c r="M389" s="299">
        <f t="shared" si="173"/>
        <v>1.00718923232653</v>
      </c>
      <c r="N389" s="300">
        <f t="shared" si="174"/>
        <v>-0.119552699932035</v>
      </c>
      <c r="O389" s="298">
        <f t="shared" si="175"/>
        <v>61315.0418112522</v>
      </c>
      <c r="P389" s="301">
        <f t="shared" si="176"/>
        <v>1.57078001758315</v>
      </c>
      <c r="Q389" s="320">
        <f t="shared" si="198"/>
        <v>25.5674976482309</v>
      </c>
      <c r="R389" s="321">
        <f t="shared" si="199"/>
        <v>1.53167419018297</v>
      </c>
      <c r="S389" s="298">
        <f t="shared" si="177"/>
        <v>1.01440068646998</v>
      </c>
      <c r="T389" s="301">
        <f t="shared" si="178"/>
        <v>0.168700725407004</v>
      </c>
      <c r="U389" s="316">
        <f t="shared" si="190"/>
        <v>0.944442417017082</v>
      </c>
      <c r="V389" s="317">
        <f t="shared" si="191"/>
        <v>-0.41403151499058</v>
      </c>
      <c r="W389" s="318">
        <f t="shared" si="179"/>
        <v>-1.68007192183198</v>
      </c>
      <c r="X389" s="319">
        <f t="shared" si="180"/>
        <v>-129.696998502223</v>
      </c>
      <c r="Y389" s="332">
        <f t="shared" si="181"/>
        <v>50.3030014977768</v>
      </c>
      <c r="AA389" s="22">
        <f t="shared" si="182"/>
        <v>33884</v>
      </c>
      <c r="AB389" s="22">
        <f t="shared" si="183"/>
        <v>1148125456</v>
      </c>
      <c r="AD389" s="331">
        <f t="shared" si="184"/>
        <v>27.4866828982531</v>
      </c>
      <c r="AE389" s="332">
        <f t="shared" si="185"/>
        <v>-11.9064384446195</v>
      </c>
      <c r="AG389" s="331">
        <f t="shared" si="186"/>
        <v>-2.78583122335894</v>
      </c>
      <c r="AH389" s="332">
        <f t="shared" si="187"/>
        <v>-70.3460432146553</v>
      </c>
      <c r="AJ389" s="22">
        <f t="shared" si="188"/>
        <v>0</v>
      </c>
      <c r="AK389" s="22">
        <f t="shared" si="200"/>
        <v>0</v>
      </c>
      <c r="AM389" s="22" t="str">
        <f t="shared" si="192"/>
        <v>0.179370231654448+0.57146022022983i</v>
      </c>
      <c r="AN389" s="22" t="str">
        <f t="shared" si="193"/>
        <v>0.608284144872i</v>
      </c>
      <c r="AO389" s="22" t="str">
        <f t="shared" si="194"/>
        <v>0.939462626220648-0.294879018574769i</v>
      </c>
      <c r="AP389" s="22" t="str">
        <f t="shared" si="195"/>
        <v>0.136771628057592-0.095243370038305i</v>
      </c>
      <c r="AQ389" s="22" t="str">
        <f t="shared" si="196"/>
        <v>0.863228371942408+0.095243370038305i</v>
      </c>
      <c r="AR389" s="22" t="str">
        <f t="shared" si="197"/>
        <v>0.953376188937823-0.105189732057106i</v>
      </c>
    </row>
    <row r="390" spans="7:44">
      <c r="G390" s="257">
        <v>34081.5</v>
      </c>
      <c r="H390" s="256">
        <f t="shared" si="189"/>
        <v>34.0815</v>
      </c>
      <c r="I390" s="298">
        <f t="shared" si="169"/>
        <v>33.2662759417759</v>
      </c>
      <c r="J390" s="299">
        <f t="shared" si="170"/>
        <v>1.54073132437721</v>
      </c>
      <c r="K390" s="299">
        <f t="shared" si="171"/>
        <v>1.00016956149061</v>
      </c>
      <c r="L390" s="300">
        <f t="shared" si="172"/>
        <v>0.018413991138874</v>
      </c>
      <c r="M390" s="299">
        <f t="shared" si="173"/>
        <v>1.00727298100863</v>
      </c>
      <c r="N390" s="300">
        <f t="shared" si="174"/>
        <v>-0.120242859671462</v>
      </c>
      <c r="O390" s="298">
        <f t="shared" si="175"/>
        <v>61672.429391069</v>
      </c>
      <c r="P390" s="301">
        <f t="shared" si="176"/>
        <v>1.57078011209394</v>
      </c>
      <c r="Q390" s="320">
        <f t="shared" si="198"/>
        <v>25.7162958563013</v>
      </c>
      <c r="R390" s="321">
        <f t="shared" si="199"/>
        <v>1.53190067108152</v>
      </c>
      <c r="S390" s="298">
        <f t="shared" si="177"/>
        <v>1.0145678417176</v>
      </c>
      <c r="T390" s="301">
        <f t="shared" si="178"/>
        <v>0.169665323491492</v>
      </c>
      <c r="U390" s="316">
        <f t="shared" si="190"/>
        <v>0.943847574233259</v>
      </c>
      <c r="V390" s="317">
        <f t="shared" si="191"/>
        <v>-0.416315605794885</v>
      </c>
      <c r="W390" s="318">
        <f t="shared" si="179"/>
        <v>-1.73674770784601</v>
      </c>
      <c r="X390" s="319">
        <f t="shared" si="180"/>
        <v>-129.913628801477</v>
      </c>
      <c r="Y390" s="332">
        <f t="shared" si="181"/>
        <v>50.0863711985234</v>
      </c>
      <c r="AA390" s="22">
        <f t="shared" si="182"/>
        <v>34081.5</v>
      </c>
      <c r="AB390" s="22">
        <f t="shared" si="183"/>
        <v>1161548642.25</v>
      </c>
      <c r="AD390" s="331">
        <f t="shared" si="184"/>
        <v>27.4851749587846</v>
      </c>
      <c r="AE390" s="332">
        <f t="shared" si="185"/>
        <v>-11.9487348592772</v>
      </c>
      <c r="AG390" s="331">
        <f t="shared" si="186"/>
        <v>-2.8300542701817</v>
      </c>
      <c r="AH390" s="332">
        <f t="shared" si="187"/>
        <v>-70.2586395727289</v>
      </c>
      <c r="AJ390" s="22">
        <f t="shared" si="188"/>
        <v>0</v>
      </c>
      <c r="AK390" s="22">
        <f t="shared" si="200"/>
        <v>0</v>
      </c>
      <c r="AM390" s="22" t="str">
        <f t="shared" si="192"/>
        <v>0.181401504230007+0.57436617477277i</v>
      </c>
      <c r="AN390" s="22" t="str">
        <f t="shared" si="193"/>
        <v>0.611829656577i</v>
      </c>
      <c r="AO390" s="22" t="str">
        <f t="shared" si="194"/>
        <v>0.93876811723409-0.296490211417493i</v>
      </c>
      <c r="AP390" s="22" t="str">
        <f t="shared" si="195"/>
        <v>0.136433082628332-0.0957276957954617i</v>
      </c>
      <c r="AQ390" s="22" t="str">
        <f t="shared" si="196"/>
        <v>0.863566917371668+0.0957276957954617i</v>
      </c>
      <c r="AR390" s="22" t="str">
        <f t="shared" si="197"/>
        <v>0.952894657121837-0.105629810530156i</v>
      </c>
    </row>
    <row r="391" spans="7:44">
      <c r="G391" s="257">
        <v>34279</v>
      </c>
      <c r="H391" s="256">
        <f t="shared" si="189"/>
        <v>34.279</v>
      </c>
      <c r="I391" s="298">
        <f t="shared" si="169"/>
        <v>33.4588780761491</v>
      </c>
      <c r="J391" s="299">
        <f t="shared" si="170"/>
        <v>1.54090444177569</v>
      </c>
      <c r="K391" s="299">
        <f t="shared" si="171"/>
        <v>1.00017153221056</v>
      </c>
      <c r="L391" s="300">
        <f t="shared" si="172"/>
        <v>0.0185206746492206</v>
      </c>
      <c r="M391" s="299">
        <f t="shared" si="173"/>
        <v>1.00735720939557</v>
      </c>
      <c r="N391" s="300">
        <f t="shared" si="174"/>
        <v>-0.12093290432656</v>
      </c>
      <c r="O391" s="298">
        <f t="shared" si="175"/>
        <v>62029.8169708862</v>
      </c>
      <c r="P391" s="301">
        <f t="shared" si="176"/>
        <v>1.57078020551567</v>
      </c>
      <c r="Q391" s="320">
        <f t="shared" si="198"/>
        <v>25.8650953682759</v>
      </c>
      <c r="R391" s="321">
        <f t="shared" si="199"/>
        <v>1.53212454614393</v>
      </c>
      <c r="S391" s="298">
        <f t="shared" si="177"/>
        <v>1.0147359406578</v>
      </c>
      <c r="T391" s="301">
        <f t="shared" si="178"/>
        <v>0.17062960288652</v>
      </c>
      <c r="U391" s="316">
        <f t="shared" si="190"/>
        <v>0.943250337616061</v>
      </c>
      <c r="V391" s="317">
        <f t="shared" si="191"/>
        <v>-0.418597643700496</v>
      </c>
      <c r="W391" s="318">
        <f t="shared" si="179"/>
        <v>-1.79316043482271</v>
      </c>
      <c r="X391" s="319">
        <f t="shared" si="180"/>
        <v>-130.130150366287</v>
      </c>
      <c r="Y391" s="332">
        <f t="shared" si="181"/>
        <v>49.8698496337132</v>
      </c>
      <c r="AA391" s="22">
        <f t="shared" si="182"/>
        <v>34279</v>
      </c>
      <c r="AB391" s="22">
        <f t="shared" si="183"/>
        <v>1175049841</v>
      </c>
      <c r="AD391" s="331">
        <f t="shared" si="184"/>
        <v>27.4836604992177</v>
      </c>
      <c r="AE391" s="332">
        <f t="shared" si="185"/>
        <v>-11.9911622553884</v>
      </c>
      <c r="AG391" s="331">
        <f t="shared" si="186"/>
        <v>-2.87395675091729</v>
      </c>
      <c r="AH391" s="332">
        <f t="shared" si="187"/>
        <v>-70.171231459768</v>
      </c>
      <c r="AJ391" s="22">
        <f t="shared" si="188"/>
        <v>0</v>
      </c>
      <c r="AK391" s="22">
        <f t="shared" si="200"/>
        <v>0</v>
      </c>
      <c r="AM391" s="22" t="str">
        <f t="shared" si="192"/>
        <v>0.183443067112627+0.577264909165252i</v>
      </c>
      <c r="AN391" s="22" t="str">
        <f t="shared" si="193"/>
        <v>0.615375168282i</v>
      </c>
      <c r="AO391" s="22" t="str">
        <f t="shared" si="194"/>
        <v>0.938069878212434-0.298099560345865i</v>
      </c>
      <c r="AP391" s="22" t="str">
        <f t="shared" si="195"/>
        <v>0.136092822147896-0.0962108181942087i</v>
      </c>
      <c r="AQ391" s="22" t="str">
        <f t="shared" si="196"/>
        <v>0.863907177852104+0.0962108181942087i</v>
      </c>
      <c r="AR391" s="22" t="str">
        <f t="shared" si="197"/>
        <v>0.952411555470435-0.106067292133457i</v>
      </c>
    </row>
    <row r="392" spans="7:44">
      <c r="G392" s="257">
        <v>34476.5</v>
      </c>
      <c r="H392" s="256">
        <f t="shared" si="189"/>
        <v>34.4765</v>
      </c>
      <c r="I392" s="298">
        <f t="shared" si="169"/>
        <v>33.6514812017943</v>
      </c>
      <c r="J392" s="299">
        <f t="shared" si="170"/>
        <v>1.54107557751598</v>
      </c>
      <c r="K392" s="299">
        <f t="shared" si="171"/>
        <v>1.00017351431378</v>
      </c>
      <c r="L392" s="300">
        <f t="shared" si="172"/>
        <v>0.0186273577379394</v>
      </c>
      <c r="M392" s="299">
        <f t="shared" si="173"/>
        <v>1.007441917367</v>
      </c>
      <c r="N392" s="300">
        <f t="shared" si="174"/>
        <v>-0.121622833269131</v>
      </c>
      <c r="O392" s="298">
        <f t="shared" si="175"/>
        <v>62387.2045507041</v>
      </c>
      <c r="P392" s="301">
        <f t="shared" si="176"/>
        <v>1.57078029786705</v>
      </c>
      <c r="Q392" s="320">
        <f t="shared" si="198"/>
        <v>26.0138961617799</v>
      </c>
      <c r="R392" s="321">
        <f t="shared" si="199"/>
        <v>1.53234586006411</v>
      </c>
      <c r="S392" s="298">
        <f t="shared" si="177"/>
        <v>1.01490498282167</v>
      </c>
      <c r="T392" s="301">
        <f t="shared" si="178"/>
        <v>0.17159356195765</v>
      </c>
      <c r="U392" s="316">
        <f t="shared" si="190"/>
        <v>0.942650722391705</v>
      </c>
      <c r="V392" s="317">
        <f t="shared" si="191"/>
        <v>-0.420877622061602</v>
      </c>
      <c r="W392" s="318">
        <f t="shared" si="179"/>
        <v>-1.84931336647196</v>
      </c>
      <c r="X392" s="319">
        <f t="shared" si="180"/>
        <v>-130.346562109663</v>
      </c>
      <c r="Y392" s="332">
        <f t="shared" si="181"/>
        <v>49.6534378903372</v>
      </c>
      <c r="AA392" s="22">
        <f t="shared" si="182"/>
        <v>34476.5</v>
      </c>
      <c r="AB392" s="22">
        <f t="shared" si="183"/>
        <v>1188629052.25</v>
      </c>
      <c r="AD392" s="331">
        <f t="shared" si="184"/>
        <v>27.4821394973354</v>
      </c>
      <c r="AE392" s="332">
        <f t="shared" si="185"/>
        <v>-12.033717979607</v>
      </c>
      <c r="AG392" s="331">
        <f t="shared" si="186"/>
        <v>-2.91754209515548</v>
      </c>
      <c r="AH392" s="332">
        <f t="shared" si="187"/>
        <v>-70.0838212036823</v>
      </c>
      <c r="AJ392" s="22">
        <f t="shared" si="188"/>
        <v>0</v>
      </c>
      <c r="AK392" s="22">
        <f t="shared" si="200"/>
        <v>0</v>
      </c>
      <c r="AM392" s="22" t="str">
        <f t="shared" si="192"/>
        <v>0.185494894638558+0.580156386968329i</v>
      </c>
      <c r="AN392" s="22" t="str">
        <f t="shared" si="193"/>
        <v>0.618920679987i</v>
      </c>
      <c r="AO392" s="22" t="str">
        <f t="shared" si="194"/>
        <v>0.937367914383657-0.299707055583365i</v>
      </c>
      <c r="AP392" s="22" t="str">
        <f t="shared" si="195"/>
        <v>0.135750850893574-0.0966927311613882i</v>
      </c>
      <c r="AQ392" s="22" t="str">
        <f t="shared" si="196"/>
        <v>0.864249149106426+0.0966927311613882i</v>
      </c>
      <c r="AR392" s="22" t="str">
        <f t="shared" si="197"/>
        <v>0.951926900851181-0.106502172440047i</v>
      </c>
    </row>
    <row r="393" spans="7:44">
      <c r="G393" s="257">
        <v>34674</v>
      </c>
      <c r="H393" s="256">
        <f t="shared" si="189"/>
        <v>34.674</v>
      </c>
      <c r="I393" s="298">
        <f t="shared" si="169"/>
        <v>33.8440853017877</v>
      </c>
      <c r="J393" s="299">
        <f t="shared" si="170"/>
        <v>1.54124476542037</v>
      </c>
      <c r="K393" s="299">
        <f t="shared" si="171"/>
        <v>1.00017550780022</v>
      </c>
      <c r="L393" s="300">
        <f t="shared" si="172"/>
        <v>0.0187340404026043</v>
      </c>
      <c r="M393" s="299">
        <f t="shared" si="173"/>
        <v>1.00752710480199</v>
      </c>
      <c r="N393" s="300">
        <f t="shared" si="174"/>
        <v>-0.122312645871629</v>
      </c>
      <c r="O393" s="298">
        <f t="shared" si="175"/>
        <v>62744.5921305224</v>
      </c>
      <c r="P393" s="301">
        <f t="shared" si="176"/>
        <v>1.57078038916639</v>
      </c>
      <c r="Q393" s="320">
        <f t="shared" si="198"/>
        <v>26.162698214947</v>
      </c>
      <c r="R393" s="321">
        <f t="shared" si="199"/>
        <v>1.53256465652019</v>
      </c>
      <c r="S393" s="298">
        <f t="shared" si="177"/>
        <v>1.01507496773799</v>
      </c>
      <c r="T393" s="301">
        <f t="shared" si="178"/>
        <v>0.172557199073909</v>
      </c>
      <c r="U393" s="316">
        <f t="shared" si="190"/>
        <v>0.94204874379432</v>
      </c>
      <c r="V393" s="317">
        <f t="shared" si="191"/>
        <v>-0.423155534304156</v>
      </c>
      <c r="W393" s="318">
        <f t="shared" si="179"/>
        <v>-1.90520970855081</v>
      </c>
      <c r="X393" s="319">
        <f t="shared" si="180"/>
        <v>-130.562862962026</v>
      </c>
      <c r="Y393" s="332">
        <f t="shared" si="181"/>
        <v>49.4371370379738</v>
      </c>
      <c r="AA393" s="22">
        <f t="shared" si="182"/>
        <v>34674</v>
      </c>
      <c r="AB393" s="22">
        <f t="shared" si="183"/>
        <v>1202286276</v>
      </c>
      <c r="AD393" s="331">
        <f t="shared" si="184"/>
        <v>27.4806119318133</v>
      </c>
      <c r="AE393" s="332">
        <f t="shared" si="185"/>
        <v>-12.0763994369608</v>
      </c>
      <c r="AG393" s="331">
        <f t="shared" si="186"/>
        <v>-2.96081367572319</v>
      </c>
      <c r="AH393" s="332">
        <f t="shared" si="187"/>
        <v>-69.9964110831947</v>
      </c>
      <c r="AJ393" s="22">
        <f t="shared" si="188"/>
        <v>0</v>
      </c>
      <c r="AK393" s="22">
        <f t="shared" si="200"/>
        <v>0</v>
      </c>
      <c r="AM393" s="22" t="str">
        <f t="shared" si="192"/>
        <v>0.187556961015013+0.583040571834275i</v>
      </c>
      <c r="AN393" s="22" t="str">
        <f t="shared" si="193"/>
        <v>0.622466191692i</v>
      </c>
      <c r="AO393" s="22" t="str">
        <f t="shared" si="194"/>
        <v>0.936662231003169-0.301312687368919i</v>
      </c>
      <c r="AP393" s="22" t="str">
        <f t="shared" si="195"/>
        <v>0.135407173164165-0.0971734286390458i</v>
      </c>
      <c r="AQ393" s="22" t="str">
        <f t="shared" si="196"/>
        <v>0.864592826835835+0.0971734286390458i</v>
      </c>
      <c r="AR393" s="22" t="str">
        <f t="shared" si="197"/>
        <v>0.951440710121474-0.106934447151997i</v>
      </c>
    </row>
    <row r="394" spans="7:44">
      <c r="G394" s="257">
        <v>34875.75</v>
      </c>
      <c r="H394" s="256">
        <f t="shared" si="189"/>
        <v>34.87575</v>
      </c>
      <c r="I394" s="298">
        <f t="shared" si="169"/>
        <v>34.0408350357963</v>
      </c>
      <c r="J394" s="299">
        <f t="shared" si="170"/>
        <v>1.54141561728956</v>
      </c>
      <c r="K394" s="299">
        <f t="shared" si="171"/>
        <v>1.00017755593767</v>
      </c>
      <c r="L394" s="300">
        <f t="shared" si="172"/>
        <v>0.0188430183298174</v>
      </c>
      <c r="M394" s="299">
        <f t="shared" si="173"/>
        <v>1.00761462030875</v>
      </c>
      <c r="N394" s="300">
        <f t="shared" si="174"/>
        <v>-0.123017181768587</v>
      </c>
      <c r="O394" s="298">
        <f t="shared" si="175"/>
        <v>63109.6703291475</v>
      </c>
      <c r="P394" s="301">
        <f t="shared" si="176"/>
        <v>1.57078048136273</v>
      </c>
      <c r="Q394" s="320">
        <f t="shared" si="198"/>
        <v>26.3147036160054</v>
      </c>
      <c r="R394" s="321">
        <f t="shared" si="199"/>
        <v>1.53278560633722</v>
      </c>
      <c r="S394" s="298">
        <f t="shared" si="177"/>
        <v>1.01524958346645</v>
      </c>
      <c r="T394" s="301">
        <f t="shared" si="178"/>
        <v>0.173541238571011</v>
      </c>
      <c r="U394" s="316">
        <f t="shared" si="190"/>
        <v>0.94143138687033</v>
      </c>
      <c r="V394" s="317">
        <f t="shared" si="191"/>
        <v>-0.425480324861862</v>
      </c>
      <c r="W394" s="318">
        <f t="shared" si="179"/>
        <v>-1.96204722652249</v>
      </c>
      <c r="X394" s="319">
        <f t="shared" si="180"/>
        <v>-130.783702799155</v>
      </c>
      <c r="Y394" s="332">
        <f t="shared" si="181"/>
        <v>49.2162972008455</v>
      </c>
      <c r="AA394" s="22">
        <f t="shared" si="182"/>
        <v>34875.75</v>
      </c>
      <c r="AB394" s="22">
        <f t="shared" si="183"/>
        <v>1216317938.0625</v>
      </c>
      <c r="AD394" s="331">
        <f t="shared" si="184"/>
        <v>27.4790446963311</v>
      </c>
      <c r="AE394" s="332">
        <f t="shared" si="185"/>
        <v>-12.12012653753</v>
      </c>
      <c r="AG394" s="331">
        <f t="shared" si="186"/>
        <v>-3.00469590221191</v>
      </c>
      <c r="AH394" s="332">
        <f t="shared" si="187"/>
        <v>-69.9071224450325</v>
      </c>
      <c r="AJ394" s="22">
        <f t="shared" si="188"/>
        <v>0</v>
      </c>
      <c r="AK394" s="22">
        <f t="shared" si="200"/>
        <v>0</v>
      </c>
      <c r="AM394" s="22" t="str">
        <f t="shared" si="192"/>
        <v>0.189673945730522+0.58597925370448i</v>
      </c>
      <c r="AN394" s="22" t="str">
        <f t="shared" si="193"/>
        <v>0.6260879992185i</v>
      </c>
      <c r="AO394" s="22" t="str">
        <f t="shared" si="194"/>
        <v>0.935937527050375-0.302950936557286i</v>
      </c>
      <c r="AP394" s="22" t="str">
        <f t="shared" si="195"/>
        <v>0.135054342378246-0.0976632089507467i</v>
      </c>
      <c r="AQ394" s="22" t="str">
        <f t="shared" si="196"/>
        <v>0.864945657621754+0.0976632089507467i</v>
      </c>
      <c r="AR394" s="22" t="str">
        <f t="shared" si="197"/>
        <v>0.950942488528669-0.107373329340341i</v>
      </c>
    </row>
    <row r="395" spans="7:44">
      <c r="G395" s="257">
        <v>35077.5</v>
      </c>
      <c r="H395" s="256">
        <f t="shared" si="189"/>
        <v>35.0775</v>
      </c>
      <c r="I395" s="298">
        <f t="shared" si="169"/>
        <v>34.2375857520488</v>
      </c>
      <c r="J395" s="299">
        <f t="shared" si="170"/>
        <v>1.5415845055189</v>
      </c>
      <c r="K395" s="299">
        <f t="shared" si="171"/>
        <v>1.00017961595337</v>
      </c>
      <c r="L395" s="300">
        <f t="shared" si="172"/>
        <v>0.0189519958094129</v>
      </c>
      <c r="M395" s="299">
        <f t="shared" si="173"/>
        <v>1.007702635879</v>
      </c>
      <c r="N395" s="300">
        <f t="shared" si="174"/>
        <v>-0.123721594942869</v>
      </c>
      <c r="O395" s="298">
        <f t="shared" si="175"/>
        <v>63474.7485277732</v>
      </c>
      <c r="P395" s="301">
        <f t="shared" si="176"/>
        <v>1.57078057249853</v>
      </c>
      <c r="Q395" s="320">
        <f t="shared" si="198"/>
        <v>26.4667102869604</v>
      </c>
      <c r="R395" s="321">
        <f t="shared" si="199"/>
        <v>1.53300401819574</v>
      </c>
      <c r="S395" s="298">
        <f t="shared" si="177"/>
        <v>1.01542518195667</v>
      </c>
      <c r="T395" s="301">
        <f t="shared" si="178"/>
        <v>0.174524938678523</v>
      </c>
      <c r="U395" s="316">
        <f t="shared" si="190"/>
        <v>0.94081159592125</v>
      </c>
      <c r="V395" s="317">
        <f t="shared" si="191"/>
        <v>-0.427802945783848</v>
      </c>
      <c r="W395" s="318">
        <f t="shared" si="179"/>
        <v>-2.01862357612953</v>
      </c>
      <c r="X395" s="319">
        <f t="shared" si="180"/>
        <v>-131.004424719148</v>
      </c>
      <c r="Y395" s="332">
        <f t="shared" si="181"/>
        <v>48.9955752808523</v>
      </c>
      <c r="AA395" s="22">
        <f t="shared" si="182"/>
        <v>35077.5</v>
      </c>
      <c r="AB395" s="22">
        <f t="shared" si="183"/>
        <v>1230431006.25</v>
      </c>
      <c r="AD395" s="331">
        <f t="shared" si="184"/>
        <v>27.4774705694251</v>
      </c>
      <c r="AE395" s="332">
        <f t="shared" si="185"/>
        <v>-12.1639795460551</v>
      </c>
      <c r="AG395" s="331">
        <f t="shared" si="186"/>
        <v>-3.04825765516235</v>
      </c>
      <c r="AH395" s="332">
        <f t="shared" si="187"/>
        <v>-69.8178386037195</v>
      </c>
      <c r="AJ395" s="22">
        <f t="shared" si="188"/>
        <v>0</v>
      </c>
      <c r="AK395" s="22">
        <f t="shared" si="200"/>
        <v>0</v>
      </c>
      <c r="AM395" s="22" t="str">
        <f t="shared" si="192"/>
        <v>0.191801559878131+0.588910249006228i</v>
      </c>
      <c r="AN395" s="22" t="str">
        <f t="shared" si="193"/>
        <v>0.629709806745i</v>
      </c>
      <c r="AO395" s="22" t="str">
        <f t="shared" si="194"/>
        <v>0.935208952914888-0.30458722069069i</v>
      </c>
      <c r="AP395" s="22" t="str">
        <f t="shared" si="195"/>
        <v>0.134699740020312-0.0981517081677047i</v>
      </c>
      <c r="AQ395" s="22" t="str">
        <f t="shared" si="196"/>
        <v>0.865300259979688+0.0981517081677047i</v>
      </c>
      <c r="AR395" s="22" t="str">
        <f t="shared" si="197"/>
        <v>0.950442699525798-0.107809483931244i</v>
      </c>
    </row>
    <row r="396" spans="7:44">
      <c r="G396" s="257">
        <v>35279.25</v>
      </c>
      <c r="H396" s="256">
        <f t="shared" si="189"/>
        <v>35.27925</v>
      </c>
      <c r="I396" s="298">
        <f t="shared" si="169"/>
        <v>34.4343374337082</v>
      </c>
      <c r="J396" s="299">
        <f t="shared" si="170"/>
        <v>1.54175146375832</v>
      </c>
      <c r="K396" s="299">
        <f t="shared" si="171"/>
        <v>1.00018168784724</v>
      </c>
      <c r="L396" s="300">
        <f t="shared" si="172"/>
        <v>0.019060972838805</v>
      </c>
      <c r="M396" s="299">
        <f t="shared" si="173"/>
        <v>1.00779115138173</v>
      </c>
      <c r="N396" s="300">
        <f t="shared" si="174"/>
        <v>-0.124425884727662</v>
      </c>
      <c r="O396" s="298">
        <f t="shared" si="175"/>
        <v>63839.8267263993</v>
      </c>
      <c r="P396" s="301">
        <f t="shared" si="176"/>
        <v>1.57078066259198</v>
      </c>
      <c r="Q396" s="320">
        <f t="shared" si="198"/>
        <v>26.6187182060567</v>
      </c>
      <c r="R396" s="321">
        <f t="shared" si="199"/>
        <v>1.53321993555425</v>
      </c>
      <c r="S396" s="298">
        <f t="shared" si="177"/>
        <v>1.01560176269887</v>
      </c>
      <c r="T396" s="301">
        <f t="shared" si="178"/>
        <v>0.1755082976692</v>
      </c>
      <c r="U396" s="316">
        <f t="shared" si="190"/>
        <v>0.940189387205723</v>
      </c>
      <c r="V396" s="317">
        <f t="shared" si="191"/>
        <v>-0.430123390294137</v>
      </c>
      <c r="W396" s="318">
        <f t="shared" si="179"/>
        <v>-2.07494199570432</v>
      </c>
      <c r="X396" s="319">
        <f t="shared" si="180"/>
        <v>-131.225027635802</v>
      </c>
      <c r="Y396" s="332">
        <f t="shared" si="181"/>
        <v>48.7749723641975</v>
      </c>
      <c r="AA396" s="22">
        <f t="shared" si="182"/>
        <v>35279.25</v>
      </c>
      <c r="AB396" s="22">
        <f t="shared" si="183"/>
        <v>1244625480.5625</v>
      </c>
      <c r="AD396" s="331">
        <f t="shared" si="184"/>
        <v>27.4758895310644</v>
      </c>
      <c r="AE396" s="332">
        <f t="shared" si="185"/>
        <v>-12.2079558746253</v>
      </c>
      <c r="AG396" s="331">
        <f t="shared" si="186"/>
        <v>-3.09150235459581</v>
      </c>
      <c r="AH396" s="332">
        <f t="shared" si="187"/>
        <v>-69.7285618374321</v>
      </c>
      <c r="AJ396" s="22">
        <f t="shared" si="188"/>
        <v>0</v>
      </c>
      <c r="AK396" s="22">
        <f t="shared" si="200"/>
        <v>0</v>
      </c>
      <c r="AM396" s="22" t="str">
        <f t="shared" si="192"/>
        <v>0.193939775548912+0.59183351929226i</v>
      </c>
      <c r="AN396" s="22" t="str">
        <f t="shared" si="193"/>
        <v>0.6333316142715i</v>
      </c>
      <c r="AO396" s="22" t="str">
        <f t="shared" si="194"/>
        <v>0.93447651428711-0.30622152941472i</v>
      </c>
      <c r="AP396" s="22" t="str">
        <f t="shared" si="195"/>
        <v>0.134343370741848-0.0986389198820433i</v>
      </c>
      <c r="AQ396" s="22" t="str">
        <f t="shared" si="196"/>
        <v>0.865656629258152+0.0986389198820433i</v>
      </c>
      <c r="AR396" s="22" t="str">
        <f t="shared" si="197"/>
        <v>0.949941361042077-0.108242906757115i</v>
      </c>
    </row>
    <row r="397" spans="7:44">
      <c r="G397" s="257">
        <v>35481</v>
      </c>
      <c r="H397" s="256">
        <f t="shared" si="189"/>
        <v>35.481</v>
      </c>
      <c r="I397" s="298">
        <f t="shared" ref="I397:I460" si="201">SQRT(1+(G397/pole1)^2)</f>
        <v>34.63109006432</v>
      </c>
      <c r="J397" s="299">
        <f t="shared" ref="J397:J460" si="202">ATAN(G397/pole1)</f>
        <v>1.5419165248935</v>
      </c>
      <c r="K397" s="299">
        <f t="shared" ref="K397:K460" si="203">SQRT(1+(G397/Zero1)^2)</f>
        <v>1.00018377161922</v>
      </c>
      <c r="L397" s="300">
        <f t="shared" ref="L397:L460" si="204">ATAN(G397/Zero1)</f>
        <v>0.0191699494154083</v>
      </c>
      <c r="M397" s="299">
        <f t="shared" ref="M397:M460" si="205">SQRT(1+(G397/z_RHP)^2)</f>
        <v>1.0078801666852</v>
      </c>
      <c r="N397" s="300">
        <f t="shared" ref="N397:N460" si="206">-ATAN(G397/z_RHP)</f>
        <v>-0.12513005045688</v>
      </c>
      <c r="O397" s="298">
        <f t="shared" ref="O397:O460" si="207">SQRT(1+(G397/Pole2)^2)</f>
        <v>64204.904925026</v>
      </c>
      <c r="P397" s="301">
        <f t="shared" ref="P397:P460" si="208">ATAN(G397/Pole2)</f>
        <v>1.57078075166086</v>
      </c>
      <c r="Q397" s="320">
        <f t="shared" si="198"/>
        <v>26.7707273520328</v>
      </c>
      <c r="R397" s="321">
        <f t="shared" si="199"/>
        <v>1.53343340088515</v>
      </c>
      <c r="S397" s="298">
        <f t="shared" ref="S397:S460" si="209">SQRT(1+(G397/pole4)^2)</f>
        <v>1.01577932518079</v>
      </c>
      <c r="T397" s="301">
        <f t="shared" ref="T397:T460" si="210">ATAN(G397/pole4)</f>
        <v>0.176491313819628</v>
      </c>
      <c r="U397" s="316">
        <f t="shared" si="190"/>
        <v>0.939564776987101</v>
      </c>
      <c r="V397" s="317">
        <f t="shared" si="191"/>
        <v>-0.43244165169468</v>
      </c>
      <c r="W397" s="318">
        <f t="shared" ref="W397:W460" si="211">20*LOG10(((K397*Q397*M397*U397)/(I397*O397*S397))*Adc)</f>
        <v>-2.13100566604776</v>
      </c>
      <c r="X397" s="319">
        <f t="shared" ref="X397:X460" si="212">((L397+R397+N397+V397)-(J397+P397+T397))*radconv</f>
        <v>-131.445510480329</v>
      </c>
      <c r="Y397" s="332">
        <f t="shared" ref="Y397:Y460" si="213">IF(X397&gt;0,X397,X397+180)</f>
        <v>48.5544895196714</v>
      </c>
      <c r="AA397" s="22">
        <f t="shared" ref="AA397:AA460" si="214">IF(W397&lt;0,G397,1000000000)</f>
        <v>35481</v>
      </c>
      <c r="AB397" s="22">
        <f t="shared" ref="AB397:AB460" si="215">G397^2</f>
        <v>1258901361</v>
      </c>
      <c r="AD397" s="331">
        <f t="shared" ref="AD397:AD460" si="216">20*LOG10((Q397/(O397*S397))*Aea)</f>
        <v>27.4743015620691</v>
      </c>
      <c r="AE397" s="332">
        <f t="shared" ref="AE397:AE460" si="217">(R397-(P397+T397))*radconv</f>
        <v>-12.2520529920264</v>
      </c>
      <c r="AG397" s="331">
        <f t="shared" ref="AG397:AG460" si="218">20*LOG10((K397*M397/(I397*U397))*Acs*Am)</f>
        <v>-3.13443336413529</v>
      </c>
      <c r="AH397" s="332">
        <f t="shared" ref="AH397:AH460" si="219">(L397+N397-(J397+V397))*radconv</f>
        <v>-69.6392943761351</v>
      </c>
      <c r="AJ397" s="22">
        <f t="shared" ref="AJ397:AJ460" si="220">SUM((W398&lt;0)*(W397&gt;0))*G397</f>
        <v>0</v>
      </c>
      <c r="AK397" s="22">
        <f t="shared" si="200"/>
        <v>0</v>
      </c>
      <c r="AM397" s="22" t="str">
        <f t="shared" si="192"/>
        <v>0.196088564694875+0.59474902621665i</v>
      </c>
      <c r="AN397" s="22" t="str">
        <f t="shared" si="193"/>
        <v>0.636953421798i</v>
      </c>
      <c r="AO397" s="22" t="str">
        <f t="shared" si="194"/>
        <v>0.933740216887108-0.307853852392148i</v>
      </c>
      <c r="AP397" s="22" t="str">
        <f t="shared" si="195"/>
        <v>0.133985239217521-0.099124837702775i</v>
      </c>
      <c r="AQ397" s="22" t="str">
        <f t="shared" si="196"/>
        <v>0.866014760782479+0.099124837702775i</v>
      </c>
      <c r="AR397" s="22" t="str">
        <f t="shared" si="197"/>
        <v>0.949438490990856-0.108673593788634i</v>
      </c>
    </row>
    <row r="398" spans="7:44">
      <c r="G398" s="257">
        <v>35687.75</v>
      </c>
      <c r="H398" s="256">
        <f t="shared" ref="H398:H461" si="221">G398/1000</f>
        <v>35.68775</v>
      </c>
      <c r="I398" s="298">
        <f t="shared" si="201"/>
        <v>34.8327198120891</v>
      </c>
      <c r="J398" s="299">
        <f t="shared" si="202"/>
        <v>1.5420837421705</v>
      </c>
      <c r="K398" s="299">
        <f t="shared" si="203"/>
        <v>1.00018591935686</v>
      </c>
      <c r="L398" s="300">
        <f t="shared" si="204"/>
        <v>0.0192816263021143</v>
      </c>
      <c r="M398" s="299">
        <f t="shared" si="205"/>
        <v>1.00797190646374</v>
      </c>
      <c r="N398" s="300">
        <f t="shared" si="206"/>
        <v>-0.125851538227799</v>
      </c>
      <c r="O398" s="298">
        <f t="shared" si="207"/>
        <v>64579.030910484</v>
      </c>
      <c r="P398" s="301">
        <f t="shared" si="208"/>
        <v>1.57078084189235</v>
      </c>
      <c r="Q398" s="320">
        <f t="shared" si="198"/>
        <v>26.9265050142192</v>
      </c>
      <c r="R398" s="321">
        <f t="shared" si="199"/>
        <v>1.53364965604458</v>
      </c>
      <c r="S398" s="298">
        <f t="shared" si="209"/>
        <v>1.01596230621855</v>
      </c>
      <c r="T398" s="301">
        <f t="shared" si="210"/>
        <v>0.177498334715018</v>
      </c>
      <c r="U398" s="316">
        <f t="shared" ref="U398:U461" si="222">IMABS(IMPRODUCT(AO398,AR398))</f>
        <v>0.938922212461754</v>
      </c>
      <c r="V398" s="317">
        <f t="shared" ref="V398:V461" si="223">IMARGUMENT(IMPRODUCT(AO398,AR398))</f>
        <v>-0.434815095048107</v>
      </c>
      <c r="W398" s="318">
        <f t="shared" si="211"/>
        <v>-2.18819774102</v>
      </c>
      <c r="X398" s="319">
        <f t="shared" si="212"/>
        <v>-131.671331910989</v>
      </c>
      <c r="Y398" s="332">
        <f t="shared" si="213"/>
        <v>48.3286680890108</v>
      </c>
      <c r="AA398" s="22">
        <f t="shared" si="214"/>
        <v>35687.75</v>
      </c>
      <c r="AB398" s="22">
        <f t="shared" si="215"/>
        <v>1273615500.0625</v>
      </c>
      <c r="AD398" s="331">
        <f t="shared" si="216"/>
        <v>27.4726670286002</v>
      </c>
      <c r="AE398" s="332">
        <f t="shared" si="217"/>
        <v>-12.2973657012161</v>
      </c>
      <c r="AG398" s="331">
        <f t="shared" si="218"/>
        <v>-3.17810635216231</v>
      </c>
      <c r="AH398" s="332">
        <f t="shared" si="219"/>
        <v>-69.5478265231662</v>
      </c>
      <c r="AJ398" s="22">
        <f t="shared" si="220"/>
        <v>0</v>
      </c>
      <c r="AK398" s="22">
        <f t="shared" si="200"/>
        <v>0</v>
      </c>
      <c r="AM398" s="22" t="str">
        <f t="shared" ref="AM398:AM461" si="224">IMSUB(1,IMEXP(COMPLEX(0,-2*Pi*G398*Tsw)))</f>
        <v>0.198301547901759+0.597728694227811i</v>
      </c>
      <c r="AN398" s="22" t="str">
        <f t="shared" ref="AN398:AN461" si="225">COMPLEX(0,2*Pi*G398*Tsw)</f>
        <v>0.6406649891145i</v>
      </c>
      <c r="AO398" s="22" t="str">
        <f t="shared" ref="AO398:AO461" si="226">IMDIV(AM398,AN398)</f>
        <v>0.932981674328679-0.30952455849951i</v>
      </c>
      <c r="AP398" s="22" t="str">
        <f t="shared" ref="AP398:AP461" si="227">IMDIV(IMEXP(COMPLEX(0,-2*Pi*G398*Tsw)),6)</f>
        <v>0.13361640868304-0.0996214490379685i</v>
      </c>
      <c r="AQ398" s="22" t="str">
        <f t="shared" ref="AQ398:AQ461" si="228">IMSUB(1,AP398)</f>
        <v>0.86638359131696+0.0996214490379685i</v>
      </c>
      <c r="AR398" s="22" t="str">
        <f t="shared" ref="AR398:AR461" si="229">IMDIV(0.833,AQ398)</f>
        <v>0.948921587983909-0.109112112193481i</v>
      </c>
    </row>
    <row r="399" spans="7:44">
      <c r="G399" s="257">
        <v>35894.5</v>
      </c>
      <c r="H399" s="256">
        <f t="shared" si="221"/>
        <v>35.8945</v>
      </c>
      <c r="I399" s="298">
        <f t="shared" si="201"/>
        <v>35.0343505226265</v>
      </c>
      <c r="J399" s="299">
        <f t="shared" si="202"/>
        <v>1.54224903470462</v>
      </c>
      <c r="K399" s="299">
        <f t="shared" si="203"/>
        <v>1.0001880795685</v>
      </c>
      <c r="L399" s="300">
        <f t="shared" si="204"/>
        <v>0.0193933027078124</v>
      </c>
      <c r="M399" s="299">
        <f t="shared" si="205"/>
        <v>1.00806417084096</v>
      </c>
      <c r="N399" s="300">
        <f t="shared" si="206"/>
        <v>-0.126572894303956</v>
      </c>
      <c r="O399" s="298">
        <f t="shared" si="207"/>
        <v>64953.1568959427</v>
      </c>
      <c r="P399" s="301">
        <f t="shared" si="208"/>
        <v>1.57078093108439</v>
      </c>
      <c r="Q399" s="320">
        <f t="shared" si="198"/>
        <v>27.082283921172</v>
      </c>
      <c r="R399" s="321">
        <f t="shared" si="199"/>
        <v>1.53386342338884</v>
      </c>
      <c r="S399" s="298">
        <f t="shared" si="209"/>
        <v>1.01614631716297</v>
      </c>
      <c r="T399" s="301">
        <f t="shared" si="210"/>
        <v>0.178504991914045</v>
      </c>
      <c r="U399" s="316">
        <f t="shared" si="222"/>
        <v>0.93827716051782</v>
      </c>
      <c r="V399" s="317">
        <f t="shared" si="223"/>
        <v>-0.437186231750208</v>
      </c>
      <c r="W399" s="318">
        <f t="shared" si="211"/>
        <v>-2.24512886729145</v>
      </c>
      <c r="X399" s="319">
        <f t="shared" si="212"/>
        <v>-131.897025026113</v>
      </c>
      <c r="Y399" s="332">
        <f t="shared" si="213"/>
        <v>48.1029749738872</v>
      </c>
      <c r="AA399" s="22">
        <f t="shared" si="214"/>
        <v>35894.5</v>
      </c>
      <c r="AB399" s="22">
        <f t="shared" si="215"/>
        <v>1288415130.25</v>
      </c>
      <c r="AD399" s="331">
        <f t="shared" si="216"/>
        <v>27.4710251785532</v>
      </c>
      <c r="AE399" s="332">
        <f t="shared" si="217"/>
        <v>-12.3428000538919</v>
      </c>
      <c r="AG399" s="331">
        <f t="shared" si="218"/>
        <v>-3.22145688539118</v>
      </c>
      <c r="AH399" s="332">
        <f t="shared" si="219"/>
        <v>-69.4563730339451</v>
      </c>
      <c r="AJ399" s="22">
        <f t="shared" si="220"/>
        <v>0</v>
      </c>
      <c r="AK399" s="22">
        <f t="shared" si="200"/>
        <v>0</v>
      </c>
      <c r="AM399" s="22" t="str">
        <f t="shared" si="224"/>
        <v>0.200525575078941+0.600700128098157i</v>
      </c>
      <c r="AN399" s="22" t="str">
        <f t="shared" si="225"/>
        <v>0.644376556431i</v>
      </c>
      <c r="AO399" s="22" t="str">
        <f t="shared" si="226"/>
        <v>0.932219091621283-0.311193157289256i</v>
      </c>
      <c r="AP399" s="22" t="str">
        <f t="shared" si="227"/>
        <v>0.133245737486843-0.100116688016359i</v>
      </c>
      <c r="AQ399" s="22" t="str">
        <f t="shared" si="228"/>
        <v>0.866754262513157+0.100116688016359i</v>
      </c>
      <c r="AR399" s="22" t="str">
        <f t="shared" si="229"/>
        <v>0.948403114589151-0.109547749395261i</v>
      </c>
    </row>
    <row r="400" spans="7:44">
      <c r="G400" s="257">
        <v>36101.25</v>
      </c>
      <c r="H400" s="256">
        <f t="shared" si="221"/>
        <v>36.10125</v>
      </c>
      <c r="I400" s="298">
        <f t="shared" si="201"/>
        <v>35.2359821794044</v>
      </c>
      <c r="J400" s="299">
        <f t="shared" si="202"/>
        <v>1.54241243552876</v>
      </c>
      <c r="K400" s="299">
        <f t="shared" si="203"/>
        <v>1.00019025225404</v>
      </c>
      <c r="L400" s="300">
        <f t="shared" si="204"/>
        <v>0.0195049786297201</v>
      </c>
      <c r="M400" s="299">
        <f t="shared" si="205"/>
        <v>1.00815695967283</v>
      </c>
      <c r="N400" s="300">
        <f t="shared" si="206"/>
        <v>-0.12729411797089</v>
      </c>
      <c r="O400" s="298">
        <f t="shared" si="207"/>
        <v>65327.2828814018</v>
      </c>
      <c r="P400" s="301">
        <f t="shared" si="208"/>
        <v>1.57078101925483</v>
      </c>
      <c r="Q400" s="320">
        <f t="shared" si="198"/>
        <v>27.238064051534</v>
      </c>
      <c r="R400" s="321">
        <f t="shared" si="199"/>
        <v>1.53407474558323</v>
      </c>
      <c r="S400" s="298">
        <f t="shared" si="209"/>
        <v>1.01633135745463</v>
      </c>
      <c r="T400" s="301">
        <f t="shared" si="210"/>
        <v>0.179511283574603</v>
      </c>
      <c r="U400" s="316">
        <f t="shared" si="222"/>
        <v>0.937629638667018</v>
      </c>
      <c r="V400" s="317">
        <f t="shared" si="223"/>
        <v>-0.439555054846689</v>
      </c>
      <c r="W400" s="318">
        <f t="shared" si="211"/>
        <v>-2.30180228850134</v>
      </c>
      <c r="X400" s="319">
        <f t="shared" si="212"/>
        <v>-132.122588730053</v>
      </c>
      <c r="Y400" s="332">
        <f t="shared" si="213"/>
        <v>47.8774112699468</v>
      </c>
      <c r="AA400" s="22">
        <f t="shared" si="214"/>
        <v>36101.25</v>
      </c>
      <c r="AB400" s="22">
        <f t="shared" si="215"/>
        <v>1303300251.5625</v>
      </c>
      <c r="AD400" s="331">
        <f t="shared" si="216"/>
        <v>27.4693759938915</v>
      </c>
      <c r="AE400" s="332">
        <f t="shared" si="217"/>
        <v>-12.3883535009915</v>
      </c>
      <c r="AG400" s="331">
        <f t="shared" si="218"/>
        <v>-3.26448840767418</v>
      </c>
      <c r="AH400" s="332">
        <f t="shared" si="219"/>
        <v>-69.364936158793</v>
      </c>
      <c r="AJ400" s="22">
        <f t="shared" si="220"/>
        <v>0</v>
      </c>
      <c r="AK400" s="22">
        <f t="shared" si="200"/>
        <v>0</v>
      </c>
      <c r="AM400" s="22" t="str">
        <f t="shared" si="224"/>
        <v>0.202760615588855+0.603663286894059i</v>
      </c>
      <c r="AN400" s="22" t="str">
        <f t="shared" si="225"/>
        <v>0.6480881237475i</v>
      </c>
      <c r="AO400" s="22" t="str">
        <f t="shared" si="226"/>
        <v>0.931452475017504-0.312859637693117i</v>
      </c>
      <c r="AP400" s="22" t="str">
        <f t="shared" si="227"/>
        <v>0.132873230735191-0.100610547815677i</v>
      </c>
      <c r="AQ400" s="22" t="str">
        <f t="shared" si="228"/>
        <v>0.867126769264809+0.100610547815677i</v>
      </c>
      <c r="AR400" s="22" t="str">
        <f t="shared" si="229"/>
        <v>0.947883090025411-0.109980501505599i</v>
      </c>
    </row>
    <row r="401" spans="7:44">
      <c r="G401" s="257">
        <v>36308</v>
      </c>
      <c r="H401" s="256">
        <f t="shared" si="221"/>
        <v>36.308</v>
      </c>
      <c r="I401" s="298">
        <f t="shared" si="201"/>
        <v>35.4376147662713</v>
      </c>
      <c r="J401" s="299">
        <f t="shared" si="202"/>
        <v>1.54257397692442</v>
      </c>
      <c r="K401" s="299">
        <f t="shared" si="203"/>
        <v>1.00019243741342</v>
      </c>
      <c r="L401" s="300">
        <f t="shared" si="204"/>
        <v>0.0196166540650552</v>
      </c>
      <c r="M401" s="299">
        <f t="shared" si="205"/>
        <v>1.00825027281454</v>
      </c>
      <c r="N401" s="300">
        <f t="shared" si="206"/>
        <v>-0.128015208514952</v>
      </c>
      <c r="O401" s="298">
        <f t="shared" si="207"/>
        <v>65701.4088668614</v>
      </c>
      <c r="P401" s="301">
        <f t="shared" si="208"/>
        <v>1.57078110642113</v>
      </c>
      <c r="Q401" s="320">
        <f t="shared" si="198"/>
        <v>27.3938453844338</v>
      </c>
      <c r="R401" s="321">
        <f t="shared" si="199"/>
        <v>1.53428366432341</v>
      </c>
      <c r="S401" s="298">
        <f t="shared" si="209"/>
        <v>1.01651742653142</v>
      </c>
      <c r="T401" s="301">
        <f t="shared" si="210"/>
        <v>0.180517207858883</v>
      </c>
      <c r="U401" s="316">
        <f t="shared" si="222"/>
        <v>0.936979664421955</v>
      </c>
      <c r="V401" s="317">
        <f t="shared" si="223"/>
        <v>-0.441921557468838</v>
      </c>
      <c r="W401" s="318">
        <f t="shared" si="211"/>
        <v>-2.35822119044304</v>
      </c>
      <c r="X401" s="319">
        <f t="shared" si="212"/>
        <v>-132.348021944843</v>
      </c>
      <c r="Y401" s="332">
        <f t="shared" si="213"/>
        <v>47.6519780551573</v>
      </c>
      <c r="AA401" s="22">
        <f t="shared" si="214"/>
        <v>36308</v>
      </c>
      <c r="AB401" s="22">
        <f t="shared" si="215"/>
        <v>1318270864</v>
      </c>
      <c r="AD401" s="331">
        <f t="shared" si="216"/>
        <v>27.467719457401</v>
      </c>
      <c r="AE401" s="332">
        <f t="shared" si="217"/>
        <v>-12.4340235492302</v>
      </c>
      <c r="AG401" s="331">
        <f t="shared" si="218"/>
        <v>-3.30720430610503</v>
      </c>
      <c r="AH401" s="332">
        <f t="shared" si="219"/>
        <v>-69.2735181001223</v>
      </c>
      <c r="AJ401" s="22">
        <f t="shared" si="220"/>
        <v>0</v>
      </c>
      <c r="AK401" s="22">
        <f t="shared" si="200"/>
        <v>0</v>
      </c>
      <c r="AM401" s="22" t="str">
        <f t="shared" si="224"/>
        <v>0.205006638642217+0.606618129795882i</v>
      </c>
      <c r="AN401" s="22" t="str">
        <f t="shared" si="225"/>
        <v>0.651799691064i</v>
      </c>
      <c r="AO401" s="22" t="str">
        <f t="shared" si="226"/>
        <v>0.9306818308024-0.314523988662166i</v>
      </c>
      <c r="AP401" s="22" t="str">
        <f t="shared" si="227"/>
        <v>0.13249889355963-0.101103021632647i</v>
      </c>
      <c r="AQ401" s="22" t="str">
        <f t="shared" si="228"/>
        <v>0.86750110644037+0.101103021632647i</v>
      </c>
      <c r="AR401" s="22" t="str">
        <f t="shared" si="229"/>
        <v>0.947361533488803-0.110410364785903i</v>
      </c>
    </row>
    <row r="402" spans="7:44">
      <c r="G402" s="257">
        <v>36519.5</v>
      </c>
      <c r="H402" s="256">
        <f t="shared" si="221"/>
        <v>36.5195</v>
      </c>
      <c r="I402" s="298">
        <f t="shared" si="201"/>
        <v>35.6438807285121</v>
      </c>
      <c r="J402" s="299">
        <f t="shared" si="202"/>
        <v>1.54273733856422</v>
      </c>
      <c r="K402" s="299">
        <f t="shared" si="203"/>
        <v>1.00019468568288</v>
      </c>
      <c r="L402" s="300">
        <f t="shared" si="204"/>
        <v>0.0197308946932597</v>
      </c>
      <c r="M402" s="299">
        <f t="shared" si="205"/>
        <v>1.00834627215419</v>
      </c>
      <c r="N402" s="300">
        <f t="shared" si="206"/>
        <v>-0.128752727341985</v>
      </c>
      <c r="O402" s="298">
        <f t="shared" si="207"/>
        <v>66084.1302498109</v>
      </c>
      <c r="P402" s="301">
        <f t="shared" si="208"/>
        <v>1.5707811945688</v>
      </c>
      <c r="Q402" s="320">
        <f t="shared" si="198"/>
        <v>27.5532069552672</v>
      </c>
      <c r="R402" s="321">
        <f t="shared" si="199"/>
        <v>1.53449493845943</v>
      </c>
      <c r="S402" s="298">
        <f t="shared" si="209"/>
        <v>1.01670883439371</v>
      </c>
      <c r="T402" s="301">
        <f t="shared" si="210"/>
        <v>0.181545860812891</v>
      </c>
      <c r="U402" s="316">
        <f t="shared" si="222"/>
        <v>0.936312237977698</v>
      </c>
      <c r="V402" s="317">
        <f t="shared" si="223"/>
        <v>-0.444340021431978</v>
      </c>
      <c r="W402" s="318">
        <f t="shared" si="211"/>
        <v>-2.41567619922272</v>
      </c>
      <c r="X402" s="319">
        <f t="shared" si="212"/>
        <v>-132.578498272872</v>
      </c>
      <c r="Y402" s="332">
        <f t="shared" si="213"/>
        <v>47.4215017271277</v>
      </c>
      <c r="AA402" s="22">
        <f t="shared" si="214"/>
        <v>36519.5</v>
      </c>
      <c r="AB402" s="22">
        <f t="shared" si="215"/>
        <v>1333673880.25</v>
      </c>
      <c r="AD402" s="331">
        <f t="shared" si="216"/>
        <v>27.4660172383954</v>
      </c>
      <c r="AE402" s="332">
        <f t="shared" si="217"/>
        <v>-12.4808609563074</v>
      </c>
      <c r="AG402" s="331">
        <f t="shared" si="218"/>
        <v>-3.35057847474862</v>
      </c>
      <c r="AH402" s="332">
        <f t="shared" si="219"/>
        <v>-69.1800214647733</v>
      </c>
      <c r="AJ402" s="22">
        <f t="shared" si="220"/>
        <v>0</v>
      </c>
      <c r="AK402" s="22">
        <f t="shared" si="200"/>
        <v>0</v>
      </c>
      <c r="AM402" s="22" t="str">
        <f t="shared" si="224"/>
        <v>0.207315594852827+0.609632211941325i</v>
      </c>
      <c r="AN402" s="22" t="str">
        <f t="shared" si="225"/>
        <v>0.655596530181i</v>
      </c>
      <c r="AO402" s="22" t="str">
        <f t="shared" si="226"/>
        <v>0.929889320452955-0.316224362559683i</v>
      </c>
      <c r="AP402" s="22" t="str">
        <f t="shared" si="227"/>
        <v>0.132114067524529-0.101605368656888i</v>
      </c>
      <c r="AQ402" s="22" t="str">
        <f t="shared" si="228"/>
        <v>0.867885932475471+0.101605368656888i</v>
      </c>
      <c r="AR402" s="22" t="str">
        <f t="shared" si="229"/>
        <v>0.946826429213487-0.110847111117382i</v>
      </c>
    </row>
    <row r="403" spans="7:44">
      <c r="G403" s="257">
        <v>36731</v>
      </c>
      <c r="H403" s="256">
        <f t="shared" si="221"/>
        <v>36.731</v>
      </c>
      <c r="I403" s="298">
        <f t="shared" si="201"/>
        <v>35.8501476310362</v>
      </c>
      <c r="J403" s="299">
        <f t="shared" si="202"/>
        <v>1.54289882037784</v>
      </c>
      <c r="K403" s="299">
        <f t="shared" si="203"/>
        <v>1.00019694700575</v>
      </c>
      <c r="L403" s="300">
        <f t="shared" si="204"/>
        <v>0.0198451348063871</v>
      </c>
      <c r="M403" s="299">
        <f t="shared" si="205"/>
        <v>1.00844281986307</v>
      </c>
      <c r="N403" s="300">
        <f t="shared" si="206"/>
        <v>-0.129490105350822</v>
      </c>
      <c r="O403" s="298">
        <f t="shared" si="207"/>
        <v>66466.8516327609</v>
      </c>
      <c r="P403" s="301">
        <f t="shared" si="208"/>
        <v>1.57078128170136</v>
      </c>
      <c r="Q403" s="320">
        <f t="shared" si="198"/>
        <v>27.7125697418416</v>
      </c>
      <c r="R403" s="321">
        <f t="shared" si="199"/>
        <v>1.53470378271563</v>
      </c>
      <c r="S403" s="298">
        <f t="shared" si="209"/>
        <v>1.01690131765731</v>
      </c>
      <c r="T403" s="301">
        <f t="shared" si="210"/>
        <v>0.182574125439268</v>
      </c>
      <c r="U403" s="316">
        <f t="shared" si="222"/>
        <v>0.935642282231542</v>
      </c>
      <c r="V403" s="317">
        <f t="shared" si="223"/>
        <v>-0.446756042804696</v>
      </c>
      <c r="W403" s="318">
        <f t="shared" si="211"/>
        <v>-2.47287142405054</v>
      </c>
      <c r="X403" s="319">
        <f t="shared" si="212"/>
        <v>-132.808835820059</v>
      </c>
      <c r="Y403" s="332">
        <f t="shared" si="213"/>
        <v>47.1911641799409</v>
      </c>
      <c r="AA403" s="22">
        <f t="shared" si="214"/>
        <v>36731</v>
      </c>
      <c r="AB403" s="22">
        <f t="shared" si="215"/>
        <v>1349166361</v>
      </c>
      <c r="AD403" s="331">
        <f t="shared" si="216"/>
        <v>27.4643072919508</v>
      </c>
      <c r="AE403" s="332">
        <f t="shared" si="217"/>
        <v>-12.527815277547</v>
      </c>
      <c r="AG403" s="331">
        <f t="shared" si="218"/>
        <v>-3.39362934437003</v>
      </c>
      <c r="AH403" s="332">
        <f t="shared" si="219"/>
        <v>-69.0865490346637</v>
      </c>
      <c r="AJ403" s="22">
        <f t="shared" si="220"/>
        <v>0</v>
      </c>
      <c r="AK403" s="22">
        <f t="shared" si="200"/>
        <v>0</v>
      </c>
      <c r="AM403" s="22" t="str">
        <f t="shared" si="224"/>
        <v>0.209635978378012+0.612637505647114i</v>
      </c>
      <c r="AN403" s="22" t="str">
        <f t="shared" si="225"/>
        <v>0.659393369298i</v>
      </c>
      <c r="AO403" s="22" t="str">
        <f t="shared" si="226"/>
        <v>0.929092608709937-0.317922484724397i</v>
      </c>
      <c r="AP403" s="22" t="str">
        <f t="shared" si="227"/>
        <v>0.131727336936998-0.102106250941186i</v>
      </c>
      <c r="AQ403" s="22" t="str">
        <f t="shared" si="228"/>
        <v>0.868272663063002+0.102106250941186i</v>
      </c>
      <c r="AR403" s="22" t="str">
        <f t="shared" si="229"/>
        <v>0.946289762323515-0.111280826916774i</v>
      </c>
    </row>
    <row r="404" spans="7:44">
      <c r="G404" s="257">
        <v>36942.5</v>
      </c>
      <c r="H404" s="256">
        <f t="shared" si="221"/>
        <v>36.9425</v>
      </c>
      <c r="I404" s="298">
        <f t="shared" si="201"/>
        <v>36.0564154577063</v>
      </c>
      <c r="J404" s="299">
        <f t="shared" si="202"/>
        <v>1.54305845461854</v>
      </c>
      <c r="K404" s="299">
        <f t="shared" si="203"/>
        <v>1.00019922138193</v>
      </c>
      <c r="L404" s="300">
        <f t="shared" si="204"/>
        <v>0.0199593744014589</v>
      </c>
      <c r="M404" s="299">
        <f t="shared" si="205"/>
        <v>1.00853991578372</v>
      </c>
      <c r="N404" s="300">
        <f t="shared" si="206"/>
        <v>-0.130227341780155</v>
      </c>
      <c r="O404" s="298">
        <f t="shared" si="207"/>
        <v>66849.5730157115</v>
      </c>
      <c r="P404" s="301">
        <f t="shared" si="208"/>
        <v>1.57078136783622</v>
      </c>
      <c r="Q404" s="320">
        <f t="shared" si="198"/>
        <v>27.8719337233032</v>
      </c>
      <c r="R404" s="321">
        <f t="shared" si="199"/>
        <v>1.53491023875375</v>
      </c>
      <c r="S404" s="298">
        <f t="shared" si="209"/>
        <v>1.01709487571167</v>
      </c>
      <c r="T404" s="301">
        <f t="shared" si="210"/>
        <v>0.183601999784678</v>
      </c>
      <c r="U404" s="316">
        <f t="shared" si="222"/>
        <v>0.934969815927001</v>
      </c>
      <c r="V404" s="317">
        <f t="shared" si="223"/>
        <v>-0.449169614511201</v>
      </c>
      <c r="W404" s="318">
        <f t="shared" si="211"/>
        <v>-2.5298100959618</v>
      </c>
      <c r="X404" s="319">
        <f t="shared" si="212"/>
        <v>-133.039033487555</v>
      </c>
      <c r="Y404" s="332">
        <f t="shared" si="213"/>
        <v>46.9609665124455</v>
      </c>
      <c r="AA404" s="22">
        <f t="shared" si="214"/>
        <v>36942.5</v>
      </c>
      <c r="AB404" s="22">
        <f t="shared" si="215"/>
        <v>1364748306.25</v>
      </c>
      <c r="AD404" s="331">
        <f t="shared" si="216"/>
        <v>27.4625896021422</v>
      </c>
      <c r="AE404" s="332">
        <f t="shared" si="217"/>
        <v>-12.5748840149872</v>
      </c>
      <c r="AG404" s="331">
        <f t="shared" si="218"/>
        <v>-3.43636036478818</v>
      </c>
      <c r="AH404" s="332">
        <f t="shared" si="219"/>
        <v>-68.9931030197331</v>
      </c>
      <c r="AJ404" s="22">
        <f t="shared" si="220"/>
        <v>0</v>
      </c>
      <c r="AK404" s="22">
        <f t="shared" si="200"/>
        <v>0</v>
      </c>
      <c r="AM404" s="22" t="str">
        <f t="shared" si="224"/>
        <v>0.211967755767191+0.615633967589023i</v>
      </c>
      <c r="AN404" s="22" t="str">
        <f t="shared" si="225"/>
        <v>0.663190208415i</v>
      </c>
      <c r="AO404" s="22" t="str">
        <f t="shared" si="226"/>
        <v>0.928291702406713-0.319618343391689i</v>
      </c>
      <c r="AP404" s="22" t="str">
        <f t="shared" si="227"/>
        <v>0.131338707372135-0.102605661264837i</v>
      </c>
      <c r="AQ404" s="22" t="str">
        <f t="shared" si="228"/>
        <v>0.868661292627865+0.102605661264837i</v>
      </c>
      <c r="AR404" s="22" t="str">
        <f t="shared" si="229"/>
        <v>0.945751553286509-0.111711508663689i</v>
      </c>
    </row>
    <row r="405" spans="7:44">
      <c r="G405" s="257">
        <v>37154</v>
      </c>
      <c r="H405" s="256">
        <f t="shared" si="221"/>
        <v>37.154</v>
      </c>
      <c r="I405" s="298">
        <f t="shared" si="201"/>
        <v>36.2626841927525</v>
      </c>
      <c r="J405" s="299">
        <f t="shared" si="202"/>
        <v>1.54321627280611</v>
      </c>
      <c r="K405" s="299">
        <f t="shared" si="203"/>
        <v>1.00020150881133</v>
      </c>
      <c r="L405" s="300">
        <f t="shared" si="204"/>
        <v>0.0200736134754968</v>
      </c>
      <c r="M405" s="299">
        <f t="shared" si="205"/>
        <v>1.0086375597578</v>
      </c>
      <c r="N405" s="300">
        <f t="shared" si="206"/>
        <v>-0.130964435869587</v>
      </c>
      <c r="O405" s="298">
        <f t="shared" si="207"/>
        <v>67232.2943986625</v>
      </c>
      <c r="P405" s="301">
        <f t="shared" si="208"/>
        <v>1.57078145299044</v>
      </c>
      <c r="Q405" s="320">
        <f t="shared" si="198"/>
        <v>28.0312988792725</v>
      </c>
      <c r="R405" s="321">
        <f t="shared" si="199"/>
        <v>1.53511434728897</v>
      </c>
      <c r="S405" s="298">
        <f t="shared" si="209"/>
        <v>1.0172895079433</v>
      </c>
      <c r="T405" s="301">
        <f t="shared" si="210"/>
        <v>0.184629481900567</v>
      </c>
      <c r="U405" s="316">
        <f t="shared" si="222"/>
        <v>0.934294857803882</v>
      </c>
      <c r="V405" s="317">
        <f t="shared" si="223"/>
        <v>-0.451580729568929</v>
      </c>
      <c r="W405" s="318">
        <f t="shared" si="211"/>
        <v>-2.58649538824502</v>
      </c>
      <c r="X405" s="319">
        <f t="shared" si="212"/>
        <v>-133.269090194367</v>
      </c>
      <c r="Y405" s="332">
        <f t="shared" si="213"/>
        <v>46.7309098056331</v>
      </c>
      <c r="AA405" s="22">
        <f t="shared" si="214"/>
        <v>37154</v>
      </c>
      <c r="AB405" s="22">
        <f t="shared" si="215"/>
        <v>1380419716</v>
      </c>
      <c r="AD405" s="331">
        <f t="shared" si="216"/>
        <v>27.460864153835</v>
      </c>
      <c r="AE405" s="332">
        <f t="shared" si="217"/>
        <v>-12.6220647251538</v>
      </c>
      <c r="AG405" s="331">
        <f t="shared" si="218"/>
        <v>-3.47877492910437</v>
      </c>
      <c r="AH405" s="332">
        <f t="shared" si="219"/>
        <v>-68.8996855826069</v>
      </c>
      <c r="AJ405" s="22">
        <f t="shared" si="220"/>
        <v>0</v>
      </c>
      <c r="AK405" s="22">
        <f t="shared" si="200"/>
        <v>0</v>
      </c>
      <c r="AM405" s="22" t="str">
        <f t="shared" si="224"/>
        <v>0.214310893405532+0.618621554570148i</v>
      </c>
      <c r="AN405" s="22" t="str">
        <f t="shared" si="225"/>
        <v>0.666987047532i</v>
      </c>
      <c r="AO405" s="22" t="str">
        <f t="shared" si="226"/>
        <v>0.92748660841194-0.321311926818564i</v>
      </c>
      <c r="AP405" s="22" t="str">
        <f t="shared" si="227"/>
        <v>0.130948184432411-0.103103592428358i</v>
      </c>
      <c r="AQ405" s="22" t="str">
        <f t="shared" si="228"/>
        <v>0.869051815567589+0.103103592428358i</v>
      </c>
      <c r="AR405" s="22" t="str">
        <f t="shared" si="229"/>
        <v>0.945211822539587-0.112139152998533i</v>
      </c>
    </row>
    <row r="406" spans="7:44">
      <c r="G406" s="257">
        <v>37370.25</v>
      </c>
      <c r="H406" s="256">
        <f t="shared" si="221"/>
        <v>37.37025</v>
      </c>
      <c r="I406" s="298">
        <f t="shared" si="201"/>
        <v>36.4735863639133</v>
      </c>
      <c r="J406" s="299">
        <f t="shared" si="202"/>
        <v>1.54337578977056</v>
      </c>
      <c r="K406" s="299">
        <f t="shared" si="203"/>
        <v>1.00020386110943</v>
      </c>
      <c r="L406" s="300">
        <f t="shared" si="204"/>
        <v>0.0201904176606777</v>
      </c>
      <c r="M406" s="299">
        <f t="shared" si="205"/>
        <v>1.00873796317031</v>
      </c>
      <c r="N406" s="300">
        <f t="shared" si="206"/>
        <v>-0.131717936119522</v>
      </c>
      <c r="O406" s="298">
        <f t="shared" si="207"/>
        <v>67623.6111791035</v>
      </c>
      <c r="P406" s="301">
        <f t="shared" si="208"/>
        <v>1.57078153906052</v>
      </c>
      <c r="Q406" s="320">
        <f t="shared" si="198"/>
        <v>28.1942443517541</v>
      </c>
      <c r="R406" s="321">
        <f t="shared" si="199"/>
        <v>1.53532065409322</v>
      </c>
      <c r="S406" s="298">
        <f t="shared" si="209"/>
        <v>1.01748962134082</v>
      </c>
      <c r="T406" s="301">
        <f t="shared" si="210"/>
        <v>0.185679632289349</v>
      </c>
      <c r="U406" s="316">
        <f t="shared" si="222"/>
        <v>0.933602184171346</v>
      </c>
      <c r="V406" s="317">
        <f t="shared" si="223"/>
        <v>-0.454043447760966</v>
      </c>
      <c r="W406" s="318">
        <f t="shared" si="211"/>
        <v>-2.6441950215477</v>
      </c>
      <c r="X406" s="319">
        <f t="shared" si="212"/>
        <v>-133.504166806751</v>
      </c>
      <c r="Y406" s="332">
        <f t="shared" si="213"/>
        <v>46.4958331932488</v>
      </c>
      <c r="AA406" s="22">
        <f t="shared" si="214"/>
        <v>37370.25</v>
      </c>
      <c r="AB406" s="22">
        <f t="shared" si="215"/>
        <v>1396535585.0625</v>
      </c>
      <c r="AD406" s="331">
        <f t="shared" si="216"/>
        <v>27.4590919175368</v>
      </c>
      <c r="AE406" s="332">
        <f t="shared" si="217"/>
        <v>-12.670418332624</v>
      </c>
      <c r="AG406" s="331">
        <f t="shared" si="218"/>
        <v>-3.5218183461721</v>
      </c>
      <c r="AH406" s="332">
        <f t="shared" si="219"/>
        <v>-68.8042018701307</v>
      </c>
      <c r="AJ406" s="22">
        <f t="shared" si="220"/>
        <v>0</v>
      </c>
      <c r="AK406" s="22">
        <f t="shared" si="200"/>
        <v>0</v>
      </c>
      <c r="AM406" s="22" t="str">
        <f t="shared" si="224"/>
        <v>0.216718365332543+0.621667017616888i</v>
      </c>
      <c r="AN406" s="22" t="str">
        <f t="shared" si="225"/>
        <v>0.6708691584495i</v>
      </c>
      <c r="AO406" s="22" t="str">
        <f t="shared" si="226"/>
        <v>0.926659110479416-0.32304118113496i</v>
      </c>
      <c r="AP406" s="22" t="str">
        <f t="shared" si="227"/>
        <v>0.130546939111243-0.103611169602815i</v>
      </c>
      <c r="AQ406" s="22" t="str">
        <f t="shared" si="228"/>
        <v>0.869453060888757+0.103611169602815i</v>
      </c>
      <c r="AR406" s="22" t="str">
        <f t="shared" si="229"/>
        <v>0.944658418078731-0.112573257804432i</v>
      </c>
    </row>
    <row r="407" spans="7:44">
      <c r="G407" s="257">
        <v>37586.5</v>
      </c>
      <c r="H407" s="256">
        <f t="shared" si="221"/>
        <v>37.5865</v>
      </c>
      <c r="I407" s="298">
        <f t="shared" si="201"/>
        <v>36.6844894524974</v>
      </c>
      <c r="J407" s="299">
        <f t="shared" si="202"/>
        <v>1.54353347257851</v>
      </c>
      <c r="K407" s="299">
        <f t="shared" si="203"/>
        <v>1.00020622705345</v>
      </c>
      <c r="L407" s="300">
        <f t="shared" si="204"/>
        <v>0.0203072212948618</v>
      </c>
      <c r="M407" s="299">
        <f t="shared" si="205"/>
        <v>1.00883893919235</v>
      </c>
      <c r="N407" s="300">
        <f t="shared" si="206"/>
        <v>-0.132471285959438</v>
      </c>
      <c r="O407" s="298">
        <f t="shared" si="207"/>
        <v>68014.9279595449</v>
      </c>
      <c r="P407" s="301">
        <f t="shared" si="208"/>
        <v>1.5707816241402</v>
      </c>
      <c r="Q407" s="320">
        <f t="shared" ref="Q407:Q470" si="230">SQRT(1+(G407/Zero2)^2)</f>
        <v>28.3571910104621</v>
      </c>
      <c r="R407" s="321">
        <f t="shared" ref="R407:R470" si="231">ATAN(G407/Zero2)</f>
        <v>1.53552458993749</v>
      </c>
      <c r="S407" s="298">
        <f t="shared" si="209"/>
        <v>1.0176908564</v>
      </c>
      <c r="T407" s="301">
        <f t="shared" si="210"/>
        <v>0.186729368528403</v>
      </c>
      <c r="U407" s="316">
        <f t="shared" si="222"/>
        <v>0.932906945142896</v>
      </c>
      <c r="V407" s="317">
        <f t="shared" si="223"/>
        <v>-0.456503583253419</v>
      </c>
      <c r="W407" s="318">
        <f t="shared" si="211"/>
        <v>-2.70163629653286</v>
      </c>
      <c r="X407" s="319">
        <f t="shared" si="212"/>
        <v>-133.739093825857</v>
      </c>
      <c r="Y407" s="332">
        <f t="shared" si="213"/>
        <v>46.2609061741434</v>
      </c>
      <c r="AA407" s="22">
        <f t="shared" si="214"/>
        <v>37586.5</v>
      </c>
      <c r="AB407" s="22">
        <f t="shared" si="215"/>
        <v>1412744982.25</v>
      </c>
      <c r="AD407" s="331">
        <f t="shared" si="216"/>
        <v>27.4573115407561</v>
      </c>
      <c r="AE407" s="332">
        <f t="shared" si="217"/>
        <v>-12.7188840003178</v>
      </c>
      <c r="AG407" s="331">
        <f t="shared" si="218"/>
        <v>-3.56453793129622</v>
      </c>
      <c r="AH407" s="332">
        <f t="shared" si="219"/>
        <v>-68.7087524597246</v>
      </c>
      <c r="AJ407" s="22">
        <f t="shared" si="220"/>
        <v>0</v>
      </c>
      <c r="AK407" s="22">
        <f t="shared" si="200"/>
        <v>0</v>
      </c>
      <c r="AM407" s="22" t="str">
        <f t="shared" si="224"/>
        <v>0.219137641913976+0.624703111665321i</v>
      </c>
      <c r="AN407" s="22" t="str">
        <f t="shared" si="225"/>
        <v>0.674751269367i</v>
      </c>
      <c r="AO407" s="22" t="str">
        <f t="shared" si="226"/>
        <v>0.925827249278641-0.324768032106934i</v>
      </c>
      <c r="AP407" s="22" t="str">
        <f t="shared" si="227"/>
        <v>0.130143726347671-0.104117185277553i</v>
      </c>
      <c r="AQ407" s="22" t="str">
        <f t="shared" si="228"/>
        <v>0.869856273652329+0.104117185277553i</v>
      </c>
      <c r="AR407" s="22" t="str">
        <f t="shared" si="229"/>
        <v>0.94410346589654-0.113004180641477i</v>
      </c>
    </row>
    <row r="408" spans="7:44">
      <c r="G408" s="257">
        <v>37802.75</v>
      </c>
      <c r="H408" s="256">
        <f t="shared" si="221"/>
        <v>37.80275</v>
      </c>
      <c r="I408" s="298">
        <f t="shared" si="201"/>
        <v>36.8953934427719</v>
      </c>
      <c r="J408" s="299">
        <f t="shared" si="202"/>
        <v>1.54368935267563</v>
      </c>
      <c r="K408" s="299">
        <f t="shared" si="203"/>
        <v>1.00020860664332</v>
      </c>
      <c r="L408" s="300">
        <f t="shared" si="204"/>
        <v>0.0204240243748658</v>
      </c>
      <c r="M408" s="299">
        <f t="shared" si="205"/>
        <v>1.00894048765199</v>
      </c>
      <c r="N408" s="300">
        <f t="shared" si="206"/>
        <v>-0.133224484579519</v>
      </c>
      <c r="O408" s="298">
        <f t="shared" si="207"/>
        <v>68406.2447399869</v>
      </c>
      <c r="P408" s="301">
        <f t="shared" si="208"/>
        <v>1.57078170824649</v>
      </c>
      <c r="Q408" s="320">
        <f t="shared" si="230"/>
        <v>28.5201388350644</v>
      </c>
      <c r="R408" s="321">
        <f t="shared" si="231"/>
        <v>1.53572619544361</v>
      </c>
      <c r="S408" s="298">
        <f t="shared" si="209"/>
        <v>1.0178932124556</v>
      </c>
      <c r="T408" s="301">
        <f t="shared" si="210"/>
        <v>0.187778688550539</v>
      </c>
      <c r="U408" s="316">
        <f t="shared" si="222"/>
        <v>0.932209160729955</v>
      </c>
      <c r="V408" s="317">
        <f t="shared" si="223"/>
        <v>-0.458961128883964</v>
      </c>
      <c r="W408" s="318">
        <f t="shared" si="211"/>
        <v>-2.7588224263347</v>
      </c>
      <c r="X408" s="319">
        <f t="shared" si="212"/>
        <v>-133.973870151873</v>
      </c>
      <c r="Y408" s="332">
        <f t="shared" si="213"/>
        <v>46.0261298481266</v>
      </c>
      <c r="AA408" s="22">
        <f t="shared" si="214"/>
        <v>37802.75</v>
      </c>
      <c r="AB408" s="22">
        <f t="shared" si="215"/>
        <v>1429047907.5625</v>
      </c>
      <c r="AD408" s="331">
        <f t="shared" si="216"/>
        <v>27.4555230097158</v>
      </c>
      <c r="AE408" s="332">
        <f t="shared" si="217"/>
        <v>-12.7674592833084</v>
      </c>
      <c r="AG408" s="331">
        <f t="shared" si="218"/>
        <v>-3.6069371356614</v>
      </c>
      <c r="AH408" s="332">
        <f t="shared" si="219"/>
        <v>-68.6133395172469</v>
      </c>
      <c r="AJ408" s="22">
        <f t="shared" si="220"/>
        <v>0</v>
      </c>
      <c r="AK408" s="22">
        <f t="shared" si="200"/>
        <v>0</v>
      </c>
      <c r="AM408" s="22" t="str">
        <f t="shared" si="224"/>
        <v>0.221568686689481+0.627729790959183i</v>
      </c>
      <c r="AN408" s="22" t="str">
        <f t="shared" si="225"/>
        <v>0.6786333802845i</v>
      </c>
      <c r="AO408" s="22" t="str">
        <f t="shared" si="226"/>
        <v>0.924991032265497-0.326492467253223i</v>
      </c>
      <c r="AP408" s="22" t="str">
        <f t="shared" si="227"/>
        <v>0.12973855221842-0.104621631826531i</v>
      </c>
      <c r="AQ408" s="22" t="str">
        <f t="shared" si="228"/>
        <v>0.87026144778158+0.104621631826531i</v>
      </c>
      <c r="AR408" s="22" t="str">
        <f t="shared" si="229"/>
        <v>0.943546987730369-0.113431918434395i</v>
      </c>
    </row>
    <row r="409" spans="7:44">
      <c r="G409" s="257">
        <v>38019</v>
      </c>
      <c r="H409" s="256">
        <f t="shared" si="221"/>
        <v>38.019</v>
      </c>
      <c r="I409" s="298">
        <f t="shared" si="201"/>
        <v>37.1062983193618</v>
      </c>
      <c r="J409" s="299">
        <f t="shared" si="202"/>
        <v>1.54384346079304</v>
      </c>
      <c r="K409" s="299">
        <f t="shared" si="203"/>
        <v>1.00021099987893</v>
      </c>
      <c r="L409" s="300">
        <f t="shared" si="204"/>
        <v>0.0205408268975068</v>
      </c>
      <c r="M409" s="299">
        <f t="shared" si="205"/>
        <v>1.00904260837641</v>
      </c>
      <c r="N409" s="300">
        <f t="shared" si="206"/>
        <v>-0.133977531170958</v>
      </c>
      <c r="O409" s="298">
        <f t="shared" si="207"/>
        <v>68797.5615204293</v>
      </c>
      <c r="P409" s="301">
        <f t="shared" si="208"/>
        <v>1.570781791396</v>
      </c>
      <c r="Q409" s="320">
        <f t="shared" si="230"/>
        <v>28.6830878056908</v>
      </c>
      <c r="R409" s="321">
        <f t="shared" si="231"/>
        <v>1.53592551031109</v>
      </c>
      <c r="S409" s="298">
        <f t="shared" si="209"/>
        <v>1.01809668883917</v>
      </c>
      <c r="T409" s="301">
        <f t="shared" si="210"/>
        <v>0.188827590293877</v>
      </c>
      <c r="U409" s="316">
        <f t="shared" si="222"/>
        <v>0.931508850934829</v>
      </c>
      <c r="V409" s="317">
        <f t="shared" si="223"/>
        <v>-0.461416077591483</v>
      </c>
      <c r="W409" s="318">
        <f t="shared" si="211"/>
        <v>-2.81575656655578</v>
      </c>
      <c r="X409" s="319">
        <f t="shared" si="212"/>
        <v>-134.208494703034</v>
      </c>
      <c r="Y409" s="332">
        <f t="shared" si="213"/>
        <v>45.7915052969655</v>
      </c>
      <c r="AA409" s="22">
        <f t="shared" si="214"/>
        <v>38019</v>
      </c>
      <c r="AB409" s="22">
        <f t="shared" si="215"/>
        <v>1445444361</v>
      </c>
      <c r="AD409" s="331">
        <f t="shared" si="216"/>
        <v>27.4537263113966</v>
      </c>
      <c r="AE409" s="332">
        <f t="shared" si="217"/>
        <v>-12.816141789796</v>
      </c>
      <c r="AG409" s="331">
        <f t="shared" si="218"/>
        <v>-3.64901935388432</v>
      </c>
      <c r="AH409" s="332">
        <f t="shared" si="219"/>
        <v>-68.5179651618747</v>
      </c>
      <c r="AJ409" s="22">
        <f t="shared" si="220"/>
        <v>0</v>
      </c>
      <c r="AK409" s="22">
        <f t="shared" si="200"/>
        <v>0</v>
      </c>
      <c r="AM409" s="22" t="str">
        <f t="shared" si="224"/>
        <v>0.224011463021348+0.630747009884099i</v>
      </c>
      <c r="AN409" s="22" t="str">
        <f t="shared" si="225"/>
        <v>0.682515491202i</v>
      </c>
      <c r="AO409" s="22" t="str">
        <f t="shared" si="226"/>
        <v>0.924150466934121-0.328214474116674i</v>
      </c>
      <c r="AP409" s="22" t="str">
        <f t="shared" si="227"/>
        <v>0.129331422829775-0.10512450164735i</v>
      </c>
      <c r="AQ409" s="22" t="str">
        <f t="shared" si="228"/>
        <v>0.870668577170225+0.10512450164735i</v>
      </c>
      <c r="AR409" s="22" t="str">
        <f t="shared" si="229"/>
        <v>0.942989005278225-0.113856468279804i</v>
      </c>
    </row>
    <row r="410" spans="7:44">
      <c r="G410" s="257">
        <v>38240.5</v>
      </c>
      <c r="H410" s="256">
        <f t="shared" si="221"/>
        <v>38.2405</v>
      </c>
      <c r="I410" s="298">
        <f t="shared" si="201"/>
        <v>37.3223243330998</v>
      </c>
      <c r="J410" s="299">
        <f t="shared" si="202"/>
        <v>1.54399950462004</v>
      </c>
      <c r="K410" s="299">
        <f t="shared" si="203"/>
        <v>1.00021346536279</v>
      </c>
      <c r="L410" s="300">
        <f t="shared" si="204"/>
        <v>0.0206604645071765</v>
      </c>
      <c r="M410" s="299">
        <f t="shared" si="205"/>
        <v>1.00914780142383</v>
      </c>
      <c r="N410" s="300">
        <f t="shared" si="206"/>
        <v>-0.134748701364411</v>
      </c>
      <c r="O410" s="298">
        <f t="shared" si="207"/>
        <v>69198.3784770448</v>
      </c>
      <c r="P410" s="301">
        <f t="shared" si="208"/>
        <v>1.57078187558922</v>
      </c>
      <c r="Q410" s="320">
        <f t="shared" si="230"/>
        <v>28.8499939306883</v>
      </c>
      <c r="R410" s="321">
        <f t="shared" si="231"/>
        <v>1.53612732985431</v>
      </c>
      <c r="S410" s="298">
        <f t="shared" si="209"/>
        <v>1.01830626586615</v>
      </c>
      <c r="T410" s="301">
        <f t="shared" si="210"/>
        <v>0.189901520920358</v>
      </c>
      <c r="U410" s="316">
        <f t="shared" si="222"/>
        <v>0.930788942201325</v>
      </c>
      <c r="V410" s="317">
        <f t="shared" si="223"/>
        <v>-0.46392792667811</v>
      </c>
      <c r="W410" s="318">
        <f t="shared" si="211"/>
        <v>-2.87381492137463</v>
      </c>
      <c r="X410" s="319">
        <f t="shared" si="212"/>
        <v>-134.448656882972</v>
      </c>
      <c r="Y410" s="332">
        <f t="shared" si="213"/>
        <v>45.5513431170277</v>
      </c>
      <c r="AA410" s="22">
        <f t="shared" si="214"/>
        <v>38240.5</v>
      </c>
      <c r="AB410" s="22">
        <f t="shared" si="215"/>
        <v>1462335840.25</v>
      </c>
      <c r="AD410" s="331">
        <f t="shared" si="216"/>
        <v>27.4518775138696</v>
      </c>
      <c r="AE410" s="332">
        <f t="shared" si="217"/>
        <v>-12.8661148981067</v>
      </c>
      <c r="AG410" s="331">
        <f t="shared" si="218"/>
        <v>-3.69179808793571</v>
      </c>
      <c r="AH410" s="332">
        <f t="shared" si="219"/>
        <v>-68.4203175302978</v>
      </c>
      <c r="AJ410" s="22">
        <f t="shared" si="220"/>
        <v>0</v>
      </c>
      <c r="AK410" s="22">
        <f t="shared" ref="AK410:AK473" si="232">IF(AJ410&gt;0,Y410,0)</f>
        <v>0</v>
      </c>
      <c r="AM410" s="22" t="str">
        <f t="shared" si="224"/>
        <v>0.226525667505881+0.633827624021529i</v>
      </c>
      <c r="AN410" s="22" t="str">
        <f t="shared" si="225"/>
        <v>0.686491849899i</v>
      </c>
      <c r="AO410" s="22" t="str">
        <f t="shared" si="226"/>
        <v>0.923284994737783-0.329975756506372i</v>
      </c>
      <c r="AP410" s="22" t="str">
        <f t="shared" si="227"/>
        <v>0.12891238874902-0.105637937336922i</v>
      </c>
      <c r="AQ410" s="22" t="str">
        <f t="shared" si="228"/>
        <v>0.87108761125098+0.105637937336922i</v>
      </c>
      <c r="AR410" s="22" t="str">
        <f t="shared" si="229"/>
        <v>0.942415939555319-0.114288017281166i</v>
      </c>
    </row>
    <row r="411" spans="7:44">
      <c r="G411" s="257">
        <v>38462</v>
      </c>
      <c r="H411" s="256">
        <f t="shared" si="221"/>
        <v>38.462</v>
      </c>
      <c r="I411" s="298">
        <f t="shared" si="201"/>
        <v>37.5383512451644</v>
      </c>
      <c r="J411" s="299">
        <f t="shared" si="202"/>
        <v>1.54415375243867</v>
      </c>
      <c r="K411" s="299">
        <f t="shared" si="203"/>
        <v>1.0002159451628</v>
      </c>
      <c r="L411" s="300">
        <f t="shared" si="204"/>
        <v>0.020780101525332</v>
      </c>
      <c r="M411" s="299">
        <f t="shared" si="205"/>
        <v>1.00925359448964</v>
      </c>
      <c r="N411" s="300">
        <f t="shared" si="206"/>
        <v>-0.135519710343444</v>
      </c>
      <c r="O411" s="298">
        <f t="shared" si="207"/>
        <v>69599.1954336608</v>
      </c>
      <c r="P411" s="301">
        <f t="shared" si="208"/>
        <v>1.57078195881271</v>
      </c>
      <c r="Q411" s="320">
        <f t="shared" si="230"/>
        <v>29.0169012172603</v>
      </c>
      <c r="R411" s="321">
        <f t="shared" si="231"/>
        <v>1.53632682764475</v>
      </c>
      <c r="S411" s="298">
        <f t="shared" si="209"/>
        <v>1.01851701684911</v>
      </c>
      <c r="T411" s="301">
        <f t="shared" si="210"/>
        <v>0.190975008350221</v>
      </c>
      <c r="U411" s="316">
        <f t="shared" si="222"/>
        <v>0.930066426422825</v>
      </c>
      <c r="V411" s="317">
        <f t="shared" si="223"/>
        <v>-0.466437036546273</v>
      </c>
      <c r="W411" s="318">
        <f t="shared" si="211"/>
        <v>-2.93161542512346</v>
      </c>
      <c r="X411" s="319">
        <f t="shared" si="212"/>
        <v>-134.688657588317</v>
      </c>
      <c r="Y411" s="332">
        <f t="shared" si="213"/>
        <v>45.3113424116833</v>
      </c>
      <c r="AA411" s="22">
        <f t="shared" si="214"/>
        <v>38462</v>
      </c>
      <c r="AB411" s="22">
        <f t="shared" si="215"/>
        <v>1479325444</v>
      </c>
      <c r="AD411" s="331">
        <f t="shared" si="216"/>
        <v>27.4500201223722</v>
      </c>
      <c r="AE411" s="332">
        <f t="shared" si="217"/>
        <v>-12.9161955841962</v>
      </c>
      <c r="AG411" s="331">
        <f t="shared" si="218"/>
        <v>-3.73425129068647</v>
      </c>
      <c r="AH411" s="332">
        <f t="shared" si="219"/>
        <v>-68.3227147376639</v>
      </c>
      <c r="AJ411" s="22">
        <f t="shared" si="220"/>
        <v>0</v>
      </c>
      <c r="AK411" s="22">
        <f t="shared" si="232"/>
        <v>0</v>
      </c>
      <c r="AM411" s="22" t="str">
        <f t="shared" si="224"/>
        <v>0.229052101708394+0.636898216452014i</v>
      </c>
      <c r="AN411" s="22" t="str">
        <f t="shared" si="225"/>
        <v>0.690468208596i</v>
      </c>
      <c r="AO411" s="22" t="str">
        <f t="shared" si="226"/>
        <v>0.922414976566531-0.331734464899042i</v>
      </c>
      <c r="AP411" s="22" t="str">
        <f t="shared" si="227"/>
        <v>0.128491316381934-0.106149702742002i</v>
      </c>
      <c r="AQ411" s="22" t="str">
        <f t="shared" si="228"/>
        <v>0.871508683618066+0.106149702742002i</v>
      </c>
      <c r="AR411" s="22" t="str">
        <f t="shared" si="229"/>
        <v>0.941841341567802-0.114716216047899i</v>
      </c>
    </row>
    <row r="412" spans="7:44">
      <c r="G412" s="257">
        <v>38683.5</v>
      </c>
      <c r="H412" s="256">
        <f t="shared" si="221"/>
        <v>38.6835</v>
      </c>
      <c r="I412" s="298">
        <f t="shared" si="201"/>
        <v>37.7543790401353</v>
      </c>
      <c r="J412" s="299">
        <f t="shared" si="202"/>
        <v>1.54430623507144</v>
      </c>
      <c r="K412" s="299">
        <f t="shared" si="203"/>
        <v>1.00021843927885</v>
      </c>
      <c r="L412" s="300">
        <f t="shared" si="204"/>
        <v>0.0208997379485529</v>
      </c>
      <c r="M412" s="299">
        <f t="shared" si="205"/>
        <v>1.00935998738517</v>
      </c>
      <c r="N412" s="300">
        <f t="shared" si="206"/>
        <v>-0.136290557242231</v>
      </c>
      <c r="O412" s="298">
        <f t="shared" si="207"/>
        <v>70000.0123902772</v>
      </c>
      <c r="P412" s="301">
        <f t="shared" si="208"/>
        <v>1.57078204108314</v>
      </c>
      <c r="Q412" s="320">
        <f t="shared" si="230"/>
        <v>29.1838096454769</v>
      </c>
      <c r="R412" s="321">
        <f t="shared" si="231"/>
        <v>1.53652404350218</v>
      </c>
      <c r="S412" s="298">
        <f t="shared" si="209"/>
        <v>1.01872894105947</v>
      </c>
      <c r="T412" s="301">
        <f t="shared" si="210"/>
        <v>0.192048050385179</v>
      </c>
      <c r="U412" s="316">
        <f t="shared" si="222"/>
        <v>0.92934132505613</v>
      </c>
      <c r="V412" s="317">
        <f t="shared" si="223"/>
        <v>-0.468943399936998</v>
      </c>
      <c r="W412" s="318">
        <f t="shared" si="211"/>
        <v>-2.98916128962253</v>
      </c>
      <c r="X412" s="319">
        <f t="shared" si="212"/>
        <v>-134.928495713245</v>
      </c>
      <c r="Y412" s="332">
        <f t="shared" si="213"/>
        <v>45.0715042867554</v>
      </c>
      <c r="AA412" s="22">
        <f t="shared" si="214"/>
        <v>38683.5</v>
      </c>
      <c r="AB412" s="22">
        <f t="shared" si="215"/>
        <v>1496413172.25</v>
      </c>
      <c r="AD412" s="331">
        <f t="shared" si="216"/>
        <v>27.4481541252315</v>
      </c>
      <c r="AE412" s="332">
        <f t="shared" si="217"/>
        <v>-12.9663814415609</v>
      </c>
      <c r="AG412" s="331">
        <f t="shared" si="218"/>
        <v>-3.7763824337012</v>
      </c>
      <c r="AH412" s="332">
        <f t="shared" si="219"/>
        <v>-68.2251589164692</v>
      </c>
      <c r="AJ412" s="22">
        <f t="shared" si="220"/>
        <v>0</v>
      </c>
      <c r="AK412" s="22">
        <f t="shared" si="232"/>
        <v>0</v>
      </c>
      <c r="AM412" s="22" t="str">
        <f t="shared" si="224"/>
        <v>0.231590725682408+0.639958738625164i</v>
      </c>
      <c r="AN412" s="22" t="str">
        <f t="shared" si="225"/>
        <v>0.694444567293i</v>
      </c>
      <c r="AO412" s="22" t="str">
        <f t="shared" si="226"/>
        <v>0.921540420597966-0.333490585987543i</v>
      </c>
      <c r="AP412" s="22" t="str">
        <f t="shared" si="227"/>
        <v>0.128068212386265-0.106659789770861i</v>
      </c>
      <c r="AQ412" s="22" t="str">
        <f t="shared" si="228"/>
        <v>0.871931787613735+0.106659789770861i</v>
      </c>
      <c r="AR412" s="22" t="str">
        <f t="shared" si="229"/>
        <v>0.941265234494634-0.115141062014237i</v>
      </c>
    </row>
    <row r="413" spans="7:44">
      <c r="G413" s="257">
        <v>38905</v>
      </c>
      <c r="H413" s="256">
        <f t="shared" si="221"/>
        <v>38.905</v>
      </c>
      <c r="I413" s="298">
        <f t="shared" si="201"/>
        <v>37.970407702943</v>
      </c>
      <c r="J413" s="299">
        <f t="shared" si="202"/>
        <v>1.54445698263969</v>
      </c>
      <c r="K413" s="299">
        <f t="shared" si="203"/>
        <v>1.00022094771082</v>
      </c>
      <c r="L413" s="300">
        <f t="shared" si="204"/>
        <v>0.0210193737734191</v>
      </c>
      <c r="M413" s="299">
        <f t="shared" si="205"/>
        <v>1.00946697992076</v>
      </c>
      <c r="N413" s="300">
        <f t="shared" si="206"/>
        <v>-0.137061241196084</v>
      </c>
      <c r="O413" s="298">
        <f t="shared" si="207"/>
        <v>70400.8293468942</v>
      </c>
      <c r="P413" s="301">
        <f t="shared" si="208"/>
        <v>1.57078212241678</v>
      </c>
      <c r="Q413" s="320">
        <f t="shared" si="230"/>
        <v>29.3507191958617</v>
      </c>
      <c r="R413" s="321">
        <f t="shared" si="231"/>
        <v>1.53671901634134</v>
      </c>
      <c r="S413" s="298">
        <f t="shared" si="209"/>
        <v>1.01894203776519</v>
      </c>
      <c r="T413" s="301">
        <f t="shared" si="210"/>
        <v>0.193120644832868</v>
      </c>
      <c r="U413" s="316">
        <f t="shared" si="222"/>
        <v>0.92861365954249</v>
      </c>
      <c r="V413" s="317">
        <f t="shared" si="223"/>
        <v>-0.47144700970182</v>
      </c>
      <c r="W413" s="318">
        <f t="shared" si="211"/>
        <v>-3.04645566896965</v>
      </c>
      <c r="X413" s="319">
        <f t="shared" si="212"/>
        <v>-135.168170170327</v>
      </c>
      <c r="Y413" s="332">
        <f t="shared" si="213"/>
        <v>44.8318298296735</v>
      </c>
      <c r="AA413" s="22">
        <f t="shared" si="214"/>
        <v>38905</v>
      </c>
      <c r="AB413" s="22">
        <f t="shared" si="215"/>
        <v>1513599025</v>
      </c>
      <c r="AD413" s="331">
        <f t="shared" si="216"/>
        <v>27.4462795115071</v>
      </c>
      <c r="AE413" s="332">
        <f t="shared" si="217"/>
        <v>-13.0166701158711</v>
      </c>
      <c r="AG413" s="331">
        <f t="shared" si="218"/>
        <v>-3.81819493171954</v>
      </c>
      <c r="AH413" s="332">
        <f t="shared" si="219"/>
        <v>-68.1276521527692</v>
      </c>
      <c r="AJ413" s="22">
        <f t="shared" si="220"/>
        <v>0</v>
      </c>
      <c r="AK413" s="22">
        <f t="shared" si="232"/>
        <v>0</v>
      </c>
      <c r="AM413" s="22" t="str">
        <f t="shared" si="224"/>
        <v>0.234141499288702+0.643009142149816i</v>
      </c>
      <c r="AN413" s="22" t="str">
        <f t="shared" si="225"/>
        <v>0.69842092599i</v>
      </c>
      <c r="AO413" s="22" t="str">
        <f t="shared" si="226"/>
        <v>0.920661335051439-0.335244106491813i</v>
      </c>
      <c r="AP413" s="22" t="str">
        <f t="shared" si="227"/>
        <v>0.127643083451883-0.107168190358303i</v>
      </c>
      <c r="AQ413" s="22" t="str">
        <f t="shared" si="228"/>
        <v>0.872356916548117+0.107168190358303i</v>
      </c>
      <c r="AR413" s="22" t="str">
        <f t="shared" si="229"/>
        <v>0.940687641465011-0.11556255279907i</v>
      </c>
    </row>
    <row r="414" spans="7:44">
      <c r="G414" s="257">
        <v>39131.5</v>
      </c>
      <c r="H414" s="256">
        <f t="shared" si="221"/>
        <v>39.1315</v>
      </c>
      <c r="I414" s="298">
        <f t="shared" si="201"/>
        <v>38.1913137413668</v>
      </c>
      <c r="J414" s="299">
        <f t="shared" si="202"/>
        <v>1.54460936950125</v>
      </c>
      <c r="K414" s="299">
        <f t="shared" si="203"/>
        <v>1.00022352757074</v>
      </c>
      <c r="L414" s="300">
        <f t="shared" si="204"/>
        <v>0.0211417095589085</v>
      </c>
      <c r="M414" s="299">
        <f t="shared" si="205"/>
        <v>1.00957700753577</v>
      </c>
      <c r="N414" s="300">
        <f t="shared" si="206"/>
        <v>-0.137849152675425</v>
      </c>
      <c r="O414" s="298">
        <f t="shared" si="207"/>
        <v>70810.6940903427</v>
      </c>
      <c r="P414" s="301">
        <f t="shared" si="208"/>
        <v>1.57078220463421</v>
      </c>
      <c r="Q414" s="320">
        <f t="shared" si="230"/>
        <v>29.5213975968071</v>
      </c>
      <c r="R414" s="321">
        <f t="shared" si="231"/>
        <v>1.53691611045849</v>
      </c>
      <c r="S414" s="298">
        <f t="shared" si="209"/>
        <v>1.01916115650882</v>
      </c>
      <c r="T414" s="301">
        <f t="shared" si="210"/>
        <v>0.194216986210228</v>
      </c>
      <c r="U414" s="316">
        <f t="shared" si="222"/>
        <v>0.927866938870206</v>
      </c>
      <c r="V414" s="317">
        <f t="shared" si="223"/>
        <v>-0.474004279461997</v>
      </c>
      <c r="W414" s="318">
        <f t="shared" si="211"/>
        <v>-3.10478653779047</v>
      </c>
      <c r="X414" s="319">
        <f t="shared" si="212"/>
        <v>-135.413084520626</v>
      </c>
      <c r="Y414" s="332">
        <f t="shared" si="213"/>
        <v>44.5869154793738</v>
      </c>
      <c r="AA414" s="22">
        <f t="shared" si="214"/>
        <v>39131.5</v>
      </c>
      <c r="AB414" s="22">
        <f t="shared" si="215"/>
        <v>1531274292.25</v>
      </c>
      <c r="AD414" s="331">
        <f t="shared" si="216"/>
        <v>27.4443536602534</v>
      </c>
      <c r="AE414" s="332">
        <f t="shared" si="217"/>
        <v>-13.0681978993909</v>
      </c>
      <c r="AG414" s="331">
        <f t="shared" si="218"/>
        <v>-3.8606252625483</v>
      </c>
      <c r="AH414" s="332">
        <f t="shared" si="219"/>
        <v>-68.0279971905455</v>
      </c>
      <c r="AJ414" s="22">
        <f t="shared" si="220"/>
        <v>0</v>
      </c>
      <c r="AK414" s="22">
        <f t="shared" si="232"/>
        <v>0</v>
      </c>
      <c r="AM414" s="22" t="str">
        <f t="shared" si="224"/>
        <v>0.236762374527316+0.646117889446515i</v>
      </c>
      <c r="AN414" s="22" t="str">
        <f t="shared" si="225"/>
        <v>0.702487044477i</v>
      </c>
      <c r="AO414" s="22" t="str">
        <f t="shared" si="226"/>
        <v>0.91975773009102-0.337034506741096i</v>
      </c>
      <c r="AP414" s="22" t="str">
        <f t="shared" si="227"/>
        <v>0.127206270912114-0.107686314907753i</v>
      </c>
      <c r="AQ414" s="22" t="str">
        <f t="shared" si="228"/>
        <v>0.872793729087886+0.107686314907753i</v>
      </c>
      <c r="AR414" s="22" t="str">
        <f t="shared" si="229"/>
        <v>0.940095497612821-0.115990086117015i</v>
      </c>
    </row>
    <row r="415" spans="7:44">
      <c r="G415" s="257">
        <v>39358</v>
      </c>
      <c r="H415" s="256">
        <f t="shared" si="221"/>
        <v>39.358</v>
      </c>
      <c r="I415" s="298">
        <f t="shared" si="201"/>
        <v>38.4122206564594</v>
      </c>
      <c r="J415" s="299">
        <f t="shared" si="202"/>
        <v>1.5447600036266</v>
      </c>
      <c r="K415" s="299">
        <f t="shared" si="203"/>
        <v>1.00022612239998</v>
      </c>
      <c r="L415" s="300">
        <f t="shared" si="204"/>
        <v>0.0212640447114913</v>
      </c>
      <c r="M415" s="299">
        <f t="shared" si="205"/>
        <v>1.00968766176391</v>
      </c>
      <c r="N415" s="300">
        <f t="shared" si="206"/>
        <v>-0.138636891945279</v>
      </c>
      <c r="O415" s="298">
        <f t="shared" si="207"/>
        <v>71220.5588337916</v>
      </c>
      <c r="P415" s="301">
        <f t="shared" si="208"/>
        <v>1.57078228590535</v>
      </c>
      <c r="Q415" s="320">
        <f t="shared" si="230"/>
        <v>29.6920771313591</v>
      </c>
      <c r="R415" s="321">
        <f t="shared" si="231"/>
        <v>1.53711093866337</v>
      </c>
      <c r="S415" s="298">
        <f t="shared" si="209"/>
        <v>1.0193814997204</v>
      </c>
      <c r="T415" s="301">
        <f t="shared" si="210"/>
        <v>0.195312854947542</v>
      </c>
      <c r="U415" s="316">
        <f t="shared" si="222"/>
        <v>0.927117582272384</v>
      </c>
      <c r="V415" s="317">
        <f t="shared" si="223"/>
        <v>-0.476558655110229</v>
      </c>
      <c r="W415" s="318">
        <f t="shared" si="211"/>
        <v>-3.16286093113849</v>
      </c>
      <c r="X415" s="319">
        <f t="shared" si="212"/>
        <v>-135.657825488236</v>
      </c>
      <c r="Y415" s="332">
        <f t="shared" si="213"/>
        <v>44.3421745117639</v>
      </c>
      <c r="AA415" s="22">
        <f t="shared" si="214"/>
        <v>39358</v>
      </c>
      <c r="AB415" s="22">
        <f t="shared" si="215"/>
        <v>1549052164</v>
      </c>
      <c r="AD415" s="331">
        <f t="shared" si="216"/>
        <v>27.4424187781231</v>
      </c>
      <c r="AE415" s="332">
        <f t="shared" si="217"/>
        <v>-13.1198283756216</v>
      </c>
      <c r="AG415" s="331">
        <f t="shared" si="218"/>
        <v>-3.90272944573361</v>
      </c>
      <c r="AH415" s="332">
        <f t="shared" si="219"/>
        <v>-67.9283977937205</v>
      </c>
      <c r="AJ415" s="22">
        <f t="shared" si="220"/>
        <v>0</v>
      </c>
      <c r="AK415" s="22">
        <f t="shared" si="232"/>
        <v>0</v>
      </c>
      <c r="AM415" s="22" t="str">
        <f t="shared" si="224"/>
        <v>0.239395868600099+0.649215954284399i</v>
      </c>
      <c r="AN415" s="22" t="str">
        <f t="shared" si="225"/>
        <v>0.706553162964i</v>
      </c>
      <c r="AO415" s="22" t="str">
        <f t="shared" si="226"/>
        <v>0.918849406265382-0.338822159674199i</v>
      </c>
      <c r="AP415" s="22" t="str">
        <f t="shared" si="227"/>
        <v>0.126767355233317-0.1082026590474i</v>
      </c>
      <c r="AQ415" s="22" t="str">
        <f t="shared" si="228"/>
        <v>0.873232644766683+0.1082026590474i</v>
      </c>
      <c r="AR415" s="22" t="str">
        <f t="shared" si="229"/>
        <v>0.939501848711196-0.116414106618358i</v>
      </c>
    </row>
    <row r="416" spans="7:44">
      <c r="G416" s="257">
        <v>39584.5</v>
      </c>
      <c r="H416" s="256">
        <f t="shared" si="221"/>
        <v>39.5845</v>
      </c>
      <c r="I416" s="298">
        <f t="shared" si="201"/>
        <v>38.6331284331821</v>
      </c>
      <c r="J416" s="299">
        <f t="shared" si="202"/>
        <v>1.54490891507577</v>
      </c>
      <c r="K416" s="299">
        <f t="shared" si="203"/>
        <v>1.00022873219841</v>
      </c>
      <c r="L416" s="300">
        <f t="shared" si="204"/>
        <v>0.0213863792275108</v>
      </c>
      <c r="M416" s="299">
        <f t="shared" si="205"/>
        <v>1.00979894239917</v>
      </c>
      <c r="N416" s="300">
        <f t="shared" si="206"/>
        <v>-0.139424458084785</v>
      </c>
      <c r="O416" s="298">
        <f t="shared" si="207"/>
        <v>71630.4235772411</v>
      </c>
      <c r="P416" s="301">
        <f t="shared" si="208"/>
        <v>1.57078236624643</v>
      </c>
      <c r="Q416" s="320">
        <f t="shared" si="230"/>
        <v>29.8627577800806</v>
      </c>
      <c r="R416" s="321">
        <f t="shared" si="231"/>
        <v>1.53730353979354</v>
      </c>
      <c r="S416" s="298">
        <f t="shared" si="209"/>
        <v>1.01960306660608</v>
      </c>
      <c r="T416" s="301">
        <f t="shared" si="210"/>
        <v>0.196408248719971</v>
      </c>
      <c r="U416" s="316">
        <f t="shared" si="222"/>
        <v>0.926365612615966</v>
      </c>
      <c r="V416" s="317">
        <f t="shared" si="223"/>
        <v>-0.479110129359892</v>
      </c>
      <c r="W416" s="318">
        <f t="shared" si="211"/>
        <v>-3.22068204278884</v>
      </c>
      <c r="X416" s="319">
        <f t="shared" si="212"/>
        <v>-135.902391967922</v>
      </c>
      <c r="Y416" s="332">
        <f t="shared" si="213"/>
        <v>44.0976080320777</v>
      </c>
      <c r="AA416" s="22">
        <f t="shared" si="214"/>
        <v>39584.5</v>
      </c>
      <c r="AB416" s="22">
        <f t="shared" si="215"/>
        <v>1566932640.25</v>
      </c>
      <c r="AD416" s="331">
        <f t="shared" si="216"/>
        <v>27.4404748556467</v>
      </c>
      <c r="AE416" s="332">
        <f t="shared" si="217"/>
        <v>-13.1715591870621</v>
      </c>
      <c r="AG416" s="331">
        <f t="shared" si="218"/>
        <v>-3.94451095640739</v>
      </c>
      <c r="AH416" s="332">
        <f t="shared" si="219"/>
        <v>-67.8288560495478</v>
      </c>
      <c r="AJ416" s="22">
        <f t="shared" si="220"/>
        <v>0</v>
      </c>
      <c r="AK416" s="22">
        <f t="shared" si="232"/>
        <v>0</v>
      </c>
      <c r="AM416" s="22" t="str">
        <f t="shared" si="224"/>
        <v>0.242041937966712+0.652303285442242i</v>
      </c>
      <c r="AN416" s="22" t="str">
        <f t="shared" si="225"/>
        <v>0.710619281451i</v>
      </c>
      <c r="AO416" s="22" t="str">
        <f t="shared" si="226"/>
        <v>0.917936372497966-0.340607051180051i</v>
      </c>
      <c r="AP416" s="22" t="str">
        <f t="shared" si="227"/>
        <v>0.126326343672215-0.108717214240374i</v>
      </c>
      <c r="AQ416" s="22" t="str">
        <f t="shared" si="228"/>
        <v>0.873673656327785+0.108717214240374i</v>
      </c>
      <c r="AR416" s="22" t="str">
        <f t="shared" si="229"/>
        <v>0.938906719319551-0.116834612348313i</v>
      </c>
    </row>
    <row r="417" spans="7:44">
      <c r="G417" s="257">
        <v>39811</v>
      </c>
      <c r="H417" s="256">
        <f t="shared" si="221"/>
        <v>39.811</v>
      </c>
      <c r="I417" s="298">
        <f t="shared" si="201"/>
        <v>38.8540370568384</v>
      </c>
      <c r="J417" s="299">
        <f t="shared" si="202"/>
        <v>1.54505613322546</v>
      </c>
      <c r="K417" s="299">
        <f t="shared" si="203"/>
        <v>1.00023135696591</v>
      </c>
      <c r="L417" s="300">
        <f t="shared" si="204"/>
        <v>0.0215087131033103</v>
      </c>
      <c r="M417" s="299">
        <f t="shared" si="205"/>
        <v>1.00991084923451</v>
      </c>
      <c r="N417" s="300">
        <f t="shared" si="206"/>
        <v>-0.140211850174342</v>
      </c>
      <c r="O417" s="298">
        <f t="shared" si="207"/>
        <v>72040.2883206909</v>
      </c>
      <c r="P417" s="301">
        <f t="shared" si="208"/>
        <v>1.57078244567333</v>
      </c>
      <c r="Q417" s="320">
        <f t="shared" si="230"/>
        <v>30.0334395239761</v>
      </c>
      <c r="R417" s="321">
        <f t="shared" si="231"/>
        <v>1.53749395180438</v>
      </c>
      <c r="S417" s="298">
        <f t="shared" si="209"/>
        <v>1.01982585636831</v>
      </c>
      <c r="T417" s="301">
        <f t="shared" si="210"/>
        <v>0.197503165209248</v>
      </c>
      <c r="U417" s="316">
        <f t="shared" si="222"/>
        <v>0.925611052744941</v>
      </c>
      <c r="V417" s="317">
        <f t="shared" si="223"/>
        <v>-0.481658695044092</v>
      </c>
      <c r="W417" s="318">
        <f t="shared" si="211"/>
        <v>-3.27825300899239</v>
      </c>
      <c r="X417" s="319">
        <f t="shared" si="212"/>
        <v>-136.146782873133</v>
      </c>
      <c r="Y417" s="332">
        <f t="shared" si="213"/>
        <v>43.8532171268669</v>
      </c>
      <c r="AA417" s="22">
        <f t="shared" si="214"/>
        <v>39811</v>
      </c>
      <c r="AB417" s="22">
        <f t="shared" si="215"/>
        <v>1584915721</v>
      </c>
      <c r="AD417" s="331">
        <f t="shared" si="216"/>
        <v>27.4385218840592</v>
      </c>
      <c r="AE417" s="332">
        <f t="shared" si="217"/>
        <v>-13.2233880271129</v>
      </c>
      <c r="AG417" s="331">
        <f t="shared" si="218"/>
        <v>-3.98597321299437</v>
      </c>
      <c r="AH417" s="332">
        <f t="shared" si="219"/>
        <v>-67.7293739993414</v>
      </c>
      <c r="AJ417" s="22">
        <f t="shared" si="220"/>
        <v>0</v>
      </c>
      <c r="AK417" s="22">
        <f t="shared" si="232"/>
        <v>0</v>
      </c>
      <c r="AM417" s="22" t="str">
        <f t="shared" si="224"/>
        <v>0.244700538878905+0.655379831876282i</v>
      </c>
      <c r="AN417" s="22" t="str">
        <f t="shared" si="225"/>
        <v>0.714685399938i</v>
      </c>
      <c r="AO417" s="22" t="str">
        <f t="shared" si="226"/>
        <v>0.917018637757449-0.3423891671778i</v>
      </c>
      <c r="AP417" s="22" t="str">
        <f t="shared" si="227"/>
        <v>0.125883243520183-0.10922997197938i</v>
      </c>
      <c r="AQ417" s="22" t="str">
        <f t="shared" si="228"/>
        <v>0.874116756479817+0.10922997197938i</v>
      </c>
      <c r="AR417" s="22" t="str">
        <f t="shared" si="229"/>
        <v>0.938310133936024-0.117251601548685i</v>
      </c>
    </row>
    <row r="418" spans="7:44">
      <c r="G418" s="257">
        <v>40042.75</v>
      </c>
      <c r="H418" s="256">
        <f t="shared" si="221"/>
        <v>40.04275</v>
      </c>
      <c r="I418" s="298">
        <f t="shared" si="201"/>
        <v>39.0800669406831</v>
      </c>
      <c r="J418" s="299">
        <f t="shared" si="202"/>
        <v>1.54520504103338</v>
      </c>
      <c r="K418" s="299">
        <f t="shared" si="203"/>
        <v>1.00023405806583</v>
      </c>
      <c r="L418" s="300">
        <f t="shared" si="204"/>
        <v>0.0216338818660573</v>
      </c>
      <c r="M418" s="299">
        <f t="shared" si="205"/>
        <v>1.01002599785991</v>
      </c>
      <c r="N418" s="300">
        <f t="shared" si="206"/>
        <v>-0.141017311967973</v>
      </c>
      <c r="O418" s="298">
        <f t="shared" si="207"/>
        <v>72459.653240314</v>
      </c>
      <c r="P418" s="301">
        <f t="shared" si="208"/>
        <v>1.57078252601121</v>
      </c>
      <c r="Q418" s="320">
        <f t="shared" si="230"/>
        <v>30.2080785814159</v>
      </c>
      <c r="R418" s="321">
        <f t="shared" si="231"/>
        <v>1.53768655020894</v>
      </c>
      <c r="S418" s="298">
        <f t="shared" si="209"/>
        <v>1.02005507501814</v>
      </c>
      <c r="T418" s="301">
        <f t="shared" si="210"/>
        <v>0.198622964140793</v>
      </c>
      <c r="U418" s="316">
        <f t="shared" si="222"/>
        <v>0.924836345909464</v>
      </c>
      <c r="V418" s="317">
        <f t="shared" si="223"/>
        <v>-0.4842633156204</v>
      </c>
      <c r="W418" s="318">
        <f t="shared" si="211"/>
        <v>-3.33690270406528</v>
      </c>
      <c r="X418" s="319">
        <f t="shared" si="212"/>
        <v>-136.396655628086</v>
      </c>
      <c r="Y418" s="332">
        <f t="shared" si="213"/>
        <v>43.6033443719139</v>
      </c>
      <c r="AA418" s="22">
        <f t="shared" si="214"/>
        <v>40042.75</v>
      </c>
      <c r="AB418" s="22">
        <f t="shared" si="215"/>
        <v>1603421827.5625</v>
      </c>
      <c r="AD418" s="331">
        <f t="shared" si="216"/>
        <v>27.4365142703282</v>
      </c>
      <c r="AE418" s="332">
        <f t="shared" si="217"/>
        <v>-13.2765173071536</v>
      </c>
      <c r="AG418" s="331">
        <f t="shared" si="218"/>
        <v>-4.02806958290917</v>
      </c>
      <c r="AH418" s="332">
        <f t="shared" si="219"/>
        <v>-67.6276499414019</v>
      </c>
      <c r="AJ418" s="22">
        <f t="shared" si="220"/>
        <v>0</v>
      </c>
      <c r="AK418" s="22">
        <f t="shared" si="232"/>
        <v>0</v>
      </c>
      <c r="AM418" s="22" t="str">
        <f t="shared" si="224"/>
        <v>0.247433687754135+0.658516473349498i</v>
      </c>
      <c r="AN418" s="22" t="str">
        <f t="shared" si="225"/>
        <v>0.7188457662045i</v>
      </c>
      <c r="AO418" s="22" t="str">
        <f t="shared" si="226"/>
        <v>0.916074774741263-0.34420970309192i</v>
      </c>
      <c r="AP418" s="22" t="str">
        <f t="shared" si="227"/>
        <v>0.125427718707644-0.10975274555825i</v>
      </c>
      <c r="AQ418" s="22" t="str">
        <f t="shared" si="228"/>
        <v>0.874572281292356+0.10975274555825i</v>
      </c>
      <c r="AR418" s="22" t="str">
        <f t="shared" si="229"/>
        <v>0.937698238895572-0.117674614694908i</v>
      </c>
    </row>
    <row r="419" spans="7:44">
      <c r="G419" s="257">
        <v>40274.5</v>
      </c>
      <c r="H419" s="256">
        <f t="shared" si="221"/>
        <v>40.2745</v>
      </c>
      <c r="I419" s="298">
        <f t="shared" si="201"/>
        <v>39.3060976811049</v>
      </c>
      <c r="J419" s="299">
        <f t="shared" si="202"/>
        <v>1.54535223624806</v>
      </c>
      <c r="K419" s="299">
        <f t="shared" si="203"/>
        <v>1.00023677483655</v>
      </c>
      <c r="L419" s="300">
        <f t="shared" si="204"/>
        <v>0.0217590499508166</v>
      </c>
      <c r="M419" s="299">
        <f t="shared" si="205"/>
        <v>1.01014180160893</v>
      </c>
      <c r="N419" s="300">
        <f t="shared" si="206"/>
        <v>-0.14182258960592</v>
      </c>
      <c r="O419" s="298">
        <f t="shared" si="207"/>
        <v>72879.0181599375</v>
      </c>
      <c r="P419" s="301">
        <f t="shared" si="208"/>
        <v>1.57078260542453</v>
      </c>
      <c r="Q419" s="320">
        <f t="shared" si="230"/>
        <v>30.3827187465169</v>
      </c>
      <c r="R419" s="321">
        <f t="shared" si="231"/>
        <v>1.53787693450547</v>
      </c>
      <c r="S419" s="298">
        <f t="shared" si="209"/>
        <v>1.02028557219002</v>
      </c>
      <c r="T419" s="301">
        <f t="shared" si="210"/>
        <v>0.19974225851801</v>
      </c>
      <c r="U419" s="316">
        <f t="shared" si="222"/>
        <v>0.924058975696555</v>
      </c>
      <c r="V419" s="317">
        <f t="shared" si="223"/>
        <v>-0.486864876437081</v>
      </c>
      <c r="W419" s="318">
        <f t="shared" si="211"/>
        <v>-3.3952969871186</v>
      </c>
      <c r="X419" s="319">
        <f t="shared" si="212"/>
        <v>-136.646342332102</v>
      </c>
      <c r="Y419" s="332">
        <f t="shared" si="213"/>
        <v>43.3536576678976</v>
      </c>
      <c r="AA419" s="22">
        <f t="shared" si="214"/>
        <v>40274.5</v>
      </c>
      <c r="AB419" s="22">
        <f t="shared" si="215"/>
        <v>1622035350.25</v>
      </c>
      <c r="AD419" s="331">
        <f t="shared" si="216"/>
        <v>27.4344971667274</v>
      </c>
      <c r="AE419" s="332">
        <f t="shared" si="217"/>
        <v>-13.3297444844329</v>
      </c>
      <c r="AG419" s="331">
        <f t="shared" si="218"/>
        <v>-4.06983879143714</v>
      </c>
      <c r="AH419" s="332">
        <f t="shared" si="219"/>
        <v>-67.5259925579132</v>
      </c>
      <c r="AJ419" s="22">
        <f t="shared" si="220"/>
        <v>0</v>
      </c>
      <c r="AK419" s="22">
        <f t="shared" si="232"/>
        <v>0</v>
      </c>
      <c r="AM419" s="22" t="str">
        <f t="shared" si="224"/>
        <v>0.250179862515575+0.661641716809663i</v>
      </c>
      <c r="AN419" s="22" t="str">
        <f t="shared" si="225"/>
        <v>0.723006132471i</v>
      </c>
      <c r="AO419" s="22" t="str">
        <f t="shared" si="226"/>
        <v>0.915126009441146-0.346027303614344i</v>
      </c>
      <c r="AP419" s="22" t="str">
        <f t="shared" si="227"/>
        <v>0.124970022914071-0.110273619468277i</v>
      </c>
      <c r="AQ419" s="22" t="str">
        <f t="shared" si="228"/>
        <v>0.875029977085929+0.110273619468277i</v>
      </c>
      <c r="AR419" s="22" t="str">
        <f t="shared" si="229"/>
        <v>0.937084871269493-0.118093943304646i</v>
      </c>
    </row>
    <row r="420" spans="7:44">
      <c r="G420" s="257">
        <v>40506.25</v>
      </c>
      <c r="H420" s="256">
        <f t="shared" si="221"/>
        <v>40.50625</v>
      </c>
      <c r="I420" s="298">
        <f t="shared" si="201"/>
        <v>39.532129263411</v>
      </c>
      <c r="J420" s="299">
        <f t="shared" si="202"/>
        <v>1.54549774823919</v>
      </c>
      <c r="K420" s="299">
        <f t="shared" si="203"/>
        <v>1.00023950727794</v>
      </c>
      <c r="L420" s="300">
        <f t="shared" si="204"/>
        <v>0.0218842173536718</v>
      </c>
      <c r="M420" s="299">
        <f t="shared" si="205"/>
        <v>1.01025826025628</v>
      </c>
      <c r="N420" s="300">
        <f t="shared" si="206"/>
        <v>-0.142627682107292</v>
      </c>
      <c r="O420" s="298">
        <f t="shared" si="207"/>
        <v>73298.3830795614</v>
      </c>
      <c r="P420" s="301">
        <f t="shared" si="208"/>
        <v>1.57078268392915</v>
      </c>
      <c r="Q420" s="320">
        <f t="shared" si="230"/>
        <v>30.5573600002876</v>
      </c>
      <c r="R420" s="321">
        <f t="shared" si="231"/>
        <v>1.53806514264221</v>
      </c>
      <c r="S420" s="298">
        <f t="shared" si="209"/>
        <v>1.02051734701762</v>
      </c>
      <c r="T420" s="301">
        <f t="shared" si="210"/>
        <v>0.200861045879186</v>
      </c>
      <c r="U420" s="316">
        <f t="shared" si="222"/>
        <v>0.923278966491623</v>
      </c>
      <c r="V420" s="317">
        <f t="shared" si="223"/>
        <v>-0.489463370204432</v>
      </c>
      <c r="W420" s="318">
        <f t="shared" si="211"/>
        <v>-3.45343903905123</v>
      </c>
      <c r="X420" s="319">
        <f t="shared" si="212"/>
        <v>-136.895841879884</v>
      </c>
      <c r="Y420" s="332">
        <f t="shared" si="213"/>
        <v>43.1041581201158</v>
      </c>
      <c r="AA420" s="22">
        <f t="shared" si="214"/>
        <v>40506.25</v>
      </c>
      <c r="AB420" s="22">
        <f t="shared" si="215"/>
        <v>1640756289.0625</v>
      </c>
      <c r="AD420" s="331">
        <f t="shared" si="216"/>
        <v>27.4324705660157</v>
      </c>
      <c r="AE420" s="332">
        <f t="shared" si="217"/>
        <v>-13.3830672445395</v>
      </c>
      <c r="AG420" s="331">
        <f t="shared" si="218"/>
        <v>-4.11128432413672</v>
      </c>
      <c r="AH420" s="332">
        <f t="shared" si="219"/>
        <v>-67.4244038933272</v>
      </c>
      <c r="AJ420" s="22">
        <f t="shared" si="220"/>
        <v>0</v>
      </c>
      <c r="AK420" s="22">
        <f t="shared" si="232"/>
        <v>0</v>
      </c>
      <c r="AM420" s="22" t="str">
        <f t="shared" si="224"/>
        <v>0.252939015630721+0.664755508163117i</v>
      </c>
      <c r="AN420" s="22" t="str">
        <f t="shared" si="225"/>
        <v>0.7271664987375i</v>
      </c>
      <c r="AO420" s="22" t="str">
        <f t="shared" si="226"/>
        <v>0.914172351610339-0.347841953761445i</v>
      </c>
      <c r="AP420" s="22" t="str">
        <f t="shared" si="227"/>
        <v>0.124510164061547-0.110792584693853i</v>
      </c>
      <c r="AQ420" s="22" t="str">
        <f t="shared" si="228"/>
        <v>0.875489835938453+0.110792584693853i</v>
      </c>
      <c r="AR420" s="22" t="str">
        <f t="shared" si="229"/>
        <v>0.936470057089161-0.118509586124541i</v>
      </c>
    </row>
    <row r="421" spans="7:44">
      <c r="G421" s="257">
        <v>40738</v>
      </c>
      <c r="H421" s="256">
        <f t="shared" si="221"/>
        <v>40.738</v>
      </c>
      <c r="I421" s="298">
        <f t="shared" si="201"/>
        <v>39.7581616732427</v>
      </c>
      <c r="J421" s="299">
        <f t="shared" si="202"/>
        <v>1.54564160570884</v>
      </c>
      <c r="K421" s="299">
        <f t="shared" si="203"/>
        <v>1.00024225538987</v>
      </c>
      <c r="L421" s="300">
        <f t="shared" si="204"/>
        <v>0.0220093840707065</v>
      </c>
      <c r="M421" s="299">
        <f t="shared" si="205"/>
        <v>1.0103753735755</v>
      </c>
      <c r="N421" s="300">
        <f t="shared" si="206"/>
        <v>-0.143432588492609</v>
      </c>
      <c r="O421" s="298">
        <f t="shared" si="207"/>
        <v>73717.7479991858</v>
      </c>
      <c r="P421" s="301">
        <f t="shared" si="208"/>
        <v>1.57078276154057</v>
      </c>
      <c r="Q421" s="320">
        <f t="shared" si="230"/>
        <v>30.7320023241683</v>
      </c>
      <c r="R421" s="321">
        <f t="shared" si="231"/>
        <v>1.53825121170545</v>
      </c>
      <c r="S421" s="298">
        <f t="shared" si="209"/>
        <v>1.02075039863062</v>
      </c>
      <c r="T421" s="301">
        <f t="shared" si="210"/>
        <v>0.201979323769912</v>
      </c>
      <c r="U421" s="316">
        <f t="shared" si="222"/>
        <v>0.922496342648522</v>
      </c>
      <c r="V421" s="317">
        <f t="shared" si="223"/>
        <v>-0.492058789762583</v>
      </c>
      <c r="W421" s="318">
        <f t="shared" si="211"/>
        <v>-3.51133198330203</v>
      </c>
      <c r="X421" s="319">
        <f t="shared" si="212"/>
        <v>-137.145153185186</v>
      </c>
      <c r="Y421" s="332">
        <f t="shared" si="213"/>
        <v>42.8548468148141</v>
      </c>
      <c r="AA421" s="22">
        <f t="shared" si="214"/>
        <v>40738</v>
      </c>
      <c r="AB421" s="22">
        <f t="shared" si="215"/>
        <v>1659584644</v>
      </c>
      <c r="AD421" s="331">
        <f t="shared" si="216"/>
        <v>27.4304344616313</v>
      </c>
      <c r="AE421" s="332">
        <f t="shared" si="217"/>
        <v>-13.4364833228478</v>
      </c>
      <c r="AG421" s="331">
        <f t="shared" si="218"/>
        <v>-4.15240960983607</v>
      </c>
      <c r="AH421" s="332">
        <f t="shared" si="219"/>
        <v>-67.322885946486</v>
      </c>
      <c r="AJ421" s="22">
        <f t="shared" si="220"/>
        <v>0</v>
      </c>
      <c r="AK421" s="22">
        <f t="shared" si="232"/>
        <v>0</v>
      </c>
      <c r="AM421" s="22" t="str">
        <f t="shared" si="224"/>
        <v>0.255711099342435+0.667857793514423i</v>
      </c>
      <c r="AN421" s="22" t="str">
        <f t="shared" si="225"/>
        <v>0.731326865004i</v>
      </c>
      <c r="AO421" s="22" t="str">
        <f t="shared" si="226"/>
        <v>0.913213811051191-0.349653638583394i</v>
      </c>
      <c r="AP421" s="22" t="str">
        <f t="shared" si="227"/>
        <v>0.124048150109594-0.111309632252404i</v>
      </c>
      <c r="AQ421" s="22" t="str">
        <f t="shared" si="228"/>
        <v>0.875951849890406+0.111309632252404i</v>
      </c>
      <c r="AR421" s="22" t="str">
        <f t="shared" si="229"/>
        <v>0.935853822311531-0.11892154211049i</v>
      </c>
    </row>
    <row r="422" spans="7:44">
      <c r="G422" s="257">
        <v>40975.25</v>
      </c>
      <c r="H422" s="256">
        <f t="shared" si="221"/>
        <v>40.97525</v>
      </c>
      <c r="I422" s="298">
        <f t="shared" si="201"/>
        <v>39.989559233102</v>
      </c>
      <c r="J422" s="299">
        <f t="shared" si="202"/>
        <v>1.54578719267127</v>
      </c>
      <c r="K422" s="299">
        <f t="shared" si="203"/>
        <v>1.00024508495397</v>
      </c>
      <c r="L422" s="300">
        <f t="shared" si="204"/>
        <v>0.0221375205886233</v>
      </c>
      <c r="M422" s="299">
        <f t="shared" si="205"/>
        <v>1.01049594420714</v>
      </c>
      <c r="N422" s="300">
        <f t="shared" si="206"/>
        <v>-0.144256403479714</v>
      </c>
      <c r="O422" s="298">
        <f t="shared" si="207"/>
        <v>74147.065484325</v>
      </c>
      <c r="P422" s="301">
        <f t="shared" si="208"/>
        <v>1.57078284008449</v>
      </c>
      <c r="Q422" s="320">
        <f t="shared" si="230"/>
        <v>30.910790431388</v>
      </c>
      <c r="R422" s="321">
        <f t="shared" si="231"/>
        <v>1.53843951866426</v>
      </c>
      <c r="S422" s="298">
        <f t="shared" si="209"/>
        <v>1.0209903028181</v>
      </c>
      <c r="T422" s="301">
        <f t="shared" si="210"/>
        <v>0.20312361085221</v>
      </c>
      <c r="U422" s="316">
        <f t="shared" si="222"/>
        <v>0.921692462148502</v>
      </c>
      <c r="V422" s="317">
        <f t="shared" si="223"/>
        <v>-0.4947126131861</v>
      </c>
      <c r="W422" s="318">
        <f t="shared" si="211"/>
        <v>-3.57034402653201</v>
      </c>
      <c r="X422" s="319">
        <f t="shared" si="212"/>
        <v>-137.400185152509</v>
      </c>
      <c r="Y422" s="332">
        <f t="shared" si="213"/>
        <v>42.5998148474908</v>
      </c>
      <c r="AA422" s="22">
        <f t="shared" si="214"/>
        <v>40975.25</v>
      </c>
      <c r="AB422" s="22">
        <f t="shared" si="215"/>
        <v>1678971112.5625</v>
      </c>
      <c r="AD422" s="331">
        <f t="shared" si="216"/>
        <v>27.4283401846321</v>
      </c>
      <c r="AE422" s="332">
        <f t="shared" si="217"/>
        <v>-13.4912614495194</v>
      </c>
      <c r="AG422" s="331">
        <f t="shared" si="218"/>
        <v>-4.1941826843098</v>
      </c>
      <c r="AH422" s="332">
        <f t="shared" si="219"/>
        <v>-67.2190340233088</v>
      </c>
      <c r="AJ422" s="22">
        <f t="shared" si="220"/>
        <v>0</v>
      </c>
      <c r="AK422" s="22">
        <f t="shared" si="232"/>
        <v>0</v>
      </c>
      <c r="AM422" s="22" t="str">
        <f t="shared" si="224"/>
        <v>0.258562315902026+0.671021728857891i</v>
      </c>
      <c r="AN422" s="22" t="str">
        <f t="shared" si="225"/>
        <v>0.7355859670395i</v>
      </c>
      <c r="AO422" s="22" t="str">
        <f t="shared" si="226"/>
        <v>0.91222747432029-0.351505231866586i</v>
      </c>
      <c r="AP422" s="22" t="str">
        <f t="shared" si="227"/>
        <v>0.123572947349662-0.111836954809649i</v>
      </c>
      <c r="AQ422" s="22" t="str">
        <f t="shared" si="228"/>
        <v>0.876427052650338+0.111836954809649i</v>
      </c>
      <c r="AR422" s="22" t="str">
        <f t="shared" si="229"/>
        <v>0.935221518212522-0.119339454838888i</v>
      </c>
    </row>
    <row r="423" spans="7:44">
      <c r="G423" s="257">
        <v>41212.5</v>
      </c>
      <c r="H423" s="256">
        <f t="shared" si="221"/>
        <v>41.2125</v>
      </c>
      <c r="I423" s="298">
        <f t="shared" si="201"/>
        <v>40.2209576308098</v>
      </c>
      <c r="J423" s="299">
        <f t="shared" si="202"/>
        <v>1.5459311044608</v>
      </c>
      <c r="K423" s="299">
        <f t="shared" si="203"/>
        <v>1.00024793094096</v>
      </c>
      <c r="L423" s="300">
        <f t="shared" si="204"/>
        <v>0.022265656379475</v>
      </c>
      <c r="M423" s="299">
        <f t="shared" si="205"/>
        <v>1.01061720046929</v>
      </c>
      <c r="N423" s="300">
        <f t="shared" si="206"/>
        <v>-0.1450800213391</v>
      </c>
      <c r="O423" s="298">
        <f t="shared" si="207"/>
        <v>74576.3829694645</v>
      </c>
      <c r="P423" s="301">
        <f t="shared" si="208"/>
        <v>1.57078291772409</v>
      </c>
      <c r="Q423" s="320">
        <f t="shared" si="230"/>
        <v>31.0895796220827</v>
      </c>
      <c r="R423" s="321">
        <f t="shared" si="231"/>
        <v>1.53862565980754</v>
      </c>
      <c r="S423" s="298">
        <f t="shared" si="209"/>
        <v>1.02123154325392</v>
      </c>
      <c r="T423" s="301">
        <f t="shared" si="210"/>
        <v>0.20426735881307</v>
      </c>
      <c r="U423" s="316">
        <f t="shared" si="222"/>
        <v>0.920885892978716</v>
      </c>
      <c r="V423" s="317">
        <f t="shared" si="223"/>
        <v>-0.497363199981403</v>
      </c>
      <c r="W423" s="318">
        <f t="shared" si="211"/>
        <v>-3.62910144362275</v>
      </c>
      <c r="X423" s="319">
        <f t="shared" si="212"/>
        <v>-137.655017592322</v>
      </c>
      <c r="Y423" s="332">
        <f t="shared" si="213"/>
        <v>42.3449824076776</v>
      </c>
      <c r="AA423" s="22">
        <f t="shared" si="214"/>
        <v>41212.5</v>
      </c>
      <c r="AB423" s="22">
        <f t="shared" si="215"/>
        <v>1698470156.25</v>
      </c>
      <c r="AD423" s="331">
        <f t="shared" si="216"/>
        <v>27.4262359356889</v>
      </c>
      <c r="AE423" s="332">
        <f t="shared" si="217"/>
        <v>-13.5461327270835</v>
      </c>
      <c r="AG423" s="331">
        <f t="shared" si="218"/>
        <v>-4.23562722651826</v>
      </c>
      <c r="AH423" s="332">
        <f t="shared" si="219"/>
        <v>-67.1152603120026</v>
      </c>
      <c r="AJ423" s="22">
        <f t="shared" si="220"/>
        <v>0</v>
      </c>
      <c r="AK423" s="22">
        <f t="shared" si="232"/>
        <v>0</v>
      </c>
      <c r="AM423" s="22" t="str">
        <f t="shared" si="224"/>
        <v>0.261426982083914+0.67417349191905i</v>
      </c>
      <c r="AN423" s="22" t="str">
        <f t="shared" si="225"/>
        <v>0.739845069075i</v>
      </c>
      <c r="AO423" s="22" t="str">
        <f t="shared" si="226"/>
        <v>0.911236041299759-0.353353685807173i</v>
      </c>
      <c r="AP423" s="22" t="str">
        <f t="shared" si="227"/>
        <v>0.123095502986014-0.112362248653175i</v>
      </c>
      <c r="AQ423" s="22" t="str">
        <f t="shared" si="228"/>
        <v>0.876904497013986+0.112362248653175i</v>
      </c>
      <c r="AR423" s="22" t="str">
        <f t="shared" si="229"/>
        <v>0.934587780093845-0.119753502111928i</v>
      </c>
    </row>
    <row r="424" spans="7:44">
      <c r="G424" s="257">
        <v>41449.75</v>
      </c>
      <c r="H424" s="256">
        <f t="shared" si="221"/>
        <v>41.44975</v>
      </c>
      <c r="I424" s="298">
        <f t="shared" si="201"/>
        <v>40.452356851988</v>
      </c>
      <c r="J424" s="299">
        <f t="shared" si="202"/>
        <v>1.54607336981884</v>
      </c>
      <c r="K424" s="299">
        <f t="shared" si="203"/>
        <v>1.00025079335071</v>
      </c>
      <c r="L424" s="300">
        <f t="shared" si="204"/>
        <v>0.0223937914390601</v>
      </c>
      <c r="M424" s="299">
        <f t="shared" si="205"/>
        <v>1.01073914211521</v>
      </c>
      <c r="N424" s="300">
        <f t="shared" si="206"/>
        <v>-0.145903441024518</v>
      </c>
      <c r="O424" s="298">
        <f t="shared" si="207"/>
        <v>75005.7004546046</v>
      </c>
      <c r="P424" s="301">
        <f t="shared" si="208"/>
        <v>1.5707829944749</v>
      </c>
      <c r="Q424" s="320">
        <f t="shared" si="230"/>
        <v>31.2683698776667</v>
      </c>
      <c r="R424" s="321">
        <f t="shared" si="231"/>
        <v>1.53880967227422</v>
      </c>
      <c r="S424" s="298">
        <f t="shared" si="209"/>
        <v>1.02147411899136</v>
      </c>
      <c r="T424" s="301">
        <f t="shared" si="210"/>
        <v>0.205410565043119</v>
      </c>
      <c r="U424" s="316">
        <f t="shared" si="222"/>
        <v>0.920076661155369</v>
      </c>
      <c r="V424" s="317">
        <f t="shared" si="223"/>
        <v>-0.50001054288698</v>
      </c>
      <c r="W424" s="318">
        <f t="shared" si="211"/>
        <v>-3.68760740705412</v>
      </c>
      <c r="X424" s="319">
        <f t="shared" si="212"/>
        <v>-137.909649399108</v>
      </c>
      <c r="Y424" s="332">
        <f t="shared" si="213"/>
        <v>42.0903506008922</v>
      </c>
      <c r="AA424" s="22">
        <f t="shared" si="214"/>
        <v>41449.75</v>
      </c>
      <c r="AB424" s="22">
        <f t="shared" si="215"/>
        <v>1718081775.0625</v>
      </c>
      <c r="AD424" s="331">
        <f t="shared" si="216"/>
        <v>27.4241217098376</v>
      </c>
      <c r="AE424" s="332">
        <f t="shared" si="217"/>
        <v>-13.6010948790208</v>
      </c>
      <c r="AG424" s="331">
        <f t="shared" si="218"/>
        <v>-4.27674673871572</v>
      </c>
      <c r="AH424" s="332">
        <f t="shared" si="219"/>
        <v>-67.0115668156778</v>
      </c>
      <c r="AJ424" s="22">
        <f t="shared" si="220"/>
        <v>0</v>
      </c>
      <c r="AK424" s="22">
        <f t="shared" si="232"/>
        <v>0</v>
      </c>
      <c r="AM424" s="22" t="str">
        <f t="shared" si="224"/>
        <v>0.264305045923275+0.67731302552516i</v>
      </c>
      <c r="AN424" s="22" t="str">
        <f t="shared" si="225"/>
        <v>0.7441041711105i</v>
      </c>
      <c r="AO424" s="22" t="str">
        <f t="shared" si="226"/>
        <v>0.910239522665676-0.355198984476631i</v>
      </c>
      <c r="AP424" s="22" t="str">
        <f t="shared" si="227"/>
        <v>0.122615825679454-0.112885504254193i</v>
      </c>
      <c r="AQ424" s="22" t="str">
        <f t="shared" si="228"/>
        <v>0.877384174320546+0.112885504254193i</v>
      </c>
      <c r="AR424" s="22" t="str">
        <f t="shared" si="229"/>
        <v>0.933952635550854-0.120163683480314i</v>
      </c>
    </row>
    <row r="425" spans="7:44">
      <c r="G425" s="257">
        <v>41687</v>
      </c>
      <c r="H425" s="256">
        <f t="shared" si="221"/>
        <v>41.687</v>
      </c>
      <c r="I425" s="298">
        <f t="shared" si="201"/>
        <v>40.6837568825853</v>
      </c>
      <c r="J425" s="299">
        <f t="shared" si="202"/>
        <v>1.54621401683318</v>
      </c>
      <c r="K425" s="299">
        <f t="shared" si="203"/>
        <v>1.00025367218308</v>
      </c>
      <c r="L425" s="300">
        <f t="shared" si="204"/>
        <v>0.0225219257631775</v>
      </c>
      <c r="M425" s="299">
        <f t="shared" si="205"/>
        <v>1.01086176889685</v>
      </c>
      <c r="N425" s="300">
        <f t="shared" si="206"/>
        <v>-0.1467266614913</v>
      </c>
      <c r="O425" s="298">
        <f t="shared" si="207"/>
        <v>75435.017939745</v>
      </c>
      <c r="P425" s="301">
        <f t="shared" si="208"/>
        <v>1.5707830703521</v>
      </c>
      <c r="Q425" s="320">
        <f t="shared" si="230"/>
        <v>31.447161179977</v>
      </c>
      <c r="R425" s="321">
        <f t="shared" si="231"/>
        <v>1.53899159235917</v>
      </c>
      <c r="S425" s="298">
        <f t="shared" si="209"/>
        <v>1.02171802907933</v>
      </c>
      <c r="T425" s="301">
        <f t="shared" si="210"/>
        <v>0.206553226941119</v>
      </c>
      <c r="U425" s="316">
        <f t="shared" si="222"/>
        <v>0.919264792653118</v>
      </c>
      <c r="V425" s="317">
        <f t="shared" si="223"/>
        <v>-0.502654634782186</v>
      </c>
      <c r="W425" s="318">
        <f t="shared" si="211"/>
        <v>-3.74586503179193</v>
      </c>
      <c r="X425" s="319">
        <f t="shared" si="212"/>
        <v>-138.164079486867</v>
      </c>
      <c r="Y425" s="332">
        <f t="shared" si="213"/>
        <v>41.8359205131331</v>
      </c>
      <c r="AA425" s="22">
        <f t="shared" si="214"/>
        <v>41687</v>
      </c>
      <c r="AB425" s="22">
        <f t="shared" si="215"/>
        <v>1737805969</v>
      </c>
      <c r="AD425" s="331">
        <f t="shared" si="216"/>
        <v>27.4219975027712</v>
      </c>
      <c r="AE425" s="332">
        <f t="shared" si="217"/>
        <v>-13.6561456776166</v>
      </c>
      <c r="AG425" s="331">
        <f t="shared" si="218"/>
        <v>-4.31754466627563</v>
      </c>
      <c r="AH425" s="332">
        <f t="shared" si="219"/>
        <v>-66.9079554920149</v>
      </c>
      <c r="AJ425" s="22">
        <f t="shared" si="220"/>
        <v>0</v>
      </c>
      <c r="AK425" s="22">
        <f t="shared" si="232"/>
        <v>0</v>
      </c>
      <c r="AM425" s="22" t="str">
        <f t="shared" si="224"/>
        <v>0.267196455212254+0.680440272725325i</v>
      </c>
      <c r="AN425" s="22" t="str">
        <f t="shared" si="225"/>
        <v>0.748363273146i</v>
      </c>
      <c r="AO425" s="22" t="str">
        <f t="shared" si="226"/>
        <v>0.909237929147515-0.357041111984294i</v>
      </c>
      <c r="AP425" s="22" t="str">
        <f t="shared" si="227"/>
        <v>0.122133924131291-0.113406712120888i</v>
      </c>
      <c r="AQ425" s="22" t="str">
        <f t="shared" si="228"/>
        <v>0.877866075868709+0.113406712120888i</v>
      </c>
      <c r="AR425" s="22" t="str">
        <f t="shared" si="229"/>
        <v>0.933316112089492-0.120569998717377i</v>
      </c>
    </row>
    <row r="426" spans="7:44">
      <c r="G426" s="257">
        <v>41929.75</v>
      </c>
      <c r="H426" s="256">
        <f t="shared" si="221"/>
        <v>41.92975</v>
      </c>
      <c r="I426" s="298">
        <f t="shared" si="201"/>
        <v>40.9205221209141</v>
      </c>
      <c r="J426" s="299">
        <f t="shared" si="202"/>
        <v>1.5463562779449</v>
      </c>
      <c r="K426" s="299">
        <f t="shared" si="203"/>
        <v>1.00025663475135</v>
      </c>
      <c r="L426" s="300">
        <f t="shared" si="204"/>
        <v>0.02265302976965</v>
      </c>
      <c r="M426" s="299">
        <f t="shared" si="205"/>
        <v>1.01098794733329</v>
      </c>
      <c r="N426" s="300">
        <f t="shared" si="206"/>
        <v>-0.147568758811912</v>
      </c>
      <c r="O426" s="298">
        <f t="shared" si="207"/>
        <v>75874.2879904002</v>
      </c>
      <c r="P426" s="301">
        <f t="shared" si="208"/>
        <v>1.57078314709955</v>
      </c>
      <c r="Q426" s="320">
        <f t="shared" si="230"/>
        <v>31.630098340278</v>
      </c>
      <c r="R426" s="321">
        <f t="shared" si="231"/>
        <v>1.539175601063</v>
      </c>
      <c r="S426" s="298">
        <f t="shared" si="209"/>
        <v>1.02196897367594</v>
      </c>
      <c r="T426" s="301">
        <f t="shared" si="210"/>
        <v>0.207721812255535</v>
      </c>
      <c r="U426" s="316">
        <f t="shared" si="222"/>
        <v>0.918431401147447</v>
      </c>
      <c r="V426" s="317">
        <f t="shared" si="223"/>
        <v>-0.505356650588803</v>
      </c>
      <c r="W426" s="318">
        <f t="shared" si="211"/>
        <v>-3.80521935116835</v>
      </c>
      <c r="X426" s="319">
        <f t="shared" si="212"/>
        <v>-138.424197948212</v>
      </c>
      <c r="Y426" s="332">
        <f t="shared" si="213"/>
        <v>41.5758020517876</v>
      </c>
      <c r="AA426" s="22">
        <f t="shared" si="214"/>
        <v>41929.75</v>
      </c>
      <c r="AB426" s="22">
        <f t="shared" si="215"/>
        <v>1758103935.0625</v>
      </c>
      <c r="AD426" s="331">
        <f t="shared" si="216"/>
        <v>27.4198137169025</v>
      </c>
      <c r="AE426" s="332">
        <f t="shared" si="217"/>
        <v>-13.7125621593797</v>
      </c>
      <c r="AG426" s="331">
        <f t="shared" si="218"/>
        <v>-4.3589590651965</v>
      </c>
      <c r="AH426" s="332">
        <f t="shared" si="219"/>
        <v>-66.8020292674496</v>
      </c>
      <c r="AJ426" s="22">
        <f t="shared" si="220"/>
        <v>0</v>
      </c>
      <c r="AK426" s="22">
        <f t="shared" si="232"/>
        <v>0</v>
      </c>
      <c r="AM426" s="22" t="str">
        <f t="shared" si="224"/>
        <v>0.270168652404636+0.683627240583006i</v>
      </c>
      <c r="AN426" s="22" t="str">
        <f t="shared" si="225"/>
        <v>0.7527211109505i</v>
      </c>
      <c r="AO426" s="22" t="str">
        <f t="shared" si="226"/>
        <v>0.908207874918978-0.358922645418407i</v>
      </c>
      <c r="AP426" s="22" t="str">
        <f t="shared" si="227"/>
        <v>0.121638557932561-0.113937873430501i</v>
      </c>
      <c r="AQ426" s="22" t="str">
        <f t="shared" si="228"/>
        <v>0.878361442067439+0.113937873430501i</v>
      </c>
      <c r="AR426" s="22" t="str">
        <f t="shared" si="229"/>
        <v>0.932663433907516-0.120981731661272i</v>
      </c>
    </row>
    <row r="427" spans="7:44">
      <c r="G427" s="257">
        <v>42172.5</v>
      </c>
      <c r="H427" s="256">
        <f t="shared" si="221"/>
        <v>42.1725</v>
      </c>
      <c r="I427" s="298">
        <f t="shared" si="201"/>
        <v>41.1572881778734</v>
      </c>
      <c r="J427" s="299">
        <f t="shared" si="202"/>
        <v>1.54649690228481</v>
      </c>
      <c r="K427" s="299">
        <f t="shared" si="203"/>
        <v>1.00025961451219</v>
      </c>
      <c r="L427" s="300">
        <f t="shared" si="204"/>
        <v>0.0227841329972616</v>
      </c>
      <c r="M427" s="299">
        <f t="shared" si="205"/>
        <v>1.01111484251025</v>
      </c>
      <c r="N427" s="300">
        <f t="shared" si="206"/>
        <v>-0.148410645362537</v>
      </c>
      <c r="O427" s="298">
        <f t="shared" si="207"/>
        <v>76313.5580410559</v>
      </c>
      <c r="P427" s="301">
        <f t="shared" si="208"/>
        <v>1.57078322296347</v>
      </c>
      <c r="Q427" s="320">
        <f t="shared" si="230"/>
        <v>31.813036559232</v>
      </c>
      <c r="R427" s="321">
        <f t="shared" si="231"/>
        <v>1.53935749351947</v>
      </c>
      <c r="S427" s="298">
        <f t="shared" si="209"/>
        <v>1.02222131317851</v>
      </c>
      <c r="T427" s="301">
        <f t="shared" si="210"/>
        <v>0.208889822224214</v>
      </c>
      <c r="U427" s="316">
        <f t="shared" si="222"/>
        <v>0.917595304173148</v>
      </c>
      <c r="V427" s="317">
        <f t="shared" si="223"/>
        <v>-0.508055248273652</v>
      </c>
      <c r="W427" s="318">
        <f t="shared" si="211"/>
        <v>-3.86432010325151</v>
      </c>
      <c r="X427" s="319">
        <f t="shared" si="212"/>
        <v>-138.684102990422</v>
      </c>
      <c r="Y427" s="332">
        <f t="shared" si="213"/>
        <v>41.3158970095785</v>
      </c>
      <c r="AA427" s="22">
        <f t="shared" si="214"/>
        <v>42172.5</v>
      </c>
      <c r="AB427" s="22">
        <f t="shared" si="215"/>
        <v>1778519756.25</v>
      </c>
      <c r="AD427" s="331">
        <f t="shared" si="216"/>
        <v>27.4176194745767</v>
      </c>
      <c r="AE427" s="332">
        <f t="shared" si="217"/>
        <v>-13.7690668776805</v>
      </c>
      <c r="AG427" s="331">
        <f t="shared" si="218"/>
        <v>-4.40004391718294</v>
      </c>
      <c r="AH427" s="332">
        <f t="shared" si="219"/>
        <v>-66.6961930751136</v>
      </c>
      <c r="AJ427" s="22">
        <f t="shared" si="220"/>
        <v>0</v>
      </c>
      <c r="AK427" s="22">
        <f t="shared" si="232"/>
        <v>0</v>
      </c>
      <c r="AM427" s="22" t="str">
        <f t="shared" si="224"/>
        <v>0.27315470961999+0.686801225866989i</v>
      </c>
      <c r="AN427" s="22" t="str">
        <f t="shared" si="225"/>
        <v>0.757078948755i</v>
      </c>
      <c r="AO427" s="22" t="str">
        <f t="shared" si="226"/>
        <v>0.907172530680478-0.360800825421427i</v>
      </c>
      <c r="AP427" s="22" t="str">
        <f t="shared" si="227"/>
        <v>0.121140881730002-0.114466870977831i</v>
      </c>
      <c r="AQ427" s="22" t="str">
        <f t="shared" si="228"/>
        <v>0.878859118269998+0.114466870977831i</v>
      </c>
      <c r="AR427" s="22" t="str">
        <f t="shared" si="229"/>
        <v>0.932009370098141-0.121389417370053i</v>
      </c>
    </row>
    <row r="428" spans="7:44">
      <c r="G428" s="257">
        <v>42415.25</v>
      </c>
      <c r="H428" s="256">
        <f t="shared" si="221"/>
        <v>42.41525</v>
      </c>
      <c r="I428" s="298">
        <f t="shared" si="201"/>
        <v>41.3940550394157</v>
      </c>
      <c r="J428" s="299">
        <f t="shared" si="202"/>
        <v>1.54663591793346</v>
      </c>
      <c r="K428" s="299">
        <f t="shared" si="203"/>
        <v>1.00026261146545</v>
      </c>
      <c r="L428" s="300">
        <f t="shared" si="204"/>
        <v>0.0229152354415125</v>
      </c>
      <c r="M428" s="299">
        <f t="shared" si="205"/>
        <v>1.01124245415793</v>
      </c>
      <c r="N428" s="300">
        <f t="shared" si="206"/>
        <v>-0.149252320029332</v>
      </c>
      <c r="O428" s="298">
        <f t="shared" si="207"/>
        <v>76752.828091712</v>
      </c>
      <c r="P428" s="301">
        <f t="shared" si="208"/>
        <v>1.57078329795902</v>
      </c>
      <c r="Q428" s="320">
        <f t="shared" si="230"/>
        <v>31.9959758186802</v>
      </c>
      <c r="R428" s="321">
        <f t="shared" si="231"/>
        <v>1.5395373060158</v>
      </c>
      <c r="S428" s="298">
        <f t="shared" si="209"/>
        <v>1.02247504655429</v>
      </c>
      <c r="T428" s="301">
        <f t="shared" si="210"/>
        <v>0.210057254087406</v>
      </c>
      <c r="U428" s="316">
        <f t="shared" si="222"/>
        <v>0.916756529407496</v>
      </c>
      <c r="V428" s="317">
        <f t="shared" si="223"/>
        <v>-0.510750420664146</v>
      </c>
      <c r="W428" s="318">
        <f t="shared" si="211"/>
        <v>-3.92317044622649</v>
      </c>
      <c r="X428" s="319">
        <f t="shared" si="212"/>
        <v>-138.943793511514</v>
      </c>
      <c r="Y428" s="332">
        <f t="shared" si="213"/>
        <v>41.0562064884863</v>
      </c>
      <c r="AA428" s="22">
        <f t="shared" si="214"/>
        <v>42415.25</v>
      </c>
      <c r="AB428" s="22">
        <f t="shared" si="215"/>
        <v>1799053432.5625</v>
      </c>
      <c r="AD428" s="331">
        <f t="shared" si="216"/>
        <v>27.4154147731861</v>
      </c>
      <c r="AE428" s="332">
        <f t="shared" si="217"/>
        <v>-13.8256575961602</v>
      </c>
      <c r="AG428" s="331">
        <f t="shared" si="218"/>
        <v>-4.44080273614143</v>
      </c>
      <c r="AH428" s="332">
        <f t="shared" si="219"/>
        <v>-66.5904488713023</v>
      </c>
      <c r="AJ428" s="22">
        <f t="shared" si="220"/>
        <v>0</v>
      </c>
      <c r="AK428" s="22">
        <f t="shared" si="232"/>
        <v>0</v>
      </c>
      <c r="AM428" s="22" t="str">
        <f t="shared" si="224"/>
        <v>0.276154570150936+0.689962168301005i</v>
      </c>
      <c r="AN428" s="22" t="str">
        <f t="shared" si="225"/>
        <v>0.7614367865595i</v>
      </c>
      <c r="AO428" s="22" t="str">
        <f t="shared" si="226"/>
        <v>0.906131908097784-0.362675635096016i</v>
      </c>
      <c r="AP428" s="22" t="str">
        <f t="shared" si="227"/>
        <v>0.120640904974844-0.114993694716834i</v>
      </c>
      <c r="AQ428" s="22" t="str">
        <f t="shared" si="228"/>
        <v>0.879359095025156+0.114993694716834i</v>
      </c>
      <c r="AR428" s="22" t="str">
        <f t="shared" si="229"/>
        <v>0.931353949822238-0.12179305631235i</v>
      </c>
    </row>
    <row r="429" spans="7:44">
      <c r="G429" s="257">
        <v>42658</v>
      </c>
      <c r="H429" s="256">
        <f t="shared" si="221"/>
        <v>42.658</v>
      </c>
      <c r="I429" s="298">
        <f t="shared" si="201"/>
        <v>41.6308226918136</v>
      </c>
      <c r="J429" s="299">
        <f t="shared" si="202"/>
        <v>1.54677335233284</v>
      </c>
      <c r="K429" s="299">
        <f t="shared" si="203"/>
        <v>1.00026562561096</v>
      </c>
      <c r="L429" s="300">
        <f t="shared" si="204"/>
        <v>0.0230463370979028</v>
      </c>
      <c r="M429" s="299">
        <f t="shared" si="205"/>
        <v>1.01137078200512</v>
      </c>
      <c r="N429" s="300">
        <f t="shared" si="206"/>
        <v>-0.150093781700218</v>
      </c>
      <c r="O429" s="298">
        <f t="shared" si="207"/>
        <v>77192.0981423685</v>
      </c>
      <c r="P429" s="301">
        <f t="shared" si="208"/>
        <v>1.57078337210103</v>
      </c>
      <c r="Q429" s="320">
        <f t="shared" si="230"/>
        <v>32.1789161008768</v>
      </c>
      <c r="R429" s="321">
        <f t="shared" si="231"/>
        <v>1.5397150740146</v>
      </c>
      <c r="S429" s="298">
        <f t="shared" si="209"/>
        <v>1.02273017276585</v>
      </c>
      <c r="T429" s="301">
        <f t="shared" si="210"/>
        <v>0.211224105094393</v>
      </c>
      <c r="U429" s="316">
        <f t="shared" si="222"/>
        <v>0.915915104474891</v>
      </c>
      <c r="V429" s="317">
        <f t="shared" si="223"/>
        <v>-0.513442160739983</v>
      </c>
      <c r="W429" s="318">
        <f t="shared" si="211"/>
        <v>-3.98177348084199</v>
      </c>
      <c r="X429" s="319">
        <f t="shared" si="212"/>
        <v>-139.203268429493</v>
      </c>
      <c r="Y429" s="332">
        <f t="shared" si="213"/>
        <v>40.7967315705068</v>
      </c>
      <c r="AA429" s="22">
        <f t="shared" si="214"/>
        <v>42658</v>
      </c>
      <c r="AB429" s="22">
        <f t="shared" si="215"/>
        <v>1819704964</v>
      </c>
      <c r="AD429" s="331">
        <f t="shared" si="216"/>
        <v>27.4131996107581</v>
      </c>
      <c r="AE429" s="332">
        <f t="shared" si="217"/>
        <v>-13.8823321262063</v>
      </c>
      <c r="AG429" s="331">
        <f t="shared" si="218"/>
        <v>-4.48123897906424</v>
      </c>
      <c r="AH429" s="332">
        <f t="shared" si="219"/>
        <v>-66.4847985670997</v>
      </c>
      <c r="AJ429" s="22">
        <f t="shared" si="220"/>
        <v>0</v>
      </c>
      <c r="AK429" s="22">
        <f t="shared" si="232"/>
        <v>0</v>
      </c>
      <c r="AM429" s="22" t="str">
        <f t="shared" si="224"/>
        <v>0.279168177027965+0.693110007856482i</v>
      </c>
      <c r="AN429" s="22" t="str">
        <f t="shared" si="225"/>
        <v>0.765794624364i</v>
      </c>
      <c r="AO429" s="22" t="str">
        <f t="shared" si="226"/>
        <v>0.905086018894579-0.364547057587166i</v>
      </c>
      <c r="AP429" s="22" t="str">
        <f t="shared" si="227"/>
        <v>0.120138637162006-0.115518334642747i</v>
      </c>
      <c r="AQ429" s="22" t="str">
        <f t="shared" si="228"/>
        <v>0.879861362837994+0.115518334642747i</v>
      </c>
      <c r="AR429" s="22" t="str">
        <f t="shared" si="229"/>
        <v>0.930697202134651-0.122192649192456i</v>
      </c>
    </row>
    <row r="430" spans="7:44">
      <c r="G430" s="257">
        <v>42906.5</v>
      </c>
      <c r="H430" s="256">
        <f t="shared" si="221"/>
        <v>42.9065</v>
      </c>
      <c r="I430" s="298">
        <f t="shared" si="201"/>
        <v>41.8731994459893</v>
      </c>
      <c r="J430" s="299">
        <f t="shared" si="202"/>
        <v>1.54691243225226</v>
      </c>
      <c r="K430" s="299">
        <f t="shared" si="203"/>
        <v>1.00026872896007</v>
      </c>
      <c r="L430" s="300">
        <f t="shared" si="204"/>
        <v>0.0231805433280598</v>
      </c>
      <c r="M430" s="299">
        <f t="shared" si="205"/>
        <v>1.01150289110651</v>
      </c>
      <c r="N430" s="300">
        <f t="shared" si="206"/>
        <v>-0.150954953224343</v>
      </c>
      <c r="O430" s="298">
        <f t="shared" si="207"/>
        <v>77641.7731478814</v>
      </c>
      <c r="P430" s="301">
        <f t="shared" si="208"/>
        <v>1.57078344713026</v>
      </c>
      <c r="Q430" s="320">
        <f t="shared" si="230"/>
        <v>32.3661907162994</v>
      </c>
      <c r="R430" s="321">
        <f t="shared" si="231"/>
        <v>1.53989497125817</v>
      </c>
      <c r="S430" s="298">
        <f t="shared" si="209"/>
        <v>1.02299278375828</v>
      </c>
      <c r="T430" s="301">
        <f t="shared" si="210"/>
        <v>0.212417990689255</v>
      </c>
      <c r="U430" s="316">
        <f t="shared" si="222"/>
        <v>0.915051032486907</v>
      </c>
      <c r="V430" s="317">
        <f t="shared" si="223"/>
        <v>-0.516194097450753</v>
      </c>
      <c r="W430" s="318">
        <f t="shared" si="211"/>
        <v>-4.04151165441262</v>
      </c>
      <c r="X430" s="319">
        <f t="shared" si="212"/>
        <v>-139.468665076268</v>
      </c>
      <c r="Y430" s="332">
        <f t="shared" si="213"/>
        <v>40.5313349237319</v>
      </c>
      <c r="AA430" s="22">
        <f t="shared" si="214"/>
        <v>42906.5</v>
      </c>
      <c r="AB430" s="22">
        <f t="shared" si="215"/>
        <v>1840967742.25</v>
      </c>
      <c r="AD430" s="331">
        <f t="shared" si="216"/>
        <v>27.4109211408833</v>
      </c>
      <c r="AE430" s="332">
        <f t="shared" si="217"/>
        <v>-13.9404336781354</v>
      </c>
      <c r="AG430" s="331">
        <f t="shared" si="218"/>
        <v>-4.52230245492679</v>
      </c>
      <c r="AH430" s="332">
        <f t="shared" si="219"/>
        <v>-66.3767449435567</v>
      </c>
      <c r="AJ430" s="22">
        <f t="shared" si="220"/>
        <v>0</v>
      </c>
      <c r="AK430" s="22">
        <f t="shared" si="232"/>
        <v>0</v>
      </c>
      <c r="AM430" s="22" t="str">
        <f t="shared" si="224"/>
        <v>0.282267345837733+0.696318775525397i</v>
      </c>
      <c r="AN430" s="22" t="str">
        <f t="shared" si="225"/>
        <v>0.770255685927i</v>
      </c>
      <c r="AO430" s="22" t="str">
        <f t="shared" si="226"/>
        <v>0.904009912873775-0.366459282281085i</v>
      </c>
      <c r="AP430" s="22" t="str">
        <f t="shared" si="227"/>
        <v>0.119622109027044-0.116053129254233i</v>
      </c>
      <c r="AQ430" s="22" t="str">
        <f t="shared" si="228"/>
        <v>0.880377890972956+0.116053129254233i</v>
      </c>
      <c r="AR430" s="22" t="str">
        <f t="shared" si="229"/>
        <v>0.930023553388707-0.12259751722254i</v>
      </c>
    </row>
    <row r="431" spans="7:44">
      <c r="G431" s="257">
        <v>43155</v>
      </c>
      <c r="H431" s="256">
        <f t="shared" si="221"/>
        <v>43.155</v>
      </c>
      <c r="I431" s="298">
        <f t="shared" si="201"/>
        <v>42.115577000805</v>
      </c>
      <c r="J431" s="299">
        <f t="shared" si="202"/>
        <v>1.54704991134854</v>
      </c>
      <c r="K431" s="299">
        <f t="shared" si="203"/>
        <v>1.00027185032523</v>
      </c>
      <c r="L431" s="300">
        <f t="shared" si="204"/>
        <v>0.0233147487230485</v>
      </c>
      <c r="M431" s="299">
        <f t="shared" si="205"/>
        <v>1.01163575015879</v>
      </c>
      <c r="N431" s="300">
        <f t="shared" si="206"/>
        <v>-0.151815899189927</v>
      </c>
      <c r="O431" s="298">
        <f t="shared" si="207"/>
        <v>78091.4481533947</v>
      </c>
      <c r="P431" s="301">
        <f t="shared" si="208"/>
        <v>1.5707835212954</v>
      </c>
      <c r="Q431" s="320">
        <f t="shared" si="230"/>
        <v>32.5534663671379</v>
      </c>
      <c r="R431" s="321">
        <f t="shared" si="231"/>
        <v>1.54007279865883</v>
      </c>
      <c r="S431" s="298">
        <f t="shared" si="209"/>
        <v>1.02325685213693</v>
      </c>
      <c r="T431" s="301">
        <f t="shared" si="210"/>
        <v>0.213611261780328</v>
      </c>
      <c r="U431" s="316">
        <f t="shared" si="222"/>
        <v>0.91418424170178</v>
      </c>
      <c r="V431" s="317">
        <f t="shared" si="223"/>
        <v>-0.518942422917703</v>
      </c>
      <c r="W431" s="318">
        <f t="shared" si="211"/>
        <v>-4.10099706190227</v>
      </c>
      <c r="X431" s="319">
        <f t="shared" si="212"/>
        <v>-139.733833553183</v>
      </c>
      <c r="Y431" s="332">
        <f t="shared" si="213"/>
        <v>40.2661664468169</v>
      </c>
      <c r="AA431" s="22">
        <f t="shared" si="214"/>
        <v>43155</v>
      </c>
      <c r="AB431" s="22">
        <f t="shared" si="215"/>
        <v>1862354025</v>
      </c>
      <c r="AD431" s="331">
        <f t="shared" si="216"/>
        <v>27.4086317062938</v>
      </c>
      <c r="AE431" s="332">
        <f t="shared" si="217"/>
        <v>-13.9986185653449</v>
      </c>
      <c r="AG431" s="331">
        <f t="shared" si="218"/>
        <v>-4.56303504606603</v>
      </c>
      <c r="AH431" s="332">
        <f t="shared" si="219"/>
        <v>-66.2687936329329</v>
      </c>
      <c r="AJ431" s="22">
        <f t="shared" si="220"/>
        <v>0</v>
      </c>
      <c r="AK431" s="22">
        <f t="shared" si="232"/>
        <v>0</v>
      </c>
      <c r="AM431" s="22" t="str">
        <f t="shared" si="224"/>
        <v>0.285380798271798+0.699513685728412i</v>
      </c>
      <c r="AN431" s="22" t="str">
        <f t="shared" si="225"/>
        <v>0.77471674749i</v>
      </c>
      <c r="AO431" s="22" t="str">
        <f t="shared" si="226"/>
        <v>0.902928312824993-0.368367921819686i</v>
      </c>
      <c r="AP431" s="22" t="str">
        <f t="shared" si="227"/>
        <v>0.119103200288034-0.116585614288069i</v>
      </c>
      <c r="AQ431" s="22" t="str">
        <f t="shared" si="228"/>
        <v>0.880896799711966+0.116585614288069i</v>
      </c>
      <c r="AR431" s="22" t="str">
        <f t="shared" si="229"/>
        <v>0.929348574869386-0.122998147483697i</v>
      </c>
    </row>
    <row r="432" spans="7:44">
      <c r="G432" s="257">
        <v>43403.5</v>
      </c>
      <c r="H432" s="256">
        <f t="shared" si="221"/>
        <v>43.4035</v>
      </c>
      <c r="I432" s="298">
        <f t="shared" si="201"/>
        <v>42.3579553425166</v>
      </c>
      <c r="J432" s="299">
        <f t="shared" si="202"/>
        <v>1.54718581709684</v>
      </c>
      <c r="K432" s="299">
        <f t="shared" si="203"/>
        <v>1.00027498970625</v>
      </c>
      <c r="L432" s="300">
        <f t="shared" si="204"/>
        <v>0.0234489532780422</v>
      </c>
      <c r="M432" s="299">
        <f t="shared" si="205"/>
        <v>1.01176935886651</v>
      </c>
      <c r="N432" s="300">
        <f t="shared" si="206"/>
        <v>-0.152676618409762</v>
      </c>
      <c r="O432" s="298">
        <f t="shared" si="207"/>
        <v>78541.1231589085</v>
      </c>
      <c r="P432" s="301">
        <f t="shared" si="208"/>
        <v>1.5707835946113</v>
      </c>
      <c r="Q432" s="320">
        <f t="shared" si="230"/>
        <v>32.7407430356245</v>
      </c>
      <c r="R432" s="321">
        <f t="shared" si="231"/>
        <v>1.54024859172369</v>
      </c>
      <c r="S432" s="298">
        <f t="shared" si="209"/>
        <v>1.02352237677378</v>
      </c>
      <c r="T432" s="301">
        <f t="shared" si="210"/>
        <v>0.21480391544637</v>
      </c>
      <c r="U432" s="316">
        <f t="shared" si="222"/>
        <v>0.913314761569837</v>
      </c>
      <c r="V432" s="317">
        <f t="shared" si="223"/>
        <v>-0.521687130101895</v>
      </c>
      <c r="W432" s="318">
        <f t="shared" si="211"/>
        <v>-4.16023285112684</v>
      </c>
      <c r="X432" s="319">
        <f t="shared" si="212"/>
        <v>-139.998772762471</v>
      </c>
      <c r="Y432" s="332">
        <f t="shared" si="213"/>
        <v>40.0012272375292</v>
      </c>
      <c r="AA432" s="22">
        <f t="shared" si="214"/>
        <v>43403.5</v>
      </c>
      <c r="AB432" s="22">
        <f t="shared" si="215"/>
        <v>1883863812.25</v>
      </c>
      <c r="AD432" s="331">
        <f t="shared" si="216"/>
        <v>27.4063313068163</v>
      </c>
      <c r="AE432" s="332">
        <f t="shared" si="217"/>
        <v>-14.0568845869043</v>
      </c>
      <c r="AG432" s="331">
        <f t="shared" si="218"/>
        <v>-4.60344028389541</v>
      </c>
      <c r="AH432" s="332">
        <f t="shared" si="219"/>
        <v>-66.1609465449952</v>
      </c>
      <c r="AJ432" s="22">
        <f t="shared" si="220"/>
        <v>0</v>
      </c>
      <c r="AK432" s="22">
        <f t="shared" si="232"/>
        <v>0</v>
      </c>
      <c r="AM432" s="22" t="str">
        <f t="shared" si="224"/>
        <v>0.288508472369226+0.7026946748835i</v>
      </c>
      <c r="AN432" s="22" t="str">
        <f t="shared" si="225"/>
        <v>0.779177809053i</v>
      </c>
      <c r="AO432" s="22" t="str">
        <f t="shared" si="226"/>
        <v>0.901841231512411-0.370272958260804i</v>
      </c>
      <c r="AP432" s="22" t="str">
        <f t="shared" si="227"/>
        <v>0.118581921271796-0.11711577914725i</v>
      </c>
      <c r="AQ432" s="22" t="str">
        <f t="shared" si="228"/>
        <v>0.881418078728204+0.11711577914725i</v>
      </c>
      <c r="AR432" s="22" t="str">
        <f t="shared" si="229"/>
        <v>0.928672297387614-0.123394541484729i</v>
      </c>
    </row>
    <row r="433" spans="7:44">
      <c r="G433" s="257">
        <v>43652</v>
      </c>
      <c r="H433" s="256">
        <f t="shared" si="221"/>
        <v>43.652</v>
      </c>
      <c r="I433" s="298">
        <f t="shared" si="201"/>
        <v>42.6003344576926</v>
      </c>
      <c r="J433" s="299">
        <f t="shared" si="202"/>
        <v>1.54732017634731</v>
      </c>
      <c r="K433" s="299">
        <f t="shared" si="203"/>
        <v>1.00027814710298</v>
      </c>
      <c r="L433" s="300">
        <f t="shared" si="204"/>
        <v>0.0235831569882146</v>
      </c>
      <c r="M433" s="299">
        <f t="shared" si="205"/>
        <v>1.01190371693273</v>
      </c>
      <c r="N433" s="300">
        <f t="shared" si="206"/>
        <v>-0.153537109698614</v>
      </c>
      <c r="O433" s="298">
        <f t="shared" si="207"/>
        <v>78990.7981644227</v>
      </c>
      <c r="P433" s="301">
        <f t="shared" si="208"/>
        <v>1.57078366709246</v>
      </c>
      <c r="Q433" s="320">
        <f t="shared" si="230"/>
        <v>32.9280207043959</v>
      </c>
      <c r="R433" s="321">
        <f t="shared" si="231"/>
        <v>1.54042238515254</v>
      </c>
      <c r="S433" s="298">
        <f t="shared" si="209"/>
        <v>1.02378935653579</v>
      </c>
      <c r="T433" s="301">
        <f t="shared" si="210"/>
        <v>0.215995948776188</v>
      </c>
      <c r="U433" s="316">
        <f t="shared" si="222"/>
        <v>0.912442621475495</v>
      </c>
      <c r="V433" s="317">
        <f t="shared" si="223"/>
        <v>-0.524428212129073</v>
      </c>
      <c r="W433" s="318">
        <f t="shared" si="211"/>
        <v>-4.21922211243741</v>
      </c>
      <c r="X433" s="319">
        <f t="shared" si="212"/>
        <v>-140.263481626913</v>
      </c>
      <c r="Y433" s="332">
        <f t="shared" si="213"/>
        <v>39.7365183730869</v>
      </c>
      <c r="AA433" s="22">
        <f t="shared" si="214"/>
        <v>43652</v>
      </c>
      <c r="AB433" s="22">
        <f t="shared" si="215"/>
        <v>1905497104</v>
      </c>
      <c r="AD433" s="331">
        <f t="shared" si="216"/>
        <v>27.4040199428928</v>
      </c>
      <c r="AE433" s="332">
        <f t="shared" si="217"/>
        <v>-14.1152295886924</v>
      </c>
      <c r="AG433" s="331">
        <f t="shared" si="218"/>
        <v>-4.64352164276111</v>
      </c>
      <c r="AH433" s="332">
        <f t="shared" si="219"/>
        <v>-66.0532055443772</v>
      </c>
      <c r="AJ433" s="22">
        <f t="shared" si="220"/>
        <v>0</v>
      </c>
      <c r="AK433" s="22">
        <f t="shared" si="232"/>
        <v>0</v>
      </c>
      <c r="AM433" s="22" t="str">
        <f t="shared" si="224"/>
        <v>0.29165030588606+0.705861679685678i</v>
      </c>
      <c r="AN433" s="22" t="str">
        <f t="shared" si="225"/>
        <v>0.783638870616i</v>
      </c>
      <c r="AO433" s="22" t="str">
        <f t="shared" si="226"/>
        <v>0.900748681763089-0.372174373709666i</v>
      </c>
      <c r="AP433" s="22" t="str">
        <f t="shared" si="227"/>
        <v>0.118058282352323-0.117643613280946i</v>
      </c>
      <c r="AQ433" s="22" t="str">
        <f t="shared" si="228"/>
        <v>0.881941717647677+0.117643613280946i</v>
      </c>
      <c r="AR433" s="22" t="str">
        <f t="shared" si="229"/>
        <v>0.927994751629507-0.123786700983638i</v>
      </c>
    </row>
    <row r="434" spans="7:44">
      <c r="G434" s="257">
        <v>43906</v>
      </c>
      <c r="H434" s="256">
        <f t="shared" si="221"/>
        <v>43.906</v>
      </c>
      <c r="I434" s="298">
        <f t="shared" si="201"/>
        <v>42.8480788862362</v>
      </c>
      <c r="J434" s="299">
        <f t="shared" si="202"/>
        <v>1.54745593844172</v>
      </c>
      <c r="K434" s="299">
        <f t="shared" si="203"/>
        <v>1.00028139299977</v>
      </c>
      <c r="L434" s="300">
        <f t="shared" si="204"/>
        <v>0.0237203301237315</v>
      </c>
      <c r="M434" s="299">
        <f t="shared" si="205"/>
        <v>1.01204182282814</v>
      </c>
      <c r="N434" s="300">
        <f t="shared" si="206"/>
        <v>-0.154416409280517</v>
      </c>
      <c r="O434" s="298">
        <f t="shared" si="207"/>
        <v>79450.4257354516</v>
      </c>
      <c r="P434" s="301">
        <f t="shared" si="208"/>
        <v>1.57078374032993</v>
      </c>
      <c r="Q434" s="320">
        <f t="shared" si="230"/>
        <v>33.1194443678245</v>
      </c>
      <c r="R434" s="321">
        <f t="shared" si="231"/>
        <v>1.54059799390774</v>
      </c>
      <c r="S434" s="298">
        <f t="shared" si="209"/>
        <v>1.02406374791228</v>
      </c>
      <c r="T434" s="301">
        <f t="shared" si="210"/>
        <v>0.217213721034422</v>
      </c>
      <c r="U434" s="316">
        <f t="shared" si="222"/>
        <v>0.911548460079344</v>
      </c>
      <c r="V434" s="317">
        <f t="shared" si="223"/>
        <v>-0.527226208585597</v>
      </c>
      <c r="W434" s="318">
        <f t="shared" si="211"/>
        <v>-4.27926535675613</v>
      </c>
      <c r="X434" s="319">
        <f t="shared" si="212"/>
        <v>-140.533810090028</v>
      </c>
      <c r="Y434" s="332">
        <f t="shared" si="213"/>
        <v>39.4661899099718</v>
      </c>
      <c r="AA434" s="22">
        <f t="shared" si="214"/>
        <v>43906</v>
      </c>
      <c r="AB434" s="22">
        <f t="shared" si="215"/>
        <v>1927736836</v>
      </c>
      <c r="AD434" s="331">
        <f t="shared" si="216"/>
        <v>27.4016460919639</v>
      </c>
      <c r="AE434" s="332">
        <f t="shared" si="217"/>
        <v>-14.174945355245</v>
      </c>
      <c r="AG434" s="331">
        <f t="shared" si="218"/>
        <v>-4.68415896202239</v>
      </c>
      <c r="AH434" s="332">
        <f t="shared" si="219"/>
        <v>-65.9431914644706</v>
      </c>
      <c r="AJ434" s="22">
        <f t="shared" si="220"/>
        <v>0</v>
      </c>
      <c r="AK434" s="22">
        <f t="shared" si="232"/>
        <v>0</v>
      </c>
      <c r="AM434" s="22" t="str">
        <f t="shared" si="224"/>
        <v>0.294876244839245+0.709084261500701i</v>
      </c>
      <c r="AN434" s="22" t="str">
        <f t="shared" si="225"/>
        <v>0.788198667948i</v>
      </c>
      <c r="AO434" s="22" t="str">
        <f t="shared" si="226"/>
        <v>0.899626312927849-0.374114112127247i</v>
      </c>
      <c r="AP434" s="22" t="str">
        <f t="shared" si="227"/>
        <v>0.117520625860126-0.118180710250117i</v>
      </c>
      <c r="AQ434" s="22" t="str">
        <f t="shared" si="228"/>
        <v>0.882479374139874+0.118180710250117i</v>
      </c>
      <c r="AR434" s="22" t="str">
        <f t="shared" si="229"/>
        <v>0.92730093100967-0.124183166036181i</v>
      </c>
    </row>
    <row r="435" spans="7:44">
      <c r="G435" s="257">
        <v>44160</v>
      </c>
      <c r="H435" s="256">
        <f t="shared" si="221"/>
        <v>44.16</v>
      </c>
      <c r="I435" s="298">
        <f t="shared" si="201"/>
        <v>43.0958240954476</v>
      </c>
      <c r="J435" s="299">
        <f t="shared" si="202"/>
        <v>1.54759013962593</v>
      </c>
      <c r="K435" s="299">
        <f t="shared" si="203"/>
        <v>1.0002846577182</v>
      </c>
      <c r="L435" s="300">
        <f t="shared" si="204"/>
        <v>0.0238575023664211</v>
      </c>
      <c r="M435" s="299">
        <f t="shared" si="205"/>
        <v>1.01218071098777</v>
      </c>
      <c r="N435" s="300">
        <f t="shared" si="206"/>
        <v>-0.155295468232641</v>
      </c>
      <c r="O435" s="298">
        <f t="shared" si="207"/>
        <v>79910.053306481</v>
      </c>
      <c r="P435" s="301">
        <f t="shared" si="208"/>
        <v>1.57078381272491</v>
      </c>
      <c r="Q435" s="320">
        <f t="shared" si="230"/>
        <v>33.3108690408664</v>
      </c>
      <c r="R435" s="321">
        <f t="shared" si="231"/>
        <v>1.54077158435714</v>
      </c>
      <c r="S435" s="298">
        <f t="shared" si="209"/>
        <v>1.02433965712893</v>
      </c>
      <c r="T435" s="301">
        <f t="shared" si="210"/>
        <v>0.218430839074963</v>
      </c>
      <c r="U435" s="316">
        <f t="shared" si="222"/>
        <v>0.910651581532631</v>
      </c>
      <c r="V435" s="317">
        <f t="shared" si="223"/>
        <v>-0.530020403640184</v>
      </c>
      <c r="W435" s="318">
        <f t="shared" si="211"/>
        <v>-4.33905739043066</v>
      </c>
      <c r="X435" s="319">
        <f t="shared" si="212"/>
        <v>-140.803895687594</v>
      </c>
      <c r="Y435" s="332">
        <f t="shared" si="213"/>
        <v>39.196104312406</v>
      </c>
      <c r="AA435" s="22">
        <f t="shared" si="214"/>
        <v>44160</v>
      </c>
      <c r="AB435" s="22">
        <f t="shared" si="215"/>
        <v>1950105600</v>
      </c>
      <c r="AD435" s="331">
        <f t="shared" si="216"/>
        <v>27.399260788692</v>
      </c>
      <c r="AE435" s="332">
        <f t="shared" si="217"/>
        <v>-14.2347392300182</v>
      </c>
      <c r="AG435" s="331">
        <f t="shared" si="218"/>
        <v>-4.72446507004174</v>
      </c>
      <c r="AH435" s="332">
        <f t="shared" si="219"/>
        <v>-65.8332920193692</v>
      </c>
      <c r="AJ435" s="22">
        <f t="shared" si="220"/>
        <v>0</v>
      </c>
      <c r="AK435" s="22">
        <f t="shared" si="232"/>
        <v>0</v>
      </c>
      <c r="AM435" s="22" t="str">
        <f t="shared" si="224"/>
        <v>0.298116844525069+0.712292100237363i</v>
      </c>
      <c r="AN435" s="22" t="str">
        <f t="shared" si="225"/>
        <v>0.79275846528i</v>
      </c>
      <c r="AO435" s="22" t="str">
        <f t="shared" si="226"/>
        <v>0.898498258212586-0.376050029840772i</v>
      </c>
      <c r="AP435" s="22" t="str">
        <f t="shared" si="227"/>
        <v>0.116980525912488-0.118715350039561i</v>
      </c>
      <c r="AQ435" s="22" t="str">
        <f t="shared" si="228"/>
        <v>0.883019474087512+0.118715350039561i</v>
      </c>
      <c r="AR435" s="22" t="str">
        <f t="shared" si="229"/>
        <v>0.92660584977222-0.12457521156947i</v>
      </c>
    </row>
    <row r="436" spans="7:44">
      <c r="G436" s="257">
        <v>44414</v>
      </c>
      <c r="H436" s="256">
        <f t="shared" si="221"/>
        <v>44.414</v>
      </c>
      <c r="I436" s="298">
        <f t="shared" si="201"/>
        <v>43.3435700719401</v>
      </c>
      <c r="J436" s="299">
        <f t="shared" si="202"/>
        <v>1.54772280666092</v>
      </c>
      <c r="K436" s="299">
        <f t="shared" si="203"/>
        <v>1.00028794125809</v>
      </c>
      <c r="L436" s="300">
        <f t="shared" si="204"/>
        <v>0.0239946737111299</v>
      </c>
      <c r="M436" s="299">
        <f t="shared" si="205"/>
        <v>1.01232038108965</v>
      </c>
      <c r="N436" s="300">
        <f t="shared" si="206"/>
        <v>-0.156174285295734</v>
      </c>
      <c r="O436" s="298">
        <f t="shared" si="207"/>
        <v>80369.6808775109</v>
      </c>
      <c r="P436" s="301">
        <f t="shared" si="208"/>
        <v>1.57078388429184</v>
      </c>
      <c r="Q436" s="320">
        <f t="shared" si="230"/>
        <v>33.5022947062154</v>
      </c>
      <c r="R436" s="321">
        <f t="shared" si="231"/>
        <v>1.5409431910868</v>
      </c>
      <c r="S436" s="298">
        <f t="shared" si="209"/>
        <v>1.02461708295955</v>
      </c>
      <c r="T436" s="301">
        <f t="shared" si="210"/>
        <v>0.219647299821759</v>
      </c>
      <c r="U436" s="316">
        <f t="shared" si="222"/>
        <v>0.909752016988469</v>
      </c>
      <c r="V436" s="317">
        <f t="shared" si="223"/>
        <v>-0.532810790480897</v>
      </c>
      <c r="W436" s="318">
        <f t="shared" si="211"/>
        <v>-4.3986013359186</v>
      </c>
      <c r="X436" s="319">
        <f t="shared" si="212"/>
        <v>-141.073737333699</v>
      </c>
      <c r="Y436" s="332">
        <f t="shared" si="213"/>
        <v>38.9262626663009</v>
      </c>
      <c r="AA436" s="22">
        <f t="shared" si="214"/>
        <v>44414</v>
      </c>
      <c r="AB436" s="22">
        <f t="shared" si="215"/>
        <v>1972603396</v>
      </c>
      <c r="AD436" s="331">
        <f t="shared" si="216"/>
        <v>27.3968640354234</v>
      </c>
      <c r="AE436" s="332">
        <f t="shared" si="217"/>
        <v>-14.2946090559587</v>
      </c>
      <c r="AG436" s="331">
        <f t="shared" si="218"/>
        <v>-4.76444350035524</v>
      </c>
      <c r="AH436" s="332">
        <f t="shared" si="219"/>
        <v>-65.7235090608048</v>
      </c>
      <c r="AJ436" s="22">
        <f t="shared" si="220"/>
        <v>0</v>
      </c>
      <c r="AK436" s="22">
        <f t="shared" si="232"/>
        <v>0</v>
      </c>
      <c r="AM436" s="22" t="str">
        <f t="shared" si="224"/>
        <v>0.301372037565906+0.715485129199193i</v>
      </c>
      <c r="AN436" s="22" t="str">
        <f t="shared" si="225"/>
        <v>0.797318262612i</v>
      </c>
      <c r="AO436" s="22" t="str">
        <f t="shared" si="226"/>
        <v>0.897364531517536-0.377982107895807i</v>
      </c>
      <c r="AP436" s="22" t="str">
        <f t="shared" si="227"/>
        <v>0.116437993739016-0.119247521533199i</v>
      </c>
      <c r="AQ436" s="22" t="str">
        <f t="shared" si="228"/>
        <v>0.883562006260984+0.119247521533199i</v>
      </c>
      <c r="AR436" s="22" t="str">
        <f t="shared" si="229"/>
        <v>0.925909540268946-0.124962840251873i</v>
      </c>
    </row>
    <row r="437" spans="7:44">
      <c r="G437" s="257">
        <v>44668</v>
      </c>
      <c r="H437" s="256">
        <f t="shared" si="221"/>
        <v>44.668</v>
      </c>
      <c r="I437" s="298">
        <f t="shared" si="201"/>
        <v>43.5913168026317</v>
      </c>
      <c r="J437" s="299">
        <f t="shared" si="202"/>
        <v>1.54785396569951</v>
      </c>
      <c r="K437" s="299">
        <f t="shared" si="203"/>
        <v>1.00029124361925</v>
      </c>
      <c r="L437" s="300">
        <f t="shared" si="204"/>
        <v>0.0241318441527049</v>
      </c>
      <c r="M437" s="299">
        <f t="shared" si="205"/>
        <v>1.01246083281016</v>
      </c>
      <c r="N437" s="300">
        <f t="shared" si="206"/>
        <v>-0.157052859212729</v>
      </c>
      <c r="O437" s="298">
        <f t="shared" si="207"/>
        <v>80829.3084485411</v>
      </c>
      <c r="P437" s="301">
        <f t="shared" si="208"/>
        <v>1.57078395504486</v>
      </c>
      <c r="Q437" s="320">
        <f t="shared" si="230"/>
        <v>33.6937213469586</v>
      </c>
      <c r="R437" s="321">
        <f t="shared" si="231"/>
        <v>1.54111284789731</v>
      </c>
      <c r="S437" s="298">
        <f t="shared" si="209"/>
        <v>1.02489602417257</v>
      </c>
      <c r="T437" s="301">
        <f t="shared" si="210"/>
        <v>0.220863100209857</v>
      </c>
      <c r="U437" s="316">
        <f t="shared" si="222"/>
        <v>0.908849797519743</v>
      </c>
      <c r="V437" s="317">
        <f t="shared" si="223"/>
        <v>-0.535597362472484</v>
      </c>
      <c r="W437" s="318">
        <f t="shared" si="211"/>
        <v>-4.45790025854008</v>
      </c>
      <c r="X437" s="319">
        <f t="shared" si="212"/>
        <v>-141.343333963458</v>
      </c>
      <c r="Y437" s="332">
        <f t="shared" si="213"/>
        <v>38.6566660365415</v>
      </c>
      <c r="AA437" s="22">
        <f t="shared" si="214"/>
        <v>44668</v>
      </c>
      <c r="AB437" s="22">
        <f t="shared" si="215"/>
        <v>1995230224</v>
      </c>
      <c r="AD437" s="331">
        <f t="shared" si="216"/>
        <v>27.3944558350984</v>
      </c>
      <c r="AE437" s="332">
        <f t="shared" si="217"/>
        <v>-14.3545527216373</v>
      </c>
      <c r="AG437" s="331">
        <f t="shared" si="218"/>
        <v>-4.80409772961607</v>
      </c>
      <c r="AH437" s="332">
        <f t="shared" si="219"/>
        <v>-65.6138443956663</v>
      </c>
      <c r="AJ437" s="22">
        <f t="shared" si="220"/>
        <v>0</v>
      </c>
      <c r="AK437" s="22">
        <f t="shared" si="232"/>
        <v>0</v>
      </c>
      <c r="AM437" s="22" t="str">
        <f t="shared" si="224"/>
        <v>0.304641756280706+0.71866328199764i</v>
      </c>
      <c r="AN437" s="22" t="str">
        <f t="shared" si="225"/>
        <v>0.801878059944i</v>
      </c>
      <c r="AO437" s="22" t="str">
        <f t="shared" si="226"/>
        <v>0.896225146810761-0.379910327390652i</v>
      </c>
      <c r="AP437" s="22" t="str">
        <f t="shared" si="227"/>
        <v>0.115893040619882-0.119777213666273i</v>
      </c>
      <c r="AQ437" s="22" t="str">
        <f t="shared" si="228"/>
        <v>0.884106959380118+0.119777213666273i</v>
      </c>
      <c r="AR437" s="22" t="str">
        <f t="shared" si="229"/>
        <v>0.925212034706781-0.125346055012825i</v>
      </c>
    </row>
    <row r="438" spans="7:44">
      <c r="G438" s="257">
        <v>44928.25</v>
      </c>
      <c r="H438" s="256">
        <f t="shared" si="221"/>
        <v>44.92825</v>
      </c>
      <c r="I438" s="298">
        <f t="shared" si="201"/>
        <v>43.8451604324026</v>
      </c>
      <c r="J438" s="299">
        <f t="shared" si="202"/>
        <v>1.54798681469122</v>
      </c>
      <c r="K438" s="299">
        <f t="shared" si="203"/>
        <v>1.00029464676075</v>
      </c>
      <c r="L438" s="300">
        <f t="shared" si="204"/>
        <v>0.0242723889090784</v>
      </c>
      <c r="M438" s="299">
        <f t="shared" si="205"/>
        <v>1.01260555089199</v>
      </c>
      <c r="N438" s="300">
        <f t="shared" si="206"/>
        <v>-0.157952798076084</v>
      </c>
      <c r="O438" s="298">
        <f t="shared" si="207"/>
        <v>81300.2457531109</v>
      </c>
      <c r="P438" s="301">
        <f t="shared" si="208"/>
        <v>1.57078402670908</v>
      </c>
      <c r="Q438" s="320">
        <f t="shared" si="230"/>
        <v>33.8898592833077</v>
      </c>
      <c r="R438" s="321">
        <f t="shared" si="231"/>
        <v>1.54128469139701</v>
      </c>
      <c r="S438" s="298">
        <f t="shared" si="209"/>
        <v>1.02518339957606</v>
      </c>
      <c r="T438" s="301">
        <f t="shared" si="210"/>
        <v>0.22210812882064</v>
      </c>
      <c r="U438" s="316">
        <f t="shared" si="222"/>
        <v>0.907922656455735</v>
      </c>
      <c r="V438" s="317">
        <f t="shared" si="223"/>
        <v>-0.538448538126749</v>
      </c>
      <c r="W438" s="318">
        <f t="shared" si="211"/>
        <v>-4.51840731422775</v>
      </c>
      <c r="X438" s="319">
        <f t="shared" si="212"/>
        <v>-141.619309142827</v>
      </c>
      <c r="Y438" s="332">
        <f t="shared" si="213"/>
        <v>38.3806908571729</v>
      </c>
      <c r="AA438" s="22">
        <f t="shared" si="214"/>
        <v>44928.25</v>
      </c>
      <c r="AB438" s="22">
        <f t="shared" si="215"/>
        <v>2018547648.0625</v>
      </c>
      <c r="AD438" s="331">
        <f t="shared" si="216"/>
        <v>27.3919765085297</v>
      </c>
      <c r="AE438" s="332">
        <f t="shared" si="217"/>
        <v>-14.4160458052658</v>
      </c>
      <c r="AG438" s="331">
        <f t="shared" si="218"/>
        <v>-4.84439501452369</v>
      </c>
      <c r="AH438" s="332">
        <f t="shared" si="219"/>
        <v>-65.5016058277529</v>
      </c>
      <c r="AJ438" s="22">
        <f t="shared" si="220"/>
        <v>0</v>
      </c>
      <c r="AK438" s="22">
        <f t="shared" si="232"/>
        <v>0</v>
      </c>
      <c r="AM438" s="22" t="str">
        <f t="shared" si="224"/>
        <v>0.308006925785409+0.721904138538518i</v>
      </c>
      <c r="AN438" s="22" t="str">
        <f t="shared" si="225"/>
        <v>0.8065500570135i</v>
      </c>
      <c r="AO438" s="22" t="str">
        <f t="shared" si="226"/>
        <v>0.895051872182107-0.381881971375589i</v>
      </c>
      <c r="AP438" s="22" t="str">
        <f t="shared" si="227"/>
        <v>0.115332179035765-0.120317356423086i</v>
      </c>
      <c r="AQ438" s="22" t="str">
        <f t="shared" si="228"/>
        <v>0.884667820964235+0.120317356423086i</v>
      </c>
      <c r="AR438" s="22" t="str">
        <f t="shared" si="229"/>
        <v>0.924496159072043-0.125734124432838i</v>
      </c>
    </row>
    <row r="439" spans="7:44">
      <c r="G439" s="257">
        <v>45188.5</v>
      </c>
      <c r="H439" s="256">
        <f t="shared" si="221"/>
        <v>45.1885</v>
      </c>
      <c r="I439" s="298">
        <f t="shared" si="201"/>
        <v>44.0990048270819</v>
      </c>
      <c r="J439" s="299">
        <f t="shared" si="202"/>
        <v>1.54811813426423</v>
      </c>
      <c r="K439" s="299">
        <f t="shared" si="203"/>
        <v>1.00029806966077</v>
      </c>
      <c r="L439" s="300">
        <f t="shared" si="204"/>
        <v>0.0244129327063734</v>
      </c>
      <c r="M439" s="299">
        <f t="shared" si="205"/>
        <v>1.01275108883812</v>
      </c>
      <c r="N439" s="300">
        <f t="shared" si="206"/>
        <v>-0.1588524790155</v>
      </c>
      <c r="O439" s="298">
        <f t="shared" si="207"/>
        <v>81771.183057681</v>
      </c>
      <c r="P439" s="301">
        <f t="shared" si="208"/>
        <v>1.57078409754784</v>
      </c>
      <c r="Q439" s="320">
        <f t="shared" si="230"/>
        <v>34.0859982089135</v>
      </c>
      <c r="R439" s="321">
        <f t="shared" si="231"/>
        <v>1.5414545572451</v>
      </c>
      <c r="S439" s="298">
        <f t="shared" si="209"/>
        <v>1.02547236322039</v>
      </c>
      <c r="T439" s="301">
        <f t="shared" si="210"/>
        <v>0.223352457696354</v>
      </c>
      <c r="U439" s="316">
        <f t="shared" si="222"/>
        <v>0.906992793981583</v>
      </c>
      <c r="V439" s="317">
        <f t="shared" si="223"/>
        <v>-0.541295695345744</v>
      </c>
      <c r="W439" s="318">
        <f t="shared" si="211"/>
        <v>-4.57866347745359</v>
      </c>
      <c r="X439" s="319">
        <f t="shared" si="212"/>
        <v>-141.895024902505</v>
      </c>
      <c r="Y439" s="332">
        <f t="shared" si="213"/>
        <v>38.1049750974955</v>
      </c>
      <c r="AA439" s="22">
        <f t="shared" si="214"/>
        <v>45188.5</v>
      </c>
      <c r="AB439" s="22">
        <f t="shared" si="215"/>
        <v>2042000532.25</v>
      </c>
      <c r="AD439" s="331">
        <f t="shared" si="216"/>
        <v>27.3894851727181</v>
      </c>
      <c r="AE439" s="332">
        <f t="shared" si="217"/>
        <v>-14.4776120608238</v>
      </c>
      <c r="AG439" s="331">
        <f t="shared" si="218"/>
        <v>-4.88435915919246</v>
      </c>
      <c r="AH439" s="332">
        <f t="shared" si="219"/>
        <v>-65.3894951469823</v>
      </c>
      <c r="AJ439" s="22">
        <f t="shared" si="220"/>
        <v>0</v>
      </c>
      <c r="AK439" s="22">
        <f t="shared" si="232"/>
        <v>0</v>
      </c>
      <c r="AM439" s="22" t="str">
        <f t="shared" si="224"/>
        <v>0.311387199780643+0.725129237704601i</v>
      </c>
      <c r="AN439" s="22" t="str">
        <f t="shared" si="225"/>
        <v>0.811222054083i</v>
      </c>
      <c r="AO439" s="22" t="str">
        <f t="shared" si="226"/>
        <v>0.893872687576625-0.383849524570228i</v>
      </c>
      <c r="AP439" s="22" t="str">
        <f t="shared" si="227"/>
        <v>0.114768800036559-0.120854872950767i</v>
      </c>
      <c r="AQ439" s="22" t="str">
        <f t="shared" si="228"/>
        <v>0.885231199963441+0.120854872950767i</v>
      </c>
      <c r="AR439" s="22" t="str">
        <f t="shared" si="229"/>
        <v>0.923779095772821-0.126117567092992i</v>
      </c>
    </row>
    <row r="440" spans="7:44">
      <c r="G440" s="257">
        <v>45448.75</v>
      </c>
      <c r="H440" s="256">
        <f t="shared" si="221"/>
        <v>45.44875</v>
      </c>
      <c r="I440" s="298">
        <f t="shared" si="201"/>
        <v>44.3528499735361</v>
      </c>
      <c r="J440" s="299">
        <f t="shared" si="202"/>
        <v>1.54824795067399</v>
      </c>
      <c r="K440" s="299">
        <f t="shared" si="203"/>
        <v>1.0003015123191</v>
      </c>
      <c r="L440" s="300">
        <f t="shared" si="204"/>
        <v>0.0245534755390476</v>
      </c>
      <c r="M440" s="299">
        <f t="shared" si="205"/>
        <v>1.01289744629515</v>
      </c>
      <c r="N440" s="300">
        <f t="shared" si="206"/>
        <v>-0.159751900686021</v>
      </c>
      <c r="O440" s="298">
        <f t="shared" si="207"/>
        <v>82242.1203622516</v>
      </c>
      <c r="P440" s="301">
        <f t="shared" si="208"/>
        <v>1.57078416757532</v>
      </c>
      <c r="Q440" s="320">
        <f t="shared" si="230"/>
        <v>34.2821381067962</v>
      </c>
      <c r="R440" s="321">
        <f t="shared" si="231"/>
        <v>1.54162247937616</v>
      </c>
      <c r="S440" s="298">
        <f t="shared" si="209"/>
        <v>1.02576291376329</v>
      </c>
      <c r="T440" s="301">
        <f t="shared" si="210"/>
        <v>0.224596083576668</v>
      </c>
      <c r="U440" s="316">
        <f t="shared" si="222"/>
        <v>0.906060243245717</v>
      </c>
      <c r="V440" s="317">
        <f t="shared" si="223"/>
        <v>-0.544138827564148</v>
      </c>
      <c r="W440" s="318">
        <f t="shared" si="211"/>
        <v>-4.63867186728631</v>
      </c>
      <c r="X440" s="319">
        <f t="shared" si="212"/>
        <v>-142.17048016361</v>
      </c>
      <c r="Y440" s="332">
        <f t="shared" si="213"/>
        <v>37.8295198363897</v>
      </c>
      <c r="AA440" s="22">
        <f t="shared" si="214"/>
        <v>45448.75</v>
      </c>
      <c r="AB440" s="22">
        <f t="shared" si="215"/>
        <v>2065588876.5625</v>
      </c>
      <c r="AD440" s="331">
        <f t="shared" si="216"/>
        <v>27.3869818326508</v>
      </c>
      <c r="AE440" s="332">
        <f t="shared" si="217"/>
        <v>-14.5392493580121</v>
      </c>
      <c r="AG440" s="331">
        <f t="shared" si="218"/>
        <v>-4.9239937256976</v>
      </c>
      <c r="AH440" s="332">
        <f t="shared" si="219"/>
        <v>-65.2775141571033</v>
      </c>
      <c r="AJ440" s="22">
        <f t="shared" si="220"/>
        <v>0</v>
      </c>
      <c r="AK440" s="22">
        <f t="shared" si="232"/>
        <v>0</v>
      </c>
      <c r="AM440" s="22" t="str">
        <f t="shared" si="224"/>
        <v>0.314782504483421+0.728338509099983i</v>
      </c>
      <c r="AN440" s="22" t="str">
        <f t="shared" si="225"/>
        <v>0.8158940511525i</v>
      </c>
      <c r="AO440" s="22" t="str">
        <f t="shared" si="226"/>
        <v>0.892687608239281-0.385812966816919i</v>
      </c>
      <c r="AP440" s="22" t="str">
        <f t="shared" si="227"/>
        <v>0.11420291591943-0.121389751516664i</v>
      </c>
      <c r="AQ440" s="22" t="str">
        <f t="shared" si="228"/>
        <v>0.88579708408057+0.121389751516664i</v>
      </c>
      <c r="AR440" s="22" t="str">
        <f t="shared" si="229"/>
        <v>0.923060878965969-0.126496386978669i</v>
      </c>
    </row>
    <row r="441" spans="7:44">
      <c r="G441" s="257">
        <v>45709</v>
      </c>
      <c r="H441" s="256">
        <f t="shared" si="221"/>
        <v>45.709</v>
      </c>
      <c r="I441" s="298">
        <f t="shared" si="201"/>
        <v>44.6066958589307</v>
      </c>
      <c r="J441" s="299">
        <f t="shared" si="202"/>
        <v>1.54837628957849</v>
      </c>
      <c r="K441" s="299">
        <f t="shared" si="203"/>
        <v>1.00030497473554</v>
      </c>
      <c r="L441" s="300">
        <f t="shared" si="204"/>
        <v>0.0246940174015589</v>
      </c>
      <c r="M441" s="299">
        <f t="shared" si="205"/>
        <v>1.01304462290788</v>
      </c>
      <c r="N441" s="300">
        <f t="shared" si="206"/>
        <v>-0.160651061745145</v>
      </c>
      <c r="O441" s="298">
        <f t="shared" si="207"/>
        <v>82713.0576668226</v>
      </c>
      <c r="P441" s="301">
        <f t="shared" si="208"/>
        <v>1.57078423680538</v>
      </c>
      <c r="Q441" s="320">
        <f t="shared" si="230"/>
        <v>34.4782789603628</v>
      </c>
      <c r="R441" s="321">
        <f t="shared" si="231"/>
        <v>1.54178849095303</v>
      </c>
      <c r="S441" s="298">
        <f t="shared" si="209"/>
        <v>1.02605504985667</v>
      </c>
      <c r="T441" s="301">
        <f t="shared" si="210"/>
        <v>0.225839003213634</v>
      </c>
      <c r="U441" s="316">
        <f t="shared" si="222"/>
        <v>0.905125037299417</v>
      </c>
      <c r="V441" s="317">
        <f t="shared" si="223"/>
        <v>-0.546977928407748</v>
      </c>
      <c r="W441" s="318">
        <f t="shared" si="211"/>
        <v>-4.69843554543909</v>
      </c>
      <c r="X441" s="319">
        <f t="shared" si="212"/>
        <v>-142.445673869031</v>
      </c>
      <c r="Y441" s="332">
        <f t="shared" si="213"/>
        <v>37.5543261309688</v>
      </c>
      <c r="AA441" s="22">
        <f t="shared" si="214"/>
        <v>45709</v>
      </c>
      <c r="AB441" s="22">
        <f t="shared" si="215"/>
        <v>2089312681</v>
      </c>
      <c r="AD441" s="331">
        <f t="shared" si="216"/>
        <v>27.3844664938939</v>
      </c>
      <c r="AE441" s="332">
        <f t="shared" si="217"/>
        <v>-14.6009556114401</v>
      </c>
      <c r="AG441" s="331">
        <f t="shared" si="218"/>
        <v>-4.96330221885566</v>
      </c>
      <c r="AH441" s="332">
        <f t="shared" si="219"/>
        <v>-65.1656646168239</v>
      </c>
      <c r="AJ441" s="22">
        <f t="shared" si="220"/>
        <v>0</v>
      </c>
      <c r="AK441" s="22">
        <f t="shared" si="232"/>
        <v>0</v>
      </c>
      <c r="AM441" s="22" t="str">
        <f t="shared" si="224"/>
        <v>0.318192765782672+0.731531882674239i</v>
      </c>
      <c r="AN441" s="22" t="str">
        <f t="shared" si="225"/>
        <v>0.820566048222i</v>
      </c>
      <c r="AO441" s="22" t="str">
        <f t="shared" si="226"/>
        <v>0.891496649488874-0.387772278017268i</v>
      </c>
      <c r="AP441" s="22" t="str">
        <f t="shared" si="227"/>
        <v>0.113634539036221-0.121921980445706i</v>
      </c>
      <c r="AQ441" s="22" t="str">
        <f t="shared" si="228"/>
        <v>0.886365460963779+0.121921980445706i</v>
      </c>
      <c r="AR441" s="22" t="str">
        <f t="shared" si="229"/>
        <v>0.922341542639835-0.126870588350454i</v>
      </c>
    </row>
    <row r="442" spans="7:44">
      <c r="G442" s="257">
        <v>45975.25</v>
      </c>
      <c r="H442" s="256">
        <f t="shared" si="221"/>
        <v>45.97525</v>
      </c>
      <c r="I442" s="298">
        <f t="shared" si="201"/>
        <v>44.8663948506437</v>
      </c>
      <c r="J442" s="299">
        <f t="shared" si="202"/>
        <v>1.54850608445918</v>
      </c>
      <c r="K442" s="299">
        <f t="shared" si="203"/>
        <v>1.00030853742356</v>
      </c>
      <c r="L442" s="300">
        <f t="shared" si="204"/>
        <v>0.0248377984125337</v>
      </c>
      <c r="M442" s="299">
        <f t="shared" si="205"/>
        <v>1.01319603997066</v>
      </c>
      <c r="N442" s="300">
        <f t="shared" si="206"/>
        <v>-0.161570681651698</v>
      </c>
      <c r="O442" s="298">
        <f t="shared" si="207"/>
        <v>83194.8523155916</v>
      </c>
      <c r="P442" s="301">
        <f t="shared" si="208"/>
        <v>1.57078430682044</v>
      </c>
      <c r="Q442" s="320">
        <f t="shared" si="230"/>
        <v>34.6789427653399</v>
      </c>
      <c r="R442" s="321">
        <f t="shared" si="231"/>
        <v>1.54195638654895</v>
      </c>
      <c r="S442" s="298">
        <f t="shared" si="209"/>
        <v>1.02635556046781</v>
      </c>
      <c r="T442" s="301">
        <f t="shared" si="210"/>
        <v>0.227109843829986</v>
      </c>
      <c r="U442" s="316">
        <f t="shared" si="222"/>
        <v>0.904165557031945</v>
      </c>
      <c r="V442" s="317">
        <f t="shared" si="223"/>
        <v>-0.549878305718509</v>
      </c>
      <c r="W442" s="318">
        <f t="shared" si="211"/>
        <v>-4.75932695518103</v>
      </c>
      <c r="X442" s="319">
        <f t="shared" si="212"/>
        <v>-142.726940347692</v>
      </c>
      <c r="Y442" s="332">
        <f t="shared" si="213"/>
        <v>37.2730596523075</v>
      </c>
      <c r="AA442" s="22">
        <f t="shared" si="214"/>
        <v>45975.25</v>
      </c>
      <c r="AB442" s="22">
        <f t="shared" si="215"/>
        <v>2113723612.5625</v>
      </c>
      <c r="AD442" s="331">
        <f t="shared" si="216"/>
        <v>27.3818807541931</v>
      </c>
      <c r="AE442" s="332">
        <f t="shared" si="217"/>
        <v>-14.6641537177855</v>
      </c>
      <c r="AG442" s="331">
        <f t="shared" si="218"/>
        <v>-5.00318311949701</v>
      </c>
      <c r="AH442" s="332">
        <f t="shared" si="219"/>
        <v>-65.0513742309558</v>
      </c>
      <c r="AJ442" s="22">
        <f t="shared" si="220"/>
        <v>0</v>
      </c>
      <c r="AK442" s="22">
        <f t="shared" si="232"/>
        <v>0</v>
      </c>
      <c r="AM442" s="22" t="str">
        <f t="shared" si="224"/>
        <v>0.321697049997701+0.734782354182637i</v>
      </c>
      <c r="AN442" s="22" t="str">
        <f t="shared" si="225"/>
        <v>0.8253457570395i</v>
      </c>
      <c r="AO442" s="22" t="str">
        <f t="shared" si="226"/>
        <v>0.890272165229622-0.389772464756616i</v>
      </c>
      <c r="AP442" s="22" t="str">
        <f t="shared" si="227"/>
        <v>0.11305049166705-0.122463725697106i</v>
      </c>
      <c r="AQ442" s="22" t="str">
        <f t="shared" si="228"/>
        <v>0.88694950833295+0.122463725697106i</v>
      </c>
      <c r="AR442" s="22" t="str">
        <f t="shared" si="229"/>
        <v>0.921604498922856-0.127248642112038i</v>
      </c>
    </row>
    <row r="443" spans="7:44">
      <c r="G443" s="257">
        <v>46241.5</v>
      </c>
      <c r="H443" s="256">
        <f t="shared" si="221"/>
        <v>46.2415</v>
      </c>
      <c r="I443" s="298">
        <f t="shared" si="201"/>
        <v>45.1260945895081</v>
      </c>
      <c r="J443" s="299">
        <f t="shared" si="202"/>
        <v>1.5486343854083</v>
      </c>
      <c r="K443" s="299">
        <f t="shared" si="203"/>
        <v>1.00031212079079</v>
      </c>
      <c r="L443" s="300">
        <f t="shared" si="204"/>
        <v>0.0249815783963619</v>
      </c>
      <c r="M443" s="299">
        <f t="shared" si="205"/>
        <v>1.01334831363762</v>
      </c>
      <c r="N443" s="300">
        <f t="shared" si="206"/>
        <v>-0.162490025956944</v>
      </c>
      <c r="O443" s="298">
        <f t="shared" si="207"/>
        <v>83676.646964361</v>
      </c>
      <c r="P443" s="301">
        <f t="shared" si="208"/>
        <v>1.57078437602923</v>
      </c>
      <c r="Q443" s="320">
        <f t="shared" si="230"/>
        <v>34.8796075366313</v>
      </c>
      <c r="R443" s="321">
        <f t="shared" si="231"/>
        <v>1.54212235031977</v>
      </c>
      <c r="S443" s="298">
        <f t="shared" si="209"/>
        <v>1.02665772770804</v>
      </c>
      <c r="T443" s="301">
        <f t="shared" si="210"/>
        <v>0.228379938425651</v>
      </c>
      <c r="U443" s="316">
        <f t="shared" si="222"/>
        <v>0.903203367375021</v>
      </c>
      <c r="V443" s="317">
        <f t="shared" si="223"/>
        <v>-0.55277445073844</v>
      </c>
      <c r="W443" s="318">
        <f t="shared" si="211"/>
        <v>-4.81996854439826</v>
      </c>
      <c r="X443" s="319">
        <f t="shared" si="212"/>
        <v>-143.007930901429</v>
      </c>
      <c r="Y443" s="332">
        <f t="shared" si="213"/>
        <v>36.9920690985708</v>
      </c>
      <c r="AA443" s="22">
        <f t="shared" si="214"/>
        <v>46241.5</v>
      </c>
      <c r="AB443" s="22">
        <f t="shared" si="215"/>
        <v>2138276322.25</v>
      </c>
      <c r="AD443" s="331">
        <f t="shared" si="216"/>
        <v>27.3792824697392</v>
      </c>
      <c r="AE443" s="332">
        <f t="shared" si="217"/>
        <v>-14.727419719523</v>
      </c>
      <c r="AG443" s="331">
        <f t="shared" si="218"/>
        <v>-5.04272998150841</v>
      </c>
      <c r="AH443" s="332">
        <f t="shared" si="219"/>
        <v>-64.9372250095758</v>
      </c>
      <c r="AJ443" s="22">
        <f t="shared" si="220"/>
        <v>0</v>
      </c>
      <c r="AK443" s="22">
        <f t="shared" si="232"/>
        <v>0</v>
      </c>
      <c r="AM443" s="22" t="str">
        <f t="shared" si="224"/>
        <v>0.325216830432213+0.738016039167206i</v>
      </c>
      <c r="AN443" s="22" t="str">
        <f t="shared" si="225"/>
        <v>0.830125465857i</v>
      </c>
      <c r="AO443" s="22" t="str">
        <f t="shared" si="226"/>
        <v>0.889041560007194-0.391768285407878i</v>
      </c>
      <c r="AP443" s="22" t="str">
        <f t="shared" si="227"/>
        <v>0.112463861594631-0.123002673194534i</v>
      </c>
      <c r="AQ443" s="22" t="str">
        <f t="shared" si="228"/>
        <v>0.887536138405369+0.123002673194534i</v>
      </c>
      <c r="AR443" s="22" t="str">
        <f t="shared" si="229"/>
        <v>0.920866354889388-0.127621871837028i</v>
      </c>
    </row>
    <row r="444" spans="7:44">
      <c r="G444" s="257">
        <v>46507.75</v>
      </c>
      <c r="H444" s="256">
        <f t="shared" si="221"/>
        <v>46.50775</v>
      </c>
      <c r="I444" s="298">
        <f t="shared" si="201"/>
        <v>45.3857950626982</v>
      </c>
      <c r="J444" s="299">
        <f t="shared" si="202"/>
        <v>1.54876121806674</v>
      </c>
      <c r="K444" s="299">
        <f t="shared" si="203"/>
        <v>1.00031572483701</v>
      </c>
      <c r="L444" s="300">
        <f t="shared" si="204"/>
        <v>0.0251253573471102</v>
      </c>
      <c r="M444" s="299">
        <f t="shared" si="205"/>
        <v>1.01350144352267</v>
      </c>
      <c r="N444" s="300">
        <f t="shared" si="206"/>
        <v>-0.16340909323141</v>
      </c>
      <c r="O444" s="298">
        <f t="shared" si="207"/>
        <v>84158.4416131308</v>
      </c>
      <c r="P444" s="301">
        <f t="shared" si="208"/>
        <v>1.57078444444559</v>
      </c>
      <c r="Q444" s="320">
        <f t="shared" si="230"/>
        <v>35.0802732576547</v>
      </c>
      <c r="R444" s="321">
        <f t="shared" si="231"/>
        <v>1.54228641540748</v>
      </c>
      <c r="S444" s="298">
        <f t="shared" si="209"/>
        <v>1.02696155011507</v>
      </c>
      <c r="T444" s="301">
        <f t="shared" si="210"/>
        <v>0.229649283563276</v>
      </c>
      <c r="U444" s="316">
        <f t="shared" si="222"/>
        <v>0.902238503389542</v>
      </c>
      <c r="V444" s="317">
        <f t="shared" si="223"/>
        <v>-0.555666357256882</v>
      </c>
      <c r="W444" s="318">
        <f t="shared" si="211"/>
        <v>-4.88036341363228</v>
      </c>
      <c r="X444" s="319">
        <f t="shared" si="212"/>
        <v>-143.2886444669</v>
      </c>
      <c r="Y444" s="332">
        <f t="shared" si="213"/>
        <v>36.7113555331003</v>
      </c>
      <c r="AA444" s="22">
        <f t="shared" si="214"/>
        <v>46507.75</v>
      </c>
      <c r="AB444" s="22">
        <f t="shared" si="215"/>
        <v>2162970810.0625</v>
      </c>
      <c r="AD444" s="331">
        <f t="shared" si="216"/>
        <v>27.3766716482631</v>
      </c>
      <c r="AE444" s="332">
        <f t="shared" si="217"/>
        <v>-14.7907515216047</v>
      </c>
      <c r="AG444" s="331">
        <f t="shared" si="218"/>
        <v>-5.08194637992311</v>
      </c>
      <c r="AH444" s="332">
        <f t="shared" si="219"/>
        <v>-64.8232186960803</v>
      </c>
      <c r="AJ444" s="22">
        <f t="shared" si="220"/>
        <v>0</v>
      </c>
      <c r="AK444" s="22">
        <f t="shared" si="232"/>
        <v>0</v>
      </c>
      <c r="AM444" s="22" t="str">
        <f t="shared" si="224"/>
        <v>0.328752026674808+0.741232863752561i</v>
      </c>
      <c r="AN444" s="22" t="str">
        <f t="shared" si="225"/>
        <v>0.8349051746745i</v>
      </c>
      <c r="AO444" s="22" t="str">
        <f t="shared" si="226"/>
        <v>0.887804850462858-0.393759718644667i</v>
      </c>
      <c r="AP444" s="22" t="str">
        <f t="shared" si="227"/>
        <v>0.111874662220865-0.123538810625427i</v>
      </c>
      <c r="AQ444" s="22" t="str">
        <f t="shared" si="228"/>
        <v>0.888125337779135+0.123538810625427i</v>
      </c>
      <c r="AR444" s="22" t="str">
        <f t="shared" si="229"/>
        <v>0.920127146372036-0.127990282960757i</v>
      </c>
    </row>
    <row r="445" spans="7:44">
      <c r="G445" s="257">
        <v>46774</v>
      </c>
      <c r="H445" s="256">
        <f t="shared" si="221"/>
        <v>46.774</v>
      </c>
      <c r="I445" s="298">
        <f t="shared" si="201"/>
        <v>45.64549625768</v>
      </c>
      <c r="J445" s="299">
        <f t="shared" si="202"/>
        <v>1.54888660749199</v>
      </c>
      <c r="K445" s="299">
        <f t="shared" si="203"/>
        <v>1.000319349562</v>
      </c>
      <c r="L445" s="300">
        <f t="shared" si="204"/>
        <v>0.0252691352588451</v>
      </c>
      <c r="M445" s="299">
        <f t="shared" si="205"/>
        <v>1.01365542923775</v>
      </c>
      <c r="N445" s="300">
        <f t="shared" si="206"/>
        <v>-0.164327882048356</v>
      </c>
      <c r="O445" s="298">
        <f t="shared" si="207"/>
        <v>84640.236261901</v>
      </c>
      <c r="P445" s="301">
        <f t="shared" si="208"/>
        <v>1.57078451208307</v>
      </c>
      <c r="Q445" s="320">
        <f t="shared" si="230"/>
        <v>35.2809399122049</v>
      </c>
      <c r="R445" s="321">
        <f t="shared" si="231"/>
        <v>1.54244861420047</v>
      </c>
      <c r="S445" s="298">
        <f t="shared" si="209"/>
        <v>1.0272670262203</v>
      </c>
      <c r="T445" s="301">
        <f t="shared" si="210"/>
        <v>0.230917875819226</v>
      </c>
      <c r="U445" s="316">
        <f t="shared" si="222"/>
        <v>0.901271000020811</v>
      </c>
      <c r="V445" s="317">
        <f t="shared" si="223"/>
        <v>-0.558554019268226</v>
      </c>
      <c r="W445" s="318">
        <f t="shared" si="211"/>
        <v>-4.94051460621162</v>
      </c>
      <c r="X445" s="319">
        <f t="shared" si="212"/>
        <v>-143.569080003189</v>
      </c>
      <c r="Y445" s="332">
        <f t="shared" si="213"/>
        <v>36.4309199968113</v>
      </c>
      <c r="AA445" s="22">
        <f t="shared" si="214"/>
        <v>46774</v>
      </c>
      <c r="AB445" s="22">
        <f t="shared" si="215"/>
        <v>2187807076</v>
      </c>
      <c r="AD445" s="331">
        <f t="shared" si="216"/>
        <v>27.3740482980577</v>
      </c>
      <c r="AE445" s="332">
        <f t="shared" si="217"/>
        <v>-14.854147072928</v>
      </c>
      <c r="AG445" s="331">
        <f t="shared" si="218"/>
        <v>-5.12083583247874</v>
      </c>
      <c r="AH445" s="332">
        <f t="shared" si="219"/>
        <v>-64.7093569888475</v>
      </c>
      <c r="AJ445" s="22">
        <f t="shared" si="220"/>
        <v>0</v>
      </c>
      <c r="AK445" s="22">
        <f t="shared" si="232"/>
        <v>0</v>
      </c>
      <c r="AM445" s="22" t="str">
        <f t="shared" si="224"/>
        <v>0.332302557961903+0.744432754448501i</v>
      </c>
      <c r="AN445" s="22" t="str">
        <f t="shared" si="225"/>
        <v>0.839684883492i</v>
      </c>
      <c r="AO445" s="22" t="str">
        <f t="shared" si="226"/>
        <v>0.8865620533177-0.395746743206756i</v>
      </c>
      <c r="AP445" s="22" t="str">
        <f t="shared" si="227"/>
        <v>0.11128290700635-0.124072125741417i</v>
      </c>
      <c r="AQ445" s="22" t="str">
        <f t="shared" si="228"/>
        <v>0.88871709299365+0.124072125741417i</v>
      </c>
      <c r="AR445" s="22" t="str">
        <f t="shared" si="229"/>
        <v>0.91938690900983-0.128353881205811i</v>
      </c>
    </row>
    <row r="446" spans="7:44">
      <c r="G446" s="257">
        <v>47046.25</v>
      </c>
      <c r="H446" s="256">
        <f t="shared" si="221"/>
        <v>47.04625</v>
      </c>
      <c r="I446" s="298">
        <f t="shared" si="201"/>
        <v>45.91105060757</v>
      </c>
      <c r="J446" s="299">
        <f t="shared" si="202"/>
        <v>1.54901335572116</v>
      </c>
      <c r="K446" s="299">
        <f t="shared" si="203"/>
        <v>1.00032307735371</v>
      </c>
      <c r="L446" s="300">
        <f t="shared" si="204"/>
        <v>0.0254161521556166</v>
      </c>
      <c r="M446" s="299">
        <f t="shared" si="205"/>
        <v>1.01381376962398</v>
      </c>
      <c r="N446" s="300">
        <f t="shared" si="206"/>
        <v>-0.165267086540991</v>
      </c>
      <c r="O446" s="298">
        <f t="shared" si="207"/>
        <v>85132.8882548692</v>
      </c>
      <c r="P446" s="301">
        <f t="shared" si="208"/>
        <v>1.57078458045314</v>
      </c>
      <c r="Q446" s="320">
        <f t="shared" si="230"/>
        <v>35.4861295810303</v>
      </c>
      <c r="R446" s="321">
        <f t="shared" si="231"/>
        <v>1.54261257129878</v>
      </c>
      <c r="S446" s="298">
        <f t="shared" si="209"/>
        <v>1.02758109477531</v>
      </c>
      <c r="T446" s="301">
        <f t="shared" si="210"/>
        <v>0.232214273994894</v>
      </c>
      <c r="U446" s="316">
        <f t="shared" si="222"/>
        <v>0.900279000770657</v>
      </c>
      <c r="V446" s="317">
        <f t="shared" si="223"/>
        <v>-0.561502360248775</v>
      </c>
      <c r="W446" s="318">
        <f t="shared" si="211"/>
        <v>-5.00177245520155</v>
      </c>
      <c r="X446" s="319">
        <f t="shared" si="212"/>
        <v>-143.855546654281</v>
      </c>
      <c r="Y446" s="332">
        <f t="shared" si="213"/>
        <v>36.1444533457189</v>
      </c>
      <c r="AA446" s="22">
        <f t="shared" si="214"/>
        <v>47046.25</v>
      </c>
      <c r="AB446" s="22">
        <f t="shared" si="215"/>
        <v>2213349639.0625</v>
      </c>
      <c r="AD446" s="331">
        <f t="shared" si="216"/>
        <v>27.3713528838952</v>
      </c>
      <c r="AE446" s="332">
        <f t="shared" si="217"/>
        <v>-14.9190350845981</v>
      </c>
      <c r="AG446" s="331">
        <f t="shared" si="218"/>
        <v>-5.16026719267618</v>
      </c>
      <c r="AH446" s="332">
        <f t="shared" si="219"/>
        <v>-64.5930806383816</v>
      </c>
      <c r="AJ446" s="22">
        <f t="shared" si="220"/>
        <v>0</v>
      </c>
      <c r="AK446" s="22">
        <f t="shared" si="232"/>
        <v>0</v>
      </c>
      <c r="AM446" s="22" t="str">
        <f t="shared" si="224"/>
        <v>0.335948874019207+0.747687168596359i</v>
      </c>
      <c r="AN446" s="22" t="str">
        <f t="shared" si="225"/>
        <v>0.8445723040575i</v>
      </c>
      <c r="AO446" s="22" t="str">
        <f t="shared" si="226"/>
        <v>0.88528497205546-0.397773964887599i</v>
      </c>
      <c r="AP446" s="22" t="str">
        <f t="shared" si="227"/>
        <v>0.110675187663465-0.124614528099393i</v>
      </c>
      <c r="AQ446" s="22" t="str">
        <f t="shared" si="228"/>
        <v>0.889324812336535+0.124614528099393i</v>
      </c>
      <c r="AR446" s="22" t="str">
        <f t="shared" si="229"/>
        <v>0.918628963282887-0.128720702683614i</v>
      </c>
    </row>
    <row r="447" spans="7:44">
      <c r="G447" s="257">
        <v>47318.5</v>
      </c>
      <c r="H447" s="256">
        <f t="shared" si="221"/>
        <v>47.3185</v>
      </c>
      <c r="I447" s="298">
        <f t="shared" si="201"/>
        <v>46.1766056865429</v>
      </c>
      <c r="J447" s="299">
        <f t="shared" si="202"/>
        <v>1.54913864613031</v>
      </c>
      <c r="K447" s="299">
        <f t="shared" si="203"/>
        <v>1.0003268267662</v>
      </c>
      <c r="L447" s="300">
        <f t="shared" si="204"/>
        <v>0.0255631679534719</v>
      </c>
      <c r="M447" s="299">
        <f t="shared" si="205"/>
        <v>1.01397300402073</v>
      </c>
      <c r="N447" s="300">
        <f t="shared" si="206"/>
        <v>-0.16620599687614</v>
      </c>
      <c r="O447" s="298">
        <f t="shared" si="207"/>
        <v>85625.5402478378</v>
      </c>
      <c r="P447" s="301">
        <f t="shared" si="208"/>
        <v>1.57078464803647</v>
      </c>
      <c r="Q447" s="320">
        <f t="shared" si="230"/>
        <v>35.691320192823</v>
      </c>
      <c r="R447" s="321">
        <f t="shared" si="231"/>
        <v>1.54277464321156</v>
      </c>
      <c r="S447" s="298">
        <f t="shared" si="209"/>
        <v>1.02789688927563</v>
      </c>
      <c r="T447" s="301">
        <f t="shared" si="210"/>
        <v>0.233509877777873</v>
      </c>
      <c r="U447" s="316">
        <f t="shared" si="222"/>
        <v>0.899284315358885</v>
      </c>
      <c r="V447" s="317">
        <f t="shared" si="223"/>
        <v>-0.564446251216132</v>
      </c>
      <c r="W447" s="318">
        <f t="shared" si="211"/>
        <v>-5.06278177953023</v>
      </c>
      <c r="X447" s="319">
        <f t="shared" si="212"/>
        <v>-144.141720473194</v>
      </c>
      <c r="Y447" s="332">
        <f t="shared" si="213"/>
        <v>35.858279526806</v>
      </c>
      <c r="AA447" s="22">
        <f t="shared" si="214"/>
        <v>47318.5</v>
      </c>
      <c r="AB447" s="22">
        <f t="shared" si="215"/>
        <v>2239040442.25</v>
      </c>
      <c r="AD447" s="331">
        <f t="shared" si="216"/>
        <v>27.36864438923</v>
      </c>
      <c r="AE447" s="332">
        <f t="shared" si="217"/>
        <v>-14.9839855490177</v>
      </c>
      <c r="AG447" s="331">
        <f t="shared" si="218"/>
        <v>-5.19936396652533</v>
      </c>
      <c r="AH447" s="332">
        <f t="shared" si="219"/>
        <v>-64.4769589369368</v>
      </c>
      <c r="AJ447" s="22">
        <f t="shared" si="220"/>
        <v>0</v>
      </c>
      <c r="AK447" s="22">
        <f t="shared" si="232"/>
        <v>0</v>
      </c>
      <c r="AM447" s="22" t="str">
        <f t="shared" si="224"/>
        <v>0.339611052154352+0.750923722866256i</v>
      </c>
      <c r="AN447" s="22" t="str">
        <f t="shared" si="225"/>
        <v>0.849459724623i</v>
      </c>
      <c r="AO447" s="22" t="str">
        <f t="shared" si="226"/>
        <v>0.8840015613448-0.399796532207663i</v>
      </c>
      <c r="AP447" s="22" t="str">
        <f t="shared" si="227"/>
        <v>0.110064824640941-0.125153953811043i</v>
      </c>
      <c r="AQ447" s="22" t="str">
        <f t="shared" si="228"/>
        <v>0.889935175359059+0.125153953811043i</v>
      </c>
      <c r="AR447" s="22" t="str">
        <f t="shared" si="229"/>
        <v>0.917870016556181-0.129082504925446i</v>
      </c>
    </row>
    <row r="448" spans="7:44">
      <c r="G448" s="257">
        <v>47590.75</v>
      </c>
      <c r="H448" s="256">
        <f t="shared" si="221"/>
        <v>47.59075</v>
      </c>
      <c r="I448" s="298">
        <f t="shared" si="201"/>
        <v>46.4421614820922</v>
      </c>
      <c r="J448" s="299">
        <f t="shared" si="202"/>
        <v>1.54926250372288</v>
      </c>
      <c r="K448" s="299">
        <f t="shared" si="203"/>
        <v>1.00033059779925</v>
      </c>
      <c r="L448" s="300">
        <f t="shared" si="204"/>
        <v>0.0257101826460684</v>
      </c>
      <c r="M448" s="299">
        <f t="shared" si="205"/>
        <v>1.01413313200687</v>
      </c>
      <c r="N448" s="300">
        <f t="shared" si="206"/>
        <v>-0.167144611537358</v>
      </c>
      <c r="O448" s="298">
        <f t="shared" si="207"/>
        <v>86118.1922408068</v>
      </c>
      <c r="P448" s="301">
        <f t="shared" si="208"/>
        <v>1.57078471484655</v>
      </c>
      <c r="Q448" s="320">
        <f t="shared" si="230"/>
        <v>35.8965117314124</v>
      </c>
      <c r="R448" s="321">
        <f t="shared" si="231"/>
        <v>1.54293486225849</v>
      </c>
      <c r="S448" s="298">
        <f t="shared" si="209"/>
        <v>1.02821440813099</v>
      </c>
      <c r="T448" s="301">
        <f t="shared" si="210"/>
        <v>0.234804683552547</v>
      </c>
      <c r="U448" s="316">
        <f t="shared" si="222"/>
        <v>0.89828698075768</v>
      </c>
      <c r="V448" s="317">
        <f t="shared" si="223"/>
        <v>-0.567385686407189</v>
      </c>
      <c r="W448" s="318">
        <f t="shared" si="211"/>
        <v>-5.12354565586317</v>
      </c>
      <c r="X448" s="319">
        <f t="shared" si="212"/>
        <v>-144.427600417627</v>
      </c>
      <c r="Y448" s="332">
        <f t="shared" si="213"/>
        <v>35.572399582373</v>
      </c>
      <c r="AA448" s="22">
        <f t="shared" si="214"/>
        <v>47590.75</v>
      </c>
      <c r="AB448" s="22">
        <f t="shared" si="215"/>
        <v>2264879485.5625</v>
      </c>
      <c r="AD448" s="331">
        <f t="shared" si="216"/>
        <v>27.365922824645</v>
      </c>
      <c r="AE448" s="332">
        <f t="shared" si="217"/>
        <v>-15.0489964080192</v>
      </c>
      <c r="AG448" s="331">
        <f t="shared" si="218"/>
        <v>-5.23812973734067</v>
      </c>
      <c r="AH448" s="332">
        <f t="shared" si="219"/>
        <v>-64.3609935607841</v>
      </c>
      <c r="AJ448" s="22">
        <f t="shared" si="220"/>
        <v>0</v>
      </c>
      <c r="AK448" s="22">
        <f t="shared" si="232"/>
        <v>0</v>
      </c>
      <c r="AM448" s="22" t="str">
        <f t="shared" si="224"/>
        <v>0.343289004889505+0.754142339947163i</v>
      </c>
      <c r="AN448" s="22" t="str">
        <f t="shared" si="225"/>
        <v>0.8543471451885i</v>
      </c>
      <c r="AO448" s="22" t="str">
        <f t="shared" si="226"/>
        <v>0.882711839320036-0.401814422653409i</v>
      </c>
      <c r="AP448" s="22" t="str">
        <f t="shared" si="227"/>
        <v>0.109451832518416-0.125690389991194i</v>
      </c>
      <c r="AQ448" s="22" t="str">
        <f t="shared" si="228"/>
        <v>0.890548167481584+0.125690389991194i</v>
      </c>
      <c r="AR448" s="22" t="str">
        <f t="shared" si="229"/>
        <v>0.917110106291337-0.129439294957628i</v>
      </c>
    </row>
    <row r="449" spans="7:44">
      <c r="G449" s="257">
        <v>47863</v>
      </c>
      <c r="H449" s="256">
        <f t="shared" si="221"/>
        <v>47.863</v>
      </c>
      <c r="I449" s="298">
        <f t="shared" si="201"/>
        <v>46.7077179819956</v>
      </c>
      <c r="J449" s="299">
        <f t="shared" si="202"/>
        <v>1.54938495293385</v>
      </c>
      <c r="K449" s="299">
        <f t="shared" si="203"/>
        <v>1.00033439045259</v>
      </c>
      <c r="L449" s="300">
        <f t="shared" si="204"/>
        <v>0.0258571962270634</v>
      </c>
      <c r="M449" s="299">
        <f t="shared" si="205"/>
        <v>1.01429415315918</v>
      </c>
      <c r="N449" s="300">
        <f t="shared" si="206"/>
        <v>-0.168082929011239</v>
      </c>
      <c r="O449" s="298">
        <f t="shared" si="207"/>
        <v>86610.8442337762</v>
      </c>
      <c r="P449" s="301">
        <f t="shared" si="208"/>
        <v>1.57078478089659</v>
      </c>
      <c r="Q449" s="320">
        <f t="shared" si="230"/>
        <v>36.1017041809957</v>
      </c>
      <c r="R449" s="321">
        <f t="shared" si="231"/>
        <v>1.54309326002486</v>
      </c>
      <c r="S449" s="298">
        <f t="shared" si="209"/>
        <v>1.0285336497444</v>
      </c>
      <c r="T449" s="301">
        <f t="shared" si="210"/>
        <v>0.236098687718451</v>
      </c>
      <c r="U449" s="316">
        <f t="shared" si="222"/>
        <v>0.89728703380334</v>
      </c>
      <c r="V449" s="317">
        <f t="shared" si="223"/>
        <v>-0.570320660277976</v>
      </c>
      <c r="W449" s="318">
        <f t="shared" si="211"/>
        <v>-5.18406710392065</v>
      </c>
      <c r="X449" s="319">
        <f t="shared" si="212"/>
        <v>-144.713185468368</v>
      </c>
      <c r="Y449" s="332">
        <f t="shared" si="213"/>
        <v>35.2868145316316</v>
      </c>
      <c r="AA449" s="22">
        <f t="shared" si="214"/>
        <v>47863</v>
      </c>
      <c r="AB449" s="22">
        <f t="shared" si="215"/>
        <v>2290866769</v>
      </c>
      <c r="AD449" s="331">
        <f t="shared" si="216"/>
        <v>27.3631882012677</v>
      </c>
      <c r="AE449" s="332">
        <f t="shared" si="217"/>
        <v>-15.1140656463634</v>
      </c>
      <c r="AG449" s="331">
        <f t="shared" si="218"/>
        <v>-5.27656803120731</v>
      </c>
      <c r="AH449" s="332">
        <f t="shared" si="219"/>
        <v>-64.2451861412424</v>
      </c>
      <c r="AJ449" s="22">
        <f t="shared" si="220"/>
        <v>0</v>
      </c>
      <c r="AK449" s="22">
        <f t="shared" si="232"/>
        <v>0</v>
      </c>
      <c r="AM449" s="22" t="str">
        <f t="shared" si="224"/>
        <v>0.346982644370025+0.757342942956515i</v>
      </c>
      <c r="AN449" s="22" t="str">
        <f t="shared" si="225"/>
        <v>0.859234565754i</v>
      </c>
      <c r="AO449" s="22" t="str">
        <f t="shared" si="226"/>
        <v>0.881415824201541-0.403827613784996i</v>
      </c>
      <c r="AP449" s="22" t="str">
        <f t="shared" si="227"/>
        <v>0.108836225938329-0.126223823826086i</v>
      </c>
      <c r="AQ449" s="22" t="str">
        <f t="shared" si="228"/>
        <v>0.891163774061671+0.126223823826086i</v>
      </c>
      <c r="AR449" s="22" t="str">
        <f t="shared" si="229"/>
        <v>0.916349269729379-0.129791080104519i</v>
      </c>
    </row>
    <row r="450" spans="7:44">
      <c r="G450" s="257">
        <v>48141.75</v>
      </c>
      <c r="H450" s="256">
        <f t="shared" si="221"/>
        <v>48.14175</v>
      </c>
      <c r="I450" s="298">
        <f t="shared" si="201"/>
        <v>46.9796153911216</v>
      </c>
      <c r="J450" s="299">
        <f t="shared" si="202"/>
        <v>1.54950889135114</v>
      </c>
      <c r="K450" s="299">
        <f t="shared" si="203"/>
        <v>1.00033829605646</v>
      </c>
      <c r="L450" s="300">
        <f t="shared" si="204"/>
        <v>0.0260077186158287</v>
      </c>
      <c r="M450" s="299">
        <f t="shared" si="205"/>
        <v>1.01445994367322</v>
      </c>
      <c r="N450" s="300">
        <f t="shared" si="206"/>
        <v>-0.169043339430092</v>
      </c>
      <c r="O450" s="298">
        <f t="shared" si="207"/>
        <v>87115.2583496267</v>
      </c>
      <c r="P450" s="301">
        <f t="shared" si="208"/>
        <v>1.57078484774956</v>
      </c>
      <c r="Q450" s="320">
        <f t="shared" si="230"/>
        <v>36.3117965516158</v>
      </c>
      <c r="R450" s="321">
        <f t="shared" si="231"/>
        <v>1.54325358476774</v>
      </c>
      <c r="S450" s="298">
        <f t="shared" si="209"/>
        <v>1.02886229655881</v>
      </c>
      <c r="T450" s="301">
        <f t="shared" si="210"/>
        <v>0.237422752093205</v>
      </c>
      <c r="U450" s="316">
        <f t="shared" si="222"/>
        <v>0.896260544672229</v>
      </c>
      <c r="V450" s="317">
        <f t="shared" si="223"/>
        <v>-0.573321079062293</v>
      </c>
      <c r="W450" s="318">
        <f t="shared" si="211"/>
        <v>-5.24578542431296</v>
      </c>
      <c r="X450" s="319">
        <f t="shared" si="212"/>
        <v>-145.005282315799</v>
      </c>
      <c r="Y450" s="332">
        <f t="shared" si="213"/>
        <v>34.9947176842008</v>
      </c>
      <c r="AA450" s="22">
        <f t="shared" si="214"/>
        <v>48141.75</v>
      </c>
      <c r="AB450" s="22">
        <f t="shared" si="215"/>
        <v>2317628093.0625</v>
      </c>
      <c r="AD450" s="331">
        <f t="shared" si="216"/>
        <v>27.3603747704356</v>
      </c>
      <c r="AE450" s="332">
        <f t="shared" si="217"/>
        <v>-15.1807468461912</v>
      </c>
      <c r="AG450" s="331">
        <f t="shared" si="218"/>
        <v>-5.3155883693054</v>
      </c>
      <c r="AH450" s="332">
        <f t="shared" si="219"/>
        <v>-64.1267791222264</v>
      </c>
      <c r="AJ450" s="22">
        <f t="shared" si="220"/>
        <v>0</v>
      </c>
      <c r="AK450" s="22">
        <f t="shared" si="232"/>
        <v>0</v>
      </c>
      <c r="AM450" s="22" t="str">
        <f t="shared" si="224"/>
        <v>0.350780630773583+0.760601216552573i</v>
      </c>
      <c r="AN450" s="22" t="str">
        <f t="shared" si="225"/>
        <v>0.8642386740465i</v>
      </c>
      <c r="AO450" s="22" t="str">
        <f t="shared" si="226"/>
        <v>0.8800823654319-0.40588397778032i</v>
      </c>
      <c r="AP450" s="22" t="str">
        <f t="shared" si="227"/>
        <v>0.108203228204403-0.126766869425429i</v>
      </c>
      <c r="AQ450" s="22" t="str">
        <f t="shared" si="228"/>
        <v>0.891796771795597+0.126766869425429i</v>
      </c>
      <c r="AR450" s="22" t="str">
        <f t="shared" si="229"/>
        <v>0.915569347031324-0.1301460865701i</v>
      </c>
    </row>
    <row r="451" spans="7:44">
      <c r="G451" s="257">
        <v>48420.5</v>
      </c>
      <c r="H451" s="256">
        <f t="shared" si="221"/>
        <v>48.4205</v>
      </c>
      <c r="I451" s="298">
        <f t="shared" si="201"/>
        <v>47.2515135135839</v>
      </c>
      <c r="J451" s="299">
        <f t="shared" si="202"/>
        <v>1.54963140341924</v>
      </c>
      <c r="K451" s="299">
        <f t="shared" si="203"/>
        <v>1.00034222432481</v>
      </c>
      <c r="L451" s="300">
        <f t="shared" si="204"/>
        <v>0.0261582398258242</v>
      </c>
      <c r="M451" s="299">
        <f t="shared" si="205"/>
        <v>1.01462666960681</v>
      </c>
      <c r="N451" s="300">
        <f t="shared" si="206"/>
        <v>-0.17000343510031</v>
      </c>
      <c r="O451" s="298">
        <f t="shared" si="207"/>
        <v>87619.6724654777</v>
      </c>
      <c r="P451" s="301">
        <f t="shared" si="208"/>
        <v>1.57078491383281</v>
      </c>
      <c r="Q451" s="320">
        <f t="shared" si="230"/>
        <v>36.5218898448569</v>
      </c>
      <c r="R451" s="321">
        <f t="shared" si="231"/>
        <v>1.54341206496864</v>
      </c>
      <c r="S451" s="298">
        <f t="shared" si="209"/>
        <v>1.02919274596571</v>
      </c>
      <c r="T451" s="301">
        <f t="shared" si="210"/>
        <v>0.238745968535111</v>
      </c>
      <c r="U451" s="316">
        <f t="shared" si="222"/>
        <v>0.895231394666583</v>
      </c>
      <c r="V451" s="317">
        <f t="shared" si="223"/>
        <v>-0.576316809890079</v>
      </c>
      <c r="W451" s="318">
        <f t="shared" si="211"/>
        <v>-5.30725583181599</v>
      </c>
      <c r="X451" s="319">
        <f t="shared" si="212"/>
        <v>-145.297067930483</v>
      </c>
      <c r="Y451" s="332">
        <f t="shared" si="213"/>
        <v>34.7029320695172</v>
      </c>
      <c r="AA451" s="22">
        <f t="shared" si="214"/>
        <v>48420.5</v>
      </c>
      <c r="AB451" s="22">
        <f t="shared" si="215"/>
        <v>2344544820.25</v>
      </c>
      <c r="AD451" s="331">
        <f t="shared" si="216"/>
        <v>27.3575476750984</v>
      </c>
      <c r="AE451" s="332">
        <f t="shared" si="217"/>
        <v>-15.2474851034143</v>
      </c>
      <c r="AG451" s="331">
        <f t="shared" si="218"/>
        <v>-5.35427270949468</v>
      </c>
      <c r="AH451" s="332">
        <f t="shared" si="219"/>
        <v>-64.0085410133158</v>
      </c>
      <c r="AJ451" s="22">
        <f t="shared" si="220"/>
        <v>0</v>
      </c>
      <c r="AK451" s="22">
        <f t="shared" si="232"/>
        <v>0</v>
      </c>
      <c r="AM451" s="22" t="str">
        <f t="shared" si="224"/>
        <v>0.354594874310236+0.763840443897402i</v>
      </c>
      <c r="AN451" s="22" t="str">
        <f t="shared" si="225"/>
        <v>0.869242782339i</v>
      </c>
      <c r="AO451" s="22" t="str">
        <f t="shared" si="226"/>
        <v>0.878742348417347-0.407935368017754i</v>
      </c>
      <c r="AP451" s="22" t="str">
        <f t="shared" si="227"/>
        <v>0.107567520948294-0.127306740649567i</v>
      </c>
      <c r="AQ451" s="22" t="str">
        <f t="shared" si="228"/>
        <v>0.892432479051706+0.127306740649567i</v>
      </c>
      <c r="AR451" s="22" t="str">
        <f t="shared" si="229"/>
        <v>0.914788531572818-0.130495862792766i</v>
      </c>
    </row>
    <row r="452" spans="7:44">
      <c r="G452" s="257">
        <v>48699.25</v>
      </c>
      <c r="H452" s="256">
        <f t="shared" si="221"/>
        <v>48.69925</v>
      </c>
      <c r="I452" s="298">
        <f t="shared" si="201"/>
        <v>47.5234123371386</v>
      </c>
      <c r="J452" s="299">
        <f t="shared" si="202"/>
        <v>1.54975251361644</v>
      </c>
      <c r="K452" s="299">
        <f t="shared" si="203"/>
        <v>1.00034617525736</v>
      </c>
      <c r="L452" s="300">
        <f t="shared" si="204"/>
        <v>0.0263087598502432</v>
      </c>
      <c r="M452" s="299">
        <f t="shared" si="205"/>
        <v>1.0147943304989</v>
      </c>
      <c r="N452" s="300">
        <f t="shared" si="206"/>
        <v>-0.170963214407466</v>
      </c>
      <c r="O452" s="298">
        <f t="shared" si="207"/>
        <v>88124.086581329</v>
      </c>
      <c r="P452" s="301">
        <f t="shared" si="208"/>
        <v>1.57078497915955</v>
      </c>
      <c r="Q452" s="320">
        <f t="shared" si="230"/>
        <v>36.7319840448877</v>
      </c>
      <c r="R452" s="321">
        <f t="shared" si="231"/>
        <v>1.54356873226994</v>
      </c>
      <c r="S452" s="298">
        <f t="shared" si="209"/>
        <v>1.02952499622936</v>
      </c>
      <c r="T452" s="301">
        <f t="shared" si="210"/>
        <v>0.240068333229256</v>
      </c>
      <c r="U452" s="316">
        <f t="shared" si="222"/>
        <v>0.894199622866983</v>
      </c>
      <c r="V452" s="317">
        <f t="shared" si="223"/>
        <v>-0.57930784751621</v>
      </c>
      <c r="W452" s="318">
        <f t="shared" si="211"/>
        <v>-5.36848139059675</v>
      </c>
      <c r="X452" s="319">
        <f t="shared" si="212"/>
        <v>-145.588541291492</v>
      </c>
      <c r="Y452" s="332">
        <f t="shared" si="213"/>
        <v>34.4114587085079</v>
      </c>
      <c r="AA452" s="22">
        <f t="shared" si="214"/>
        <v>48699.25</v>
      </c>
      <c r="AB452" s="22">
        <f t="shared" si="215"/>
        <v>2371616950.5625</v>
      </c>
      <c r="AD452" s="331">
        <f t="shared" si="216"/>
        <v>27.3547069288732</v>
      </c>
      <c r="AE452" s="332">
        <f t="shared" si="217"/>
        <v>-15.314278387236</v>
      </c>
      <c r="AG452" s="331">
        <f t="shared" si="218"/>
        <v>-5.39262465822183</v>
      </c>
      <c r="AH452" s="332">
        <f t="shared" si="219"/>
        <v>-63.8904734254269</v>
      </c>
      <c r="AJ452" s="22">
        <f t="shared" si="220"/>
        <v>0</v>
      </c>
      <c r="AK452" s="22">
        <f t="shared" si="232"/>
        <v>0</v>
      </c>
      <c r="AM452" s="22" t="str">
        <f t="shared" si="224"/>
        <v>0.358425279467329+0.767060543877356i</v>
      </c>
      <c r="AN452" s="22" t="str">
        <f t="shared" si="225"/>
        <v>0.8742468906315i</v>
      </c>
      <c r="AO452" s="22" t="str">
        <f t="shared" si="226"/>
        <v>0.877395792993076-0.409981760653933i</v>
      </c>
      <c r="AP452" s="22" t="str">
        <f t="shared" si="227"/>
        <v>0.106929120088778-0.127843423979559i</v>
      </c>
      <c r="AQ452" s="22" t="str">
        <f t="shared" si="228"/>
        <v>0.893070879911222+0.127843423979559i</v>
      </c>
      <c r="AR452" s="22" t="str">
        <f t="shared" si="229"/>
        <v>0.914006862594135-0.130840417578574i</v>
      </c>
    </row>
    <row r="453" spans="7:44">
      <c r="G453" s="257">
        <v>48978</v>
      </c>
      <c r="H453" s="256">
        <f t="shared" si="221"/>
        <v>48.978</v>
      </c>
      <c r="I453" s="298">
        <f t="shared" si="201"/>
        <v>47.7953118498206</v>
      </c>
      <c r="J453" s="299">
        <f t="shared" si="202"/>
        <v>1.54987224586418</v>
      </c>
      <c r="K453" s="299">
        <f t="shared" si="203"/>
        <v>1.00035014885386</v>
      </c>
      <c r="L453" s="300">
        <f t="shared" si="204"/>
        <v>0.0264592786822795</v>
      </c>
      <c r="M453" s="299">
        <f t="shared" si="205"/>
        <v>1.01496292588615</v>
      </c>
      <c r="N453" s="300">
        <f t="shared" si="206"/>
        <v>-0.171922675740527</v>
      </c>
      <c r="O453" s="298">
        <f t="shared" si="207"/>
        <v>88628.5006971807</v>
      </c>
      <c r="P453" s="301">
        <f t="shared" si="208"/>
        <v>1.57078504374269</v>
      </c>
      <c r="Q453" s="320">
        <f t="shared" si="230"/>
        <v>36.9420791362372</v>
      </c>
      <c r="R453" s="321">
        <f t="shared" si="231"/>
        <v>1.54372361759459</v>
      </c>
      <c r="S453" s="298">
        <f t="shared" si="209"/>
        <v>1.02985904560679</v>
      </c>
      <c r="T453" s="301">
        <f t="shared" si="210"/>
        <v>0.241389842377549</v>
      </c>
      <c r="U453" s="316">
        <f t="shared" si="222"/>
        <v>0.893165268194822</v>
      </c>
      <c r="V453" s="317">
        <f t="shared" si="223"/>
        <v>-0.582294186930549</v>
      </c>
      <c r="W453" s="318">
        <f t="shared" si="211"/>
        <v>-5.42946510785691</v>
      </c>
      <c r="X453" s="319">
        <f t="shared" si="212"/>
        <v>-145.87970140182</v>
      </c>
      <c r="Y453" s="332">
        <f t="shared" si="213"/>
        <v>34.1202985981799</v>
      </c>
      <c r="AA453" s="22">
        <f t="shared" si="214"/>
        <v>48978</v>
      </c>
      <c r="AB453" s="22">
        <f t="shared" si="215"/>
        <v>2398844484</v>
      </c>
      <c r="AD453" s="331">
        <f t="shared" si="216"/>
        <v>27.351852545909</v>
      </c>
      <c r="AE453" s="332">
        <f t="shared" si="217"/>
        <v>-15.3811247090285</v>
      </c>
      <c r="AG453" s="331">
        <f t="shared" si="218"/>
        <v>-5.43064776445681</v>
      </c>
      <c r="AH453" s="332">
        <f t="shared" si="219"/>
        <v>-63.7725779243016</v>
      </c>
      <c r="AJ453" s="22">
        <f t="shared" si="220"/>
        <v>0</v>
      </c>
      <c r="AK453" s="22">
        <f t="shared" si="232"/>
        <v>0</v>
      </c>
      <c r="AM453" s="22" t="str">
        <f t="shared" si="224"/>
        <v>0.362271750327505+0.770261435857759i</v>
      </c>
      <c r="AN453" s="22" t="str">
        <f t="shared" si="225"/>
        <v>0.879250998924i</v>
      </c>
      <c r="AO453" s="22" t="str">
        <f t="shared" si="226"/>
        <v>0.876042719087474-0.412023131928018i</v>
      </c>
      <c r="AP453" s="22" t="str">
        <f t="shared" si="227"/>
        <v>0.106288041612082-0.128376905976293i</v>
      </c>
      <c r="AQ453" s="22" t="str">
        <f t="shared" si="228"/>
        <v>0.893711958387918+0.128376905976293i</v>
      </c>
      <c r="AR453" s="22" t="str">
        <f t="shared" si="229"/>
        <v>0.91322437908423-0.131179760043076i</v>
      </c>
    </row>
    <row r="454" spans="7:44">
      <c r="G454" s="257">
        <v>49263.25</v>
      </c>
      <c r="H454" s="256">
        <f t="shared" si="221"/>
        <v>49.26325</v>
      </c>
      <c r="I454" s="298">
        <f t="shared" si="201"/>
        <v>48.073552321417</v>
      </c>
      <c r="J454" s="299">
        <f t="shared" si="202"/>
        <v>1.54999336794263</v>
      </c>
      <c r="K454" s="299">
        <f t="shared" si="203"/>
        <v>1.00035423857076</v>
      </c>
      <c r="L454" s="300">
        <f t="shared" si="204"/>
        <v>0.0266133061289744</v>
      </c>
      <c r="M454" s="299">
        <f t="shared" si="205"/>
        <v>1.01513641959549</v>
      </c>
      <c r="N454" s="300">
        <f t="shared" si="206"/>
        <v>-0.172904179303255</v>
      </c>
      <c r="O454" s="298">
        <f t="shared" si="207"/>
        <v>89144.6769359137</v>
      </c>
      <c r="P454" s="301">
        <f t="shared" si="208"/>
        <v>1.57078510907518</v>
      </c>
      <c r="Q454" s="320">
        <f t="shared" si="230"/>
        <v>37.1570742129135</v>
      </c>
      <c r="R454" s="321">
        <f t="shared" si="231"/>
        <v>1.54388030133283</v>
      </c>
      <c r="S454" s="298">
        <f t="shared" si="209"/>
        <v>1.03020274518204</v>
      </c>
      <c r="T454" s="301">
        <f t="shared" si="210"/>
        <v>0.242741277337594</v>
      </c>
      <c r="U454" s="316">
        <f t="shared" si="222"/>
        <v>0.892104160561112</v>
      </c>
      <c r="V454" s="317">
        <f t="shared" si="223"/>
        <v>-0.585345294155762</v>
      </c>
      <c r="W454" s="318">
        <f t="shared" si="211"/>
        <v>-5.49162357967165</v>
      </c>
      <c r="X454" s="319">
        <f t="shared" si="212"/>
        <v>-146.177325587858</v>
      </c>
      <c r="Y454" s="332">
        <f t="shared" si="213"/>
        <v>33.8226744121422</v>
      </c>
      <c r="AA454" s="22">
        <f t="shared" si="214"/>
        <v>49263.25</v>
      </c>
      <c r="AB454" s="22">
        <f t="shared" si="215"/>
        <v>2426867800.5625</v>
      </c>
      <c r="AD454" s="331">
        <f t="shared" si="216"/>
        <v>27.3489175012187</v>
      </c>
      <c r="AE454" s="332">
        <f t="shared" si="217"/>
        <v>-15.4495826549603</v>
      </c>
      <c r="AG454" s="331">
        <f t="shared" si="218"/>
        <v>-5.46922071779315</v>
      </c>
      <c r="AH454" s="332">
        <f t="shared" si="219"/>
        <v>-63.652113030315</v>
      </c>
      <c r="AJ454" s="22">
        <f t="shared" si="220"/>
        <v>0</v>
      </c>
      <c r="AK454" s="22">
        <f t="shared" si="232"/>
        <v>0</v>
      </c>
      <c r="AM454" s="22" t="str">
        <f t="shared" si="224"/>
        <v>0.366224446196531+0.773516998779669i</v>
      </c>
      <c r="AN454" s="22" t="str">
        <f t="shared" si="225"/>
        <v>0.8843717949435i</v>
      </c>
      <c r="AO454" s="22" t="str">
        <f t="shared" si="226"/>
        <v>0.874651366317134-0.414106881619769i</v>
      </c>
      <c r="AP454" s="22" t="str">
        <f t="shared" si="227"/>
        <v>0.105629258967245-0.128919499796611i</v>
      </c>
      <c r="AQ454" s="22" t="str">
        <f t="shared" si="228"/>
        <v>0.894370741032755+0.128919499796611i</v>
      </c>
      <c r="AR454" s="22" t="str">
        <f t="shared" si="229"/>
        <v>0.912422846490201-0.131521629203441i</v>
      </c>
    </row>
    <row r="455" spans="7:44">
      <c r="G455" s="257">
        <v>49548.5</v>
      </c>
      <c r="H455" s="256">
        <f t="shared" si="221"/>
        <v>49.5485</v>
      </c>
      <c r="I455" s="298">
        <f t="shared" si="201"/>
        <v>48.3517934901623</v>
      </c>
      <c r="J455" s="299">
        <f t="shared" si="202"/>
        <v>1.55011309602495</v>
      </c>
      <c r="K455" s="299">
        <f t="shared" si="203"/>
        <v>1.00035835202033</v>
      </c>
      <c r="L455" s="300">
        <f t="shared" si="204"/>
        <v>0.0267673323126092</v>
      </c>
      <c r="M455" s="299">
        <f t="shared" si="205"/>
        <v>1.01531089090096</v>
      </c>
      <c r="N455" s="300">
        <f t="shared" si="206"/>
        <v>-0.173885346487229</v>
      </c>
      <c r="O455" s="298">
        <f t="shared" si="207"/>
        <v>89660.853174647</v>
      </c>
      <c r="P455" s="301">
        <f t="shared" si="208"/>
        <v>1.57078517365543</v>
      </c>
      <c r="Q455" s="320">
        <f t="shared" si="230"/>
        <v>37.3720701912928</v>
      </c>
      <c r="R455" s="321">
        <f t="shared" si="231"/>
        <v>1.5440351823182</v>
      </c>
      <c r="S455" s="298">
        <f t="shared" si="209"/>
        <v>1.0305483250383</v>
      </c>
      <c r="T455" s="301">
        <f t="shared" si="210"/>
        <v>0.244091808393509</v>
      </c>
      <c r="U455" s="316">
        <f t="shared" si="222"/>
        <v>0.891040430138797</v>
      </c>
      <c r="V455" s="317">
        <f t="shared" si="223"/>
        <v>-0.588391471636743</v>
      </c>
      <c r="W455" s="318">
        <f t="shared" si="211"/>
        <v>-5.55353499432474</v>
      </c>
      <c r="X455" s="319">
        <f t="shared" si="212"/>
        <v>-146.474619706686</v>
      </c>
      <c r="Y455" s="332">
        <f t="shared" si="213"/>
        <v>33.5253802933142</v>
      </c>
      <c r="AA455" s="22">
        <f t="shared" si="214"/>
        <v>49548.5</v>
      </c>
      <c r="AB455" s="22">
        <f t="shared" si="215"/>
        <v>2455053852.25</v>
      </c>
      <c r="AD455" s="331">
        <f t="shared" si="216"/>
        <v>27.3459682080195</v>
      </c>
      <c r="AE455" s="332">
        <f t="shared" si="217"/>
        <v>-15.5180920580309</v>
      </c>
      <c r="AG455" s="331">
        <f t="shared" si="218"/>
        <v>-5.50745665428787</v>
      </c>
      <c r="AH455" s="332">
        <f t="shared" si="219"/>
        <v>-63.5318315190573</v>
      </c>
      <c r="AJ455" s="22">
        <f t="shared" si="220"/>
        <v>0</v>
      </c>
      <c r="AK455" s="22">
        <f t="shared" si="232"/>
        <v>0</v>
      </c>
      <c r="AM455" s="22" t="str">
        <f t="shared" si="224"/>
        <v>0.370193761241576+0.776752278156277i</v>
      </c>
      <c r="AN455" s="22" t="str">
        <f t="shared" si="225"/>
        <v>0.889492590963i</v>
      </c>
      <c r="AO455" s="22" t="str">
        <f t="shared" si="226"/>
        <v>0.873253230041336-0.416185322961251i</v>
      </c>
      <c r="AP455" s="22" t="str">
        <f t="shared" si="227"/>
        <v>0.104967706459737-0.129458713026046i</v>
      </c>
      <c r="AQ455" s="22" t="str">
        <f t="shared" si="228"/>
        <v>0.895032293540263+0.129458713026046i</v>
      </c>
      <c r="AR455" s="22" t="str">
        <f t="shared" si="229"/>
        <v>0.911620542729175-0.131858060409209i</v>
      </c>
    </row>
    <row r="456" spans="7:44">
      <c r="G456" s="257">
        <v>49833.75</v>
      </c>
      <c r="H456" s="256">
        <f t="shared" si="221"/>
        <v>49.83375</v>
      </c>
      <c r="I456" s="298">
        <f t="shared" si="201"/>
        <v>48.6300353440901</v>
      </c>
      <c r="J456" s="299">
        <f t="shared" si="202"/>
        <v>1.55023145403536</v>
      </c>
      <c r="K456" s="299">
        <f t="shared" si="203"/>
        <v>1.00036248920227</v>
      </c>
      <c r="L456" s="300">
        <f t="shared" si="204"/>
        <v>0.0269213572258911</v>
      </c>
      <c r="M456" s="299">
        <f t="shared" si="205"/>
        <v>1.0154863392987</v>
      </c>
      <c r="N456" s="300">
        <f t="shared" si="206"/>
        <v>-0.174866175577202</v>
      </c>
      <c r="O456" s="298">
        <f t="shared" si="207"/>
        <v>90177.0294133806</v>
      </c>
      <c r="P456" s="301">
        <f t="shared" si="208"/>
        <v>1.57078523749636</v>
      </c>
      <c r="Q456" s="320">
        <f t="shared" si="230"/>
        <v>37.5870670559021</v>
      </c>
      <c r="R456" s="321">
        <f t="shared" si="231"/>
        <v>1.54418829147829</v>
      </c>
      <c r="S456" s="298">
        <f t="shared" si="209"/>
        <v>1.03089578328461</v>
      </c>
      <c r="T456" s="301">
        <f t="shared" si="210"/>
        <v>0.245441431530249</v>
      </c>
      <c r="U456" s="316">
        <f t="shared" si="222"/>
        <v>0.889974118103012</v>
      </c>
      <c r="V456" s="317">
        <f t="shared" si="223"/>
        <v>-0.591432714758818</v>
      </c>
      <c r="W456" s="318">
        <f t="shared" si="211"/>
        <v>-5.61520239758506</v>
      </c>
      <c r="X456" s="319">
        <f t="shared" si="212"/>
        <v>-146.771582765476</v>
      </c>
      <c r="Y456" s="332">
        <f t="shared" si="213"/>
        <v>33.2284172345242</v>
      </c>
      <c r="AA456" s="22">
        <f t="shared" si="214"/>
        <v>49833.75</v>
      </c>
      <c r="AB456" s="22">
        <f t="shared" si="215"/>
        <v>2483402639.0625</v>
      </c>
      <c r="AD456" s="331">
        <f t="shared" si="216"/>
        <v>27.3430046831042</v>
      </c>
      <c r="AE456" s="332">
        <f t="shared" si="217"/>
        <v>-15.5866509169156</v>
      </c>
      <c r="AG456" s="331">
        <f t="shared" si="218"/>
        <v>-5.5453591982961</v>
      </c>
      <c r="AH456" s="332">
        <f t="shared" si="219"/>
        <v>-63.4117349278282</v>
      </c>
      <c r="AJ456" s="22">
        <f t="shared" si="220"/>
        <v>0</v>
      </c>
      <c r="AK456" s="22">
        <f t="shared" si="232"/>
        <v>0</v>
      </c>
      <c r="AM456" s="22" t="str">
        <f t="shared" si="224"/>
        <v>0.374179591377297+0.779967189150488i</v>
      </c>
      <c r="AN456" s="22" t="str">
        <f t="shared" si="225"/>
        <v>0.8946133869825i</v>
      </c>
      <c r="AO456" s="22" t="str">
        <f t="shared" si="226"/>
        <v>0.871848331916081-0.418258430761238i</v>
      </c>
      <c r="AP456" s="22" t="str">
        <f t="shared" si="227"/>
        <v>0.104303401437117-0.129994531525081i</v>
      </c>
      <c r="AQ456" s="22" t="str">
        <f t="shared" si="228"/>
        <v>0.895696598562883+0.129994531525081i</v>
      </c>
      <c r="AR456" s="22" t="str">
        <f t="shared" si="229"/>
        <v>0.910817508751132-0.132189064405197i</v>
      </c>
    </row>
    <row r="457" spans="7:44">
      <c r="G457" s="257">
        <v>50119</v>
      </c>
      <c r="H457" s="256">
        <f t="shared" si="221"/>
        <v>50.119</v>
      </c>
      <c r="I457" s="298">
        <f t="shared" si="201"/>
        <v>48.9082778715063</v>
      </c>
      <c r="J457" s="299">
        <f t="shared" si="202"/>
        <v>1.5503484653538</v>
      </c>
      <c r="K457" s="299">
        <f t="shared" si="203"/>
        <v>1.00036665011628</v>
      </c>
      <c r="L457" s="300">
        <f t="shared" si="204"/>
        <v>0.027075380861528</v>
      </c>
      <c r="M457" s="299">
        <f t="shared" si="205"/>
        <v>1.01566276428233</v>
      </c>
      <c r="N457" s="300">
        <f t="shared" si="206"/>
        <v>-0.175846664861709</v>
      </c>
      <c r="O457" s="298">
        <f t="shared" si="207"/>
        <v>90693.2056521147</v>
      </c>
      <c r="P457" s="301">
        <f t="shared" si="208"/>
        <v>1.5707853006106</v>
      </c>
      <c r="Q457" s="320">
        <f t="shared" si="230"/>
        <v>37.8020647916203</v>
      </c>
      <c r="R457" s="321">
        <f t="shared" si="231"/>
        <v>1.54433965903741</v>
      </c>
      <c r="S457" s="298">
        <f t="shared" si="209"/>
        <v>1.03124511802233</v>
      </c>
      <c r="T457" s="301">
        <f t="shared" si="210"/>
        <v>0.246790142751396</v>
      </c>
      <c r="U457" s="316">
        <f t="shared" si="222"/>
        <v>0.888905265444215</v>
      </c>
      <c r="V457" s="317">
        <f t="shared" si="223"/>
        <v>-0.594469019158188</v>
      </c>
      <c r="W457" s="318">
        <f t="shared" si="211"/>
        <v>-5.67662877837696</v>
      </c>
      <c r="X457" s="319">
        <f t="shared" si="212"/>
        <v>-147.068213796151</v>
      </c>
      <c r="Y457" s="332">
        <f t="shared" si="213"/>
        <v>32.9317862038493</v>
      </c>
      <c r="AA457" s="22">
        <f t="shared" si="214"/>
        <v>50119</v>
      </c>
      <c r="AB457" s="22">
        <f t="shared" si="215"/>
        <v>2511914161</v>
      </c>
      <c r="AD457" s="331">
        <f t="shared" si="216"/>
        <v>27.3400269437848</v>
      </c>
      <c r="AE457" s="332">
        <f t="shared" si="217"/>
        <v>-15.6552572716341</v>
      </c>
      <c r="AG457" s="331">
        <f t="shared" si="218"/>
        <v>-5.58293191656248</v>
      </c>
      <c r="AH457" s="332">
        <f t="shared" si="219"/>
        <v>-63.291824748585</v>
      </c>
      <c r="AJ457" s="22">
        <f t="shared" si="220"/>
        <v>0</v>
      </c>
      <c r="AK457" s="22">
        <f t="shared" si="232"/>
        <v>0</v>
      </c>
      <c r="AM457" s="22" t="str">
        <f t="shared" si="224"/>
        <v>0.378181832085287+0.783161647459315i</v>
      </c>
      <c r="AN457" s="22" t="str">
        <f t="shared" si="225"/>
        <v>0.899734183002i</v>
      </c>
      <c r="AO457" s="22" t="str">
        <f t="shared" si="226"/>
        <v>0.870436693697981-0.420326179920683i</v>
      </c>
      <c r="AP457" s="22" t="str">
        <f t="shared" si="227"/>
        <v>0.103636361319119-0.130526941243219i</v>
      </c>
      <c r="AQ457" s="22" t="str">
        <f t="shared" si="228"/>
        <v>0.896363638680881+0.130526941243219i</v>
      </c>
      <c r="AR457" s="22" t="str">
        <f t="shared" si="229"/>
        <v>0.910013785221824-0.132514652255385i</v>
      </c>
    </row>
    <row r="458" spans="7:44">
      <c r="G458" s="257">
        <v>50410.75</v>
      </c>
      <c r="H458" s="256">
        <f t="shared" si="221"/>
        <v>50.41075</v>
      </c>
      <c r="I458" s="298">
        <f t="shared" si="201"/>
        <v>49.192861404214</v>
      </c>
      <c r="J458" s="299">
        <f t="shared" si="202"/>
        <v>1.55046677375484</v>
      </c>
      <c r="K458" s="299">
        <f t="shared" si="203"/>
        <v>1.00037093039427</v>
      </c>
      <c r="L458" s="300">
        <f t="shared" si="204"/>
        <v>0.0272329129089571</v>
      </c>
      <c r="M458" s="299">
        <f t="shared" si="205"/>
        <v>1.01584421915649</v>
      </c>
      <c r="N458" s="300">
        <f t="shared" si="206"/>
        <v>-0.176849143295603</v>
      </c>
      <c r="O458" s="298">
        <f t="shared" si="207"/>
        <v>91221.14401373</v>
      </c>
      <c r="P458" s="301">
        <f t="shared" si="208"/>
        <v>1.57078536442416</v>
      </c>
      <c r="Q458" s="320">
        <f t="shared" si="230"/>
        <v>38.0219625726681</v>
      </c>
      <c r="R458" s="321">
        <f t="shared" si="231"/>
        <v>1.54449270501796</v>
      </c>
      <c r="S458" s="298">
        <f t="shared" si="209"/>
        <v>1.03160435219187</v>
      </c>
      <c r="T458" s="301">
        <f t="shared" si="210"/>
        <v>0.248168639626142</v>
      </c>
      <c r="U458" s="316">
        <f t="shared" si="222"/>
        <v>0.887809471214607</v>
      </c>
      <c r="V458" s="317">
        <f t="shared" si="223"/>
        <v>-0.597569398813306</v>
      </c>
      <c r="W458" s="318">
        <f t="shared" si="211"/>
        <v>-5.73920861771586</v>
      </c>
      <c r="X458" s="319">
        <f t="shared" si="212"/>
        <v>-147.371259720029</v>
      </c>
      <c r="Y458" s="332">
        <f t="shared" si="213"/>
        <v>32.628740279971</v>
      </c>
      <c r="AA458" s="22">
        <f t="shared" si="214"/>
        <v>50410.75</v>
      </c>
      <c r="AB458" s="22">
        <f t="shared" si="215"/>
        <v>2541243715.5625</v>
      </c>
      <c r="AD458" s="331">
        <f t="shared" si="216"/>
        <v>27.3369666652545</v>
      </c>
      <c r="AE458" s="332">
        <f t="shared" si="217"/>
        <v>-15.7254740922002</v>
      </c>
      <c r="AG458" s="331">
        <f t="shared" si="218"/>
        <v>-5.62102327901188</v>
      </c>
      <c r="AH458" s="332">
        <f t="shared" si="219"/>
        <v>-63.1693765132384</v>
      </c>
      <c r="AJ458" s="22">
        <f t="shared" si="220"/>
        <v>0</v>
      </c>
      <c r="AK458" s="22">
        <f t="shared" si="232"/>
        <v>0</v>
      </c>
      <c r="AM458" s="22" t="str">
        <f t="shared" si="224"/>
        <v>0.382292138332831+0.786407653596132i</v>
      </c>
      <c r="AN458" s="22" t="str">
        <f t="shared" si="225"/>
        <v>0.9049716667485i</v>
      </c>
      <c r="AO458" s="22" t="str">
        <f t="shared" si="226"/>
        <v>0.868985938998112-0.422435477683384i</v>
      </c>
      <c r="AP458" s="22" t="str">
        <f t="shared" si="227"/>
        <v>0.102951310277861-0.131067942266022i</v>
      </c>
      <c r="AQ458" s="22" t="str">
        <f t="shared" si="228"/>
        <v>0.897048689722139+0.131067942266022i</v>
      </c>
      <c r="AR458" s="22" t="str">
        <f t="shared" si="229"/>
        <v>0.909191076007485-0.132842068467703i</v>
      </c>
    </row>
    <row r="459" spans="7:44">
      <c r="G459" s="257">
        <v>50702.5</v>
      </c>
      <c r="H459" s="256">
        <f t="shared" si="221"/>
        <v>50.7025</v>
      </c>
      <c r="I459" s="298">
        <f t="shared" si="201"/>
        <v>49.4774456175475</v>
      </c>
      <c r="J459" s="299">
        <f t="shared" si="202"/>
        <v>1.55058372118573</v>
      </c>
      <c r="K459" s="299">
        <f t="shared" si="203"/>
        <v>1.0003752354976</v>
      </c>
      <c r="L459" s="300">
        <f t="shared" si="204"/>
        <v>0.0273904436044208</v>
      </c>
      <c r="M459" s="299">
        <f t="shared" si="205"/>
        <v>1.01602669455126</v>
      </c>
      <c r="N459" s="300">
        <f t="shared" si="206"/>
        <v>-0.177851262651955</v>
      </c>
      <c r="O459" s="298">
        <f t="shared" si="207"/>
        <v>91749.0823753456</v>
      </c>
      <c r="P459" s="301">
        <f t="shared" si="208"/>
        <v>1.57078542750333</v>
      </c>
      <c r="Q459" s="320">
        <f t="shared" si="230"/>
        <v>38.2418612340649</v>
      </c>
      <c r="R459" s="321">
        <f t="shared" si="231"/>
        <v>1.54464399090952</v>
      </c>
      <c r="S459" s="298">
        <f t="shared" si="209"/>
        <v>1.03196554530437</v>
      </c>
      <c r="T459" s="301">
        <f t="shared" si="210"/>
        <v>0.249546174155401</v>
      </c>
      <c r="U459" s="316">
        <f t="shared" si="222"/>
        <v>0.886711105391418</v>
      </c>
      <c r="V459" s="317">
        <f t="shared" si="223"/>
        <v>-0.600664603665492</v>
      </c>
      <c r="W459" s="318">
        <f t="shared" si="211"/>
        <v>-5.80154247332148</v>
      </c>
      <c r="X459" s="319">
        <f t="shared" si="212"/>
        <v>-147.673956340786</v>
      </c>
      <c r="Y459" s="332">
        <f t="shared" si="213"/>
        <v>32.326043659214</v>
      </c>
      <c r="AA459" s="22">
        <f t="shared" si="214"/>
        <v>50702.5</v>
      </c>
      <c r="AB459" s="22">
        <f t="shared" si="215"/>
        <v>2570743506.25</v>
      </c>
      <c r="AD459" s="331">
        <f t="shared" si="216"/>
        <v>27.3338915553603</v>
      </c>
      <c r="AE459" s="332">
        <f t="shared" si="217"/>
        <v>-15.7957365780241</v>
      </c>
      <c r="AG459" s="331">
        <f t="shared" si="218"/>
        <v>-5.6587769812393</v>
      </c>
      <c r="AH459" s="332">
        <f t="shared" si="219"/>
        <v>-63.0471262982485</v>
      </c>
      <c r="AJ459" s="22">
        <f t="shared" si="220"/>
        <v>0</v>
      </c>
      <c r="AK459" s="22">
        <f t="shared" si="232"/>
        <v>0</v>
      </c>
      <c r="AM459" s="22" t="str">
        <f t="shared" si="224"/>
        <v>0.38641938903177+0.789632087648326i</v>
      </c>
      <c r="AN459" s="22" t="str">
        <f t="shared" si="225"/>
        <v>0.910209150495i</v>
      </c>
      <c r="AO459" s="22" t="str">
        <f t="shared" si="226"/>
        <v>0.867528179890193-0.424539116994839i</v>
      </c>
      <c r="AP459" s="22" t="str">
        <f t="shared" si="227"/>
        <v>0.102263435161372-0.131605347941388i</v>
      </c>
      <c r="AQ459" s="22" t="str">
        <f t="shared" si="228"/>
        <v>0.897736564838628+0.131605347941388i</v>
      </c>
      <c r="AR459" s="22" t="str">
        <f t="shared" si="229"/>
        <v>0.90836773058938-0.133163843297876i</v>
      </c>
    </row>
    <row r="460" spans="7:44">
      <c r="G460" s="257">
        <v>50994.25</v>
      </c>
      <c r="H460" s="256">
        <f t="shared" si="221"/>
        <v>50.99425</v>
      </c>
      <c r="I460" s="298">
        <f t="shared" si="201"/>
        <v>49.7620304998294</v>
      </c>
      <c r="J460" s="299">
        <f t="shared" si="202"/>
        <v>1.55069933099307</v>
      </c>
      <c r="K460" s="299">
        <f t="shared" si="203"/>
        <v>1.00037956542594</v>
      </c>
      <c r="L460" s="300">
        <f t="shared" si="204"/>
        <v>0.0275479729401181</v>
      </c>
      <c r="M460" s="299">
        <f t="shared" si="205"/>
        <v>1.01621018991692</v>
      </c>
      <c r="N460" s="300">
        <f t="shared" si="206"/>
        <v>-0.178853021112</v>
      </c>
      <c r="O460" s="298">
        <f t="shared" si="207"/>
        <v>92277.0207369617</v>
      </c>
      <c r="P460" s="301">
        <f t="shared" si="208"/>
        <v>1.57078548986072</v>
      </c>
      <c r="Q460" s="320">
        <f t="shared" si="230"/>
        <v>38.4617607607111</v>
      </c>
      <c r="R460" s="321">
        <f t="shared" si="231"/>
        <v>1.54479354689429</v>
      </c>
      <c r="S460" s="298">
        <f t="shared" si="209"/>
        <v>1.03232869530363</v>
      </c>
      <c r="T460" s="301">
        <f t="shared" si="210"/>
        <v>0.250922742124026</v>
      </c>
      <c r="U460" s="316">
        <f t="shared" si="222"/>
        <v>0.885610211216565</v>
      </c>
      <c r="V460" s="317">
        <f t="shared" si="223"/>
        <v>-0.603754629848626</v>
      </c>
      <c r="W460" s="318">
        <f t="shared" si="211"/>
        <v>-5.86363336710458</v>
      </c>
      <c r="X460" s="319">
        <f t="shared" si="212"/>
        <v>-147.97630270071</v>
      </c>
      <c r="Y460" s="332">
        <f t="shared" si="213"/>
        <v>32.0236972992899</v>
      </c>
      <c r="AA460" s="22">
        <f t="shared" si="214"/>
        <v>50994.25</v>
      </c>
      <c r="AB460" s="22">
        <f t="shared" si="215"/>
        <v>2600413533.0625</v>
      </c>
      <c r="AD460" s="331">
        <f t="shared" si="216"/>
        <v>27.330801634213</v>
      </c>
      <c r="AE460" s="332">
        <f t="shared" si="217"/>
        <v>-15.8660427590067</v>
      </c>
      <c r="AG460" s="331">
        <f t="shared" si="218"/>
        <v>-5.69619666058214</v>
      </c>
      <c r="AH460" s="332">
        <f t="shared" si="219"/>
        <v>-62.9250755590285</v>
      </c>
      <c r="AJ460" s="22">
        <f t="shared" si="220"/>
        <v>0</v>
      </c>
      <c r="AK460" s="22">
        <f t="shared" si="232"/>
        <v>0</v>
      </c>
      <c r="AM460" s="22" t="str">
        <f t="shared" si="224"/>
        <v>0.390563470966776+0.79283486116589i</v>
      </c>
      <c r="AN460" s="22" t="str">
        <f t="shared" si="225"/>
        <v>0.9154466342415i</v>
      </c>
      <c r="AO460" s="22" t="str">
        <f t="shared" si="226"/>
        <v>0.866063439976268-0.426637071302775i</v>
      </c>
      <c r="AP460" s="22" t="str">
        <f t="shared" si="227"/>
        <v>0.101572754838871-0.132139143527648i</v>
      </c>
      <c r="AQ460" s="22" t="str">
        <f t="shared" si="228"/>
        <v>0.898427245161129+0.132139143527648i</v>
      </c>
      <c r="AR460" s="22" t="str">
        <f t="shared" si="229"/>
        <v>0.9075437915418-0.133479989586313i</v>
      </c>
    </row>
    <row r="461" spans="7:44">
      <c r="G461" s="257">
        <v>51286</v>
      </c>
      <c r="H461" s="256">
        <f t="shared" si="221"/>
        <v>51.286</v>
      </c>
      <c r="I461" s="298">
        <f t="shared" ref="I461:I524" si="233">SQRT(1+(G461/pole1)^2)</f>
        <v>50.046616039648</v>
      </c>
      <c r="J461" s="299">
        <f t="shared" ref="J461:J524" si="234">ATAN(G461/pole1)</f>
        <v>1.55081362599257</v>
      </c>
      <c r="K461" s="299">
        <f t="shared" ref="K461:K524" si="235">SQRT(1+(G461/Zero1)^2)</f>
        <v>1.00038392017898</v>
      </c>
      <c r="L461" s="300">
        <f t="shared" ref="L461:L524" si="236">ATAN(G461/Zero1)</f>
        <v>0.0277055009082483</v>
      </c>
      <c r="M461" s="299">
        <f t="shared" ref="M461:M524" si="237">SQRT(1+(G461/z_RHP)^2)</f>
        <v>1.01639470470102</v>
      </c>
      <c r="N461" s="300">
        <f t="shared" ref="N461:N524" si="238">-ATAN(G461/z_RHP)</f>
        <v>-0.179854416861177</v>
      </c>
      <c r="O461" s="298">
        <f t="shared" ref="O461:O524" si="239">SQRT(1+(G461/Pole2)^2)</f>
        <v>92804.9590985781</v>
      </c>
      <c r="P461" s="301">
        <f t="shared" ref="P461:P524" si="240">ATAN(G461/Pole2)</f>
        <v>1.57078555150864</v>
      </c>
      <c r="Q461" s="320">
        <f t="shared" si="230"/>
        <v>38.6816611378501</v>
      </c>
      <c r="R461" s="321">
        <f t="shared" si="231"/>
        <v>1.54494140246842</v>
      </c>
      <c r="S461" s="298">
        <f t="shared" ref="S461:S524" si="241">SQRT(1+(G461/pole4)^2)</f>
        <v>1.03269380012521</v>
      </c>
      <c r="T461" s="301">
        <f t="shared" ref="T461:T524" si="242">ATAN(G461/pole4)</f>
        <v>0.252298339337436</v>
      </c>
      <c r="U461" s="316">
        <f t="shared" si="222"/>
        <v>0.884506831719621</v>
      </c>
      <c r="V461" s="317">
        <f t="shared" si="223"/>
        <v>-0.606839473763276</v>
      </c>
      <c r="W461" s="318">
        <f t="shared" ref="W461:W524" si="243">20*LOG10(((K461*Q461*M461*U461)/(I461*O461*S461))*Adc)</f>
        <v>-5.92548426438249</v>
      </c>
      <c r="X461" s="319">
        <f t="shared" ref="X461:X524" si="244">((L461+R461+N461+V461)-(J461+P461+T461))*radconv</f>
        <v>-148.278297867662</v>
      </c>
      <c r="Y461" s="332">
        <f t="shared" ref="Y461:Y524" si="245">IF(X461&gt;0,X461,X461+180)</f>
        <v>31.721702132338</v>
      </c>
      <c r="AA461" s="22">
        <f t="shared" ref="AA461:AA524" si="246">IF(W461&lt;0,G461,1000000000)</f>
        <v>51286</v>
      </c>
      <c r="AB461" s="22">
        <f t="shared" ref="AB461:AB524" si="247">G461^2</f>
        <v>2630253796</v>
      </c>
      <c r="AD461" s="331">
        <f t="shared" ref="AD461:AD524" si="248">20*LOG10((Q461/(O461*S461))*Aea)</f>
        <v>27.3276969224289</v>
      </c>
      <c r="AE461" s="332">
        <f t="shared" ref="AE461:AE524" si="249">(R461-(P461+T461))*radconv</f>
        <v>-15.9363907055165</v>
      </c>
      <c r="AG461" s="331">
        <f t="shared" ref="AG461:AG524" si="250">20*LOG10((K461*M461/(I461*U461))*Acs*Am)</f>
        <v>-5.73328589673712</v>
      </c>
      <c r="AH461" s="332">
        <f t="shared" ref="AH461:AH524" si="251">(L461+N461-(J461+V461))*radconv</f>
        <v>-62.8032257055351</v>
      </c>
      <c r="AJ461" s="22">
        <f t="shared" ref="AJ461:AJ524" si="252">SUM((W462&lt;0)*(W461&gt;0))*G461</f>
        <v>0</v>
      </c>
      <c r="AK461" s="22">
        <f t="shared" si="232"/>
        <v>0</v>
      </c>
      <c r="AM461" s="22" t="str">
        <f t="shared" si="224"/>
        <v>0.394724270460818+0.796015886292988i</v>
      </c>
      <c r="AN461" s="22" t="str">
        <f t="shared" si="225"/>
        <v>0.920684117988i</v>
      </c>
      <c r="AO461" s="22" t="str">
        <f t="shared" si="226"/>
        <v>0.864591742966683-0.42872931415763i</v>
      </c>
      <c r="AP461" s="22" t="str">
        <f t="shared" si="227"/>
        <v>0.10087928825653-0.132669314382165i</v>
      </c>
      <c r="AQ461" s="22" t="str">
        <f t="shared" si="228"/>
        <v>0.89912071174347+0.132669314382165i</v>
      </c>
      <c r="AR461" s="22" t="str">
        <f t="shared" si="229"/>
        <v>0.906719301119837-0.133790520500173i</v>
      </c>
    </row>
    <row r="462" spans="7:44">
      <c r="G462" s="257">
        <v>51584.75</v>
      </c>
      <c r="H462" s="256">
        <f t="shared" ref="H462:H525" si="253">G462/1000</f>
        <v>51.58475</v>
      </c>
      <c r="I462" s="298">
        <f t="shared" si="233"/>
        <v>50.3380303512774</v>
      </c>
      <c r="J462" s="299">
        <f t="shared" si="234"/>
        <v>1.55092932407316</v>
      </c>
      <c r="K462" s="299">
        <f t="shared" si="235"/>
        <v>1.00038840514118</v>
      </c>
      <c r="L462" s="300">
        <f t="shared" si="236"/>
        <v>0.0278668070424034</v>
      </c>
      <c r="M462" s="299">
        <f t="shared" si="237"/>
        <v>1.01658470239567</v>
      </c>
      <c r="N462" s="300">
        <f t="shared" si="238"/>
        <v>-0.180879461483467</v>
      </c>
      <c r="O462" s="298">
        <f t="shared" si="239"/>
        <v>93345.5643617589</v>
      </c>
      <c r="P462" s="301">
        <f t="shared" si="240"/>
        <v>1.57078561391307</v>
      </c>
      <c r="Q462" s="320">
        <f t="shared" si="230"/>
        <v>38.9068384828659</v>
      </c>
      <c r="R462" s="321">
        <f t="shared" si="231"/>
        <v>1.54509107357561</v>
      </c>
      <c r="S462" s="298">
        <f t="shared" si="241"/>
        <v>1.03306968853309</v>
      </c>
      <c r="T462" s="301">
        <f t="shared" si="242"/>
        <v>0.253705931122299</v>
      </c>
      <c r="U462" s="316">
        <f t="shared" ref="U462:U525" si="254">IMABS(IMPRODUCT(AO462,AR462))</f>
        <v>0.883374447916636</v>
      </c>
      <c r="V462" s="317">
        <f t="shared" ref="V462:V525" si="255">IMARGUMENT(IMPRODUCT(AO462,AR462))</f>
        <v>-0.609992959034465</v>
      </c>
      <c r="W462" s="318">
        <f t="shared" si="243"/>
        <v>-5.98857349559698</v>
      </c>
      <c r="X462" s="319">
        <f t="shared" si="244"/>
        <v>-148.587173967803</v>
      </c>
      <c r="Y462" s="332">
        <f t="shared" si="245"/>
        <v>31.4128260321972</v>
      </c>
      <c r="AA462" s="22">
        <f t="shared" si="246"/>
        <v>51584.75</v>
      </c>
      <c r="AB462" s="22">
        <f t="shared" si="247"/>
        <v>2660986432.5625</v>
      </c>
      <c r="AD462" s="331">
        <f t="shared" si="248"/>
        <v>27.3245024136908</v>
      </c>
      <c r="AE462" s="332">
        <f t="shared" si="249"/>
        <v>-16.008467826902</v>
      </c>
      <c r="AG462" s="331">
        <f t="shared" si="250"/>
        <v>-5.7709262694468</v>
      </c>
      <c r="AH462" s="332">
        <f t="shared" si="251"/>
        <v>-62.6786618902856</v>
      </c>
      <c r="AJ462" s="22">
        <f t="shared" si="252"/>
        <v>0</v>
      </c>
      <c r="AK462" s="22">
        <f t="shared" si="232"/>
        <v>0</v>
      </c>
      <c r="AM462" s="22" t="str">
        <f t="shared" ref="AM462:AM525" si="256">IMSUB(1,IMEXP(COMPLEX(0,-2*Pi*G462*Tsw)))</f>
        <v>0.399002105425867+0.79925060570353i</v>
      </c>
      <c r="AN462" s="22" t="str">
        <f t="shared" ref="AN462:AN525" si="257">COMPLEX(0,2*Pi*G462*Tsw)</f>
        <v>0.9260472654405i</v>
      </c>
      <c r="AO462" s="22" t="str">
        <f t="shared" ref="AO462:AO525" si="258">IMDIV(AM462,AN462)</f>
        <v>0.863077550715885-0.430865810327803i</v>
      </c>
      <c r="AP462" s="22" t="str">
        <f t="shared" ref="AP462:AP525" si="259">IMDIV(IMEXP(COMPLEX(0,-2*Pi*G462*Tsw)),6)</f>
        <v>0.100166315762356-0.133208434283922i</v>
      </c>
      <c r="AQ462" s="22" t="str">
        <f t="shared" ref="AQ462:AQ525" si="260">IMSUB(1,AP462)</f>
        <v>0.899833684237644+0.133208434283922i</v>
      </c>
      <c r="AR462" s="22" t="str">
        <f t="shared" ref="AR462:AR525" si="261">IMDIV(0.833,AQ462)</f>
        <v>0.905874501003734-0.134102697031919i</v>
      </c>
    </row>
    <row r="463" spans="7:44">
      <c r="G463" s="257">
        <v>51883.5</v>
      </c>
      <c r="H463" s="256">
        <f t="shared" si="253"/>
        <v>51.8835</v>
      </c>
      <c r="I463" s="298">
        <f t="shared" si="233"/>
        <v>50.6294453289771</v>
      </c>
      <c r="J463" s="299">
        <f t="shared" si="234"/>
        <v>1.55104369027603</v>
      </c>
      <c r="K463" s="299">
        <f t="shared" si="235"/>
        <v>1.00039291613292</v>
      </c>
      <c r="L463" s="300">
        <f t="shared" si="236"/>
        <v>0.028028111726026</v>
      </c>
      <c r="M463" s="299">
        <f t="shared" si="237"/>
        <v>1.01677576783277</v>
      </c>
      <c r="N463" s="300">
        <f t="shared" si="238"/>
        <v>-0.181904121943522</v>
      </c>
      <c r="O463" s="298">
        <f t="shared" si="239"/>
        <v>93886.16962494</v>
      </c>
      <c r="P463" s="301">
        <f t="shared" si="240"/>
        <v>1.57078567559884</v>
      </c>
      <c r="Q463" s="320">
        <f t="shared" si="230"/>
        <v>39.1320166894204</v>
      </c>
      <c r="R463" s="321">
        <f t="shared" si="231"/>
        <v>1.54523902217473</v>
      </c>
      <c r="S463" s="298">
        <f t="shared" si="241"/>
        <v>1.03344762228574</v>
      </c>
      <c r="T463" s="301">
        <f t="shared" si="242"/>
        <v>0.255112496174354</v>
      </c>
      <c r="U463" s="316">
        <f t="shared" si="254"/>
        <v>0.882239548727673</v>
      </c>
      <c r="V463" s="317">
        <f t="shared" si="255"/>
        <v>-0.613141003585215</v>
      </c>
      <c r="W463" s="318">
        <f t="shared" si="243"/>
        <v>-6.05141719266451</v>
      </c>
      <c r="X463" s="319">
        <f t="shared" si="244"/>
        <v>-148.895679922697</v>
      </c>
      <c r="Y463" s="332">
        <f t="shared" si="245"/>
        <v>31.1043200773032</v>
      </c>
      <c r="AA463" s="22">
        <f t="shared" si="246"/>
        <v>51883.5</v>
      </c>
      <c r="AB463" s="22">
        <f t="shared" si="247"/>
        <v>2691897572.25</v>
      </c>
      <c r="AD463" s="331">
        <f t="shared" si="248"/>
        <v>27.3212924413688</v>
      </c>
      <c r="AE463" s="332">
        <f t="shared" si="249"/>
        <v>-16.0805847720972</v>
      </c>
      <c r="AG463" s="331">
        <f t="shared" si="250"/>
        <v>-5.80822756936558</v>
      </c>
      <c r="AH463" s="332">
        <f t="shared" si="251"/>
        <v>-62.5543115666177</v>
      </c>
      <c r="AJ463" s="22">
        <f t="shared" si="252"/>
        <v>0</v>
      </c>
      <c r="AK463" s="22">
        <f t="shared" si="232"/>
        <v>0</v>
      </c>
      <c r="AM463" s="22" t="str">
        <f t="shared" si="256"/>
        <v>0.40329722706263+0.802462336043788i</v>
      </c>
      <c r="AN463" s="22" t="str">
        <f t="shared" si="257"/>
        <v>0.931410412893i</v>
      </c>
      <c r="AO463" s="22" t="str">
        <f t="shared" si="258"/>
        <v>0.861556114185267-0.432996261884137i</v>
      </c>
      <c r="AP463" s="22" t="str">
        <f t="shared" si="259"/>
        <v>0.0994504621562283-0.133743722673965i</v>
      </c>
      <c r="AQ463" s="22" t="str">
        <f t="shared" si="260"/>
        <v>0.900549537843772+0.133743722673965i</v>
      </c>
      <c r="AR463" s="22" t="str">
        <f t="shared" si="261"/>
        <v>0.905029211381214-0.134409014465348i</v>
      </c>
    </row>
    <row r="464" spans="7:44">
      <c r="G464" s="257">
        <v>52182.25</v>
      </c>
      <c r="H464" s="256">
        <f t="shared" si="253"/>
        <v>52.18225</v>
      </c>
      <c r="I464" s="298">
        <f t="shared" si="233"/>
        <v>50.9208609613115</v>
      </c>
      <c r="J464" s="299">
        <f t="shared" si="234"/>
        <v>1.55115674746482</v>
      </c>
      <c r="K464" s="299">
        <f t="shared" si="235"/>
        <v>1.00039745315384</v>
      </c>
      <c r="L464" s="300">
        <f t="shared" si="236"/>
        <v>0.0281894149507416</v>
      </c>
      <c r="M464" s="299">
        <f t="shared" si="237"/>
        <v>1.0169679004105</v>
      </c>
      <c r="N464" s="300">
        <f t="shared" si="238"/>
        <v>-0.182928396306837</v>
      </c>
      <c r="O464" s="298">
        <f t="shared" si="239"/>
        <v>94426.7748881215</v>
      </c>
      <c r="P464" s="301">
        <f t="shared" si="240"/>
        <v>1.57078573657828</v>
      </c>
      <c r="Q464" s="320">
        <f t="shared" si="230"/>
        <v>39.357195742726</v>
      </c>
      <c r="R464" s="321">
        <f t="shared" si="231"/>
        <v>1.54538527782483</v>
      </c>
      <c r="S464" s="298">
        <f t="shared" si="241"/>
        <v>1.03382759914002</v>
      </c>
      <c r="T464" s="301">
        <f t="shared" si="242"/>
        <v>0.256518030057116</v>
      </c>
      <c r="U464" s="316">
        <f t="shared" si="254"/>
        <v>0.881102179646612</v>
      </c>
      <c r="V464" s="317">
        <f t="shared" si="255"/>
        <v>-0.616283604406773</v>
      </c>
      <c r="W464" s="318">
        <f t="shared" si="243"/>
        <v>-6.11401836355473</v>
      </c>
      <c r="X464" s="319">
        <f t="shared" si="244"/>
        <v>-149.203814812492</v>
      </c>
      <c r="Y464" s="332">
        <f t="shared" si="245"/>
        <v>30.7961851875081</v>
      </c>
      <c r="AA464" s="22">
        <f t="shared" si="246"/>
        <v>52182.25</v>
      </c>
      <c r="AB464" s="22">
        <f t="shared" si="247"/>
        <v>2722987215.0625</v>
      </c>
      <c r="AD464" s="331">
        <f t="shared" si="248"/>
        <v>27.3180670291536</v>
      </c>
      <c r="AE464" s="332">
        <f t="shared" si="249"/>
        <v>-16.1527395940091</v>
      </c>
      <c r="AG464" s="331">
        <f t="shared" si="250"/>
        <v>-5.84519346039695</v>
      </c>
      <c r="AH464" s="332">
        <f t="shared" si="251"/>
        <v>-62.4301761065508</v>
      </c>
      <c r="AJ464" s="22">
        <f t="shared" si="252"/>
        <v>0</v>
      </c>
      <c r="AK464" s="22">
        <f t="shared" si="232"/>
        <v>0</v>
      </c>
      <c r="AM464" s="22" t="str">
        <f t="shared" si="256"/>
        <v>0.407609511829315+0.805650984933859i</v>
      </c>
      <c r="AN464" s="22" t="str">
        <f t="shared" si="257"/>
        <v>0.9367735603455i</v>
      </c>
      <c r="AO464" s="22" t="str">
        <f t="shared" si="258"/>
        <v>0.860027459183113-0.435120640765075i</v>
      </c>
      <c r="AP464" s="22" t="str">
        <f t="shared" si="259"/>
        <v>0.0987317480284475-0.134275164155643i</v>
      </c>
      <c r="AQ464" s="22" t="str">
        <f t="shared" si="260"/>
        <v>0.901268251971552+0.134275164155643i</v>
      </c>
      <c r="AR464" s="22" t="str">
        <f t="shared" si="261"/>
        <v>0.904183476570233-0.134709487966209i</v>
      </c>
    </row>
    <row r="465" spans="7:44">
      <c r="G465" s="257">
        <v>52481</v>
      </c>
      <c r="H465" s="256">
        <f t="shared" si="253"/>
        <v>52.481</v>
      </c>
      <c r="I465" s="298">
        <f t="shared" si="233"/>
        <v>51.2122772371054</v>
      </c>
      <c r="J465" s="299">
        <f t="shared" si="234"/>
        <v>1.55126851798289</v>
      </c>
      <c r="K465" s="299">
        <f t="shared" si="235"/>
        <v>1.0004020162036</v>
      </c>
      <c r="L465" s="300">
        <f t="shared" si="236"/>
        <v>0.0283507167081763</v>
      </c>
      <c r="M465" s="299">
        <f t="shared" si="237"/>
        <v>1.01716109952415</v>
      </c>
      <c r="N465" s="300">
        <f t="shared" si="238"/>
        <v>-0.183952282643603</v>
      </c>
      <c r="O465" s="298">
        <f t="shared" si="239"/>
        <v>94967.3801513034</v>
      </c>
      <c r="P465" s="301">
        <f t="shared" si="240"/>
        <v>1.57078579686348</v>
      </c>
      <c r="Q465" s="320">
        <f t="shared" si="230"/>
        <v>39.5823756283314</v>
      </c>
      <c r="R465" s="321">
        <f t="shared" si="231"/>
        <v>1.5455298694126</v>
      </c>
      <c r="S465" s="298">
        <f t="shared" si="241"/>
        <v>1.03420961684397</v>
      </c>
      <c r="T465" s="301">
        <f t="shared" si="242"/>
        <v>0.257922528356899</v>
      </c>
      <c r="U465" s="316">
        <f t="shared" si="254"/>
        <v>0.879962385923532</v>
      </c>
      <c r="V465" s="317">
        <f t="shared" si="255"/>
        <v>-0.619420758774562</v>
      </c>
      <c r="W465" s="318">
        <f t="shared" si="243"/>
        <v>-6.17637995964553</v>
      </c>
      <c r="X465" s="319">
        <f t="shared" si="244"/>
        <v>-149.511577743893</v>
      </c>
      <c r="Y465" s="332">
        <f t="shared" si="245"/>
        <v>30.4884222561068</v>
      </c>
      <c r="AA465" s="22">
        <f t="shared" si="246"/>
        <v>52481</v>
      </c>
      <c r="AB465" s="22">
        <f t="shared" si="247"/>
        <v>2754255361</v>
      </c>
      <c r="AD465" s="331">
        <f t="shared" si="248"/>
        <v>27.3148262012312</v>
      </c>
      <c r="AE465" s="332">
        <f t="shared" si="249"/>
        <v>-16.224930385357</v>
      </c>
      <c r="AG465" s="331">
        <f t="shared" si="250"/>
        <v>-5.88182754848616</v>
      </c>
      <c r="AH465" s="332">
        <f t="shared" si="251"/>
        <v>-62.306256836282</v>
      </c>
      <c r="AJ465" s="22">
        <f t="shared" si="252"/>
        <v>0</v>
      </c>
      <c r="AK465" s="22">
        <f t="shared" si="232"/>
        <v>0</v>
      </c>
      <c r="AM465" s="22" t="str">
        <f t="shared" si="256"/>
        <v>0.411938835690459+0.808816460657736i</v>
      </c>
      <c r="AN465" s="22" t="str">
        <f t="shared" si="257"/>
        <v>0.942136707798i</v>
      </c>
      <c r="AO465" s="22" t="str">
        <f t="shared" si="258"/>
        <v>0.858491611634722-0.437238919024033i</v>
      </c>
      <c r="AP465" s="22" t="str">
        <f t="shared" si="259"/>
        <v>0.0980101940515902-0.134802743442956i</v>
      </c>
      <c r="AQ465" s="22" t="str">
        <f t="shared" si="260"/>
        <v>0.90198980594841+0.134802743442956i</v>
      </c>
      <c r="AR465" s="22" t="str">
        <f t="shared" si="261"/>
        <v>0.90333734053024-0.135004133034409i</v>
      </c>
    </row>
    <row r="466" spans="7:44">
      <c r="G466" s="257">
        <v>52786.5</v>
      </c>
      <c r="H466" s="256">
        <f t="shared" si="253"/>
        <v>52.7865</v>
      </c>
      <c r="I466" s="298">
        <f t="shared" si="233"/>
        <v>51.5102784677436</v>
      </c>
      <c r="J466" s="299">
        <f t="shared" si="234"/>
        <v>1.55138150600465</v>
      </c>
      <c r="K466" s="299">
        <f t="shared" si="235"/>
        <v>1.00040670926882</v>
      </c>
      <c r="L466" s="300">
        <f t="shared" si="236"/>
        <v>0.0285156614143572</v>
      </c>
      <c r="M466" s="299">
        <f t="shared" si="237"/>
        <v>1.0173597661273</v>
      </c>
      <c r="N466" s="300">
        <f t="shared" si="238"/>
        <v>-0.184998899531845</v>
      </c>
      <c r="O466" s="298">
        <f t="shared" si="239"/>
        <v>95520.1999267081</v>
      </c>
      <c r="P466" s="301">
        <f t="shared" si="240"/>
        <v>1.57078585780508</v>
      </c>
      <c r="Q466" s="320">
        <f t="shared" si="230"/>
        <v>39.8126441063114</v>
      </c>
      <c r="R466" s="321">
        <f t="shared" si="231"/>
        <v>1.5456760364527</v>
      </c>
      <c r="S466" s="298">
        <f t="shared" si="241"/>
        <v>1.03460237409217</v>
      </c>
      <c r="T466" s="301">
        <f t="shared" si="242"/>
        <v>0.259357684571764</v>
      </c>
      <c r="U466" s="316">
        <f t="shared" si="254"/>
        <v>0.8787943789936</v>
      </c>
      <c r="V466" s="317">
        <f t="shared" si="255"/>
        <v>-0.622623159480046</v>
      </c>
      <c r="W466" s="318">
        <f t="shared" si="243"/>
        <v>-6.23990582432041</v>
      </c>
      <c r="X466" s="319">
        <f t="shared" si="244"/>
        <v>-149.825908751963</v>
      </c>
      <c r="Y466" s="332">
        <f t="shared" si="245"/>
        <v>30.1740912480366</v>
      </c>
      <c r="AA466" s="22">
        <f t="shared" si="246"/>
        <v>52786.5</v>
      </c>
      <c r="AB466" s="22">
        <f t="shared" si="247"/>
        <v>2786414582.25</v>
      </c>
      <c r="AD466" s="331">
        <f t="shared" si="248"/>
        <v>27.3114962331869</v>
      </c>
      <c r="AE466" s="332">
        <f t="shared" si="249"/>
        <v>-16.2987875166904</v>
      </c>
      <c r="AG466" s="331">
        <f t="shared" si="250"/>
        <v>-5.9189499173072</v>
      </c>
      <c r="AH466" s="332">
        <f t="shared" si="251"/>
        <v>-62.1797626231321</v>
      </c>
      <c r="AJ466" s="22">
        <f t="shared" si="252"/>
        <v>0</v>
      </c>
      <c r="AK466" s="22">
        <f t="shared" si="232"/>
        <v>0</v>
      </c>
      <c r="AM466" s="22" t="str">
        <f t="shared" si="256"/>
        <v>0.416383468079634+0.812029398278932i</v>
      </c>
      <c r="AN466" s="22" t="str">
        <f t="shared" si="257"/>
        <v>0.947621030967i</v>
      </c>
      <c r="AO466" s="22" t="str">
        <f t="shared" si="258"/>
        <v>0.856913651916628-0.439398720029182i</v>
      </c>
      <c r="AP466" s="22" t="str">
        <f t="shared" si="259"/>
        <v>0.0972694219867277-0.135338233046489i</v>
      </c>
      <c r="AQ466" s="22" t="str">
        <f t="shared" si="260"/>
        <v>0.902730578013272+0.135338233046489i</v>
      </c>
      <c r="AR466" s="22" t="str">
        <f t="shared" si="261"/>
        <v>0.902471717268134-0.135299424395597i</v>
      </c>
    </row>
    <row r="467" spans="7:44">
      <c r="G467" s="257">
        <v>53092</v>
      </c>
      <c r="H467" s="256">
        <f t="shared" si="253"/>
        <v>53.092</v>
      </c>
      <c r="I467" s="298">
        <f t="shared" si="233"/>
        <v>51.8082803484121</v>
      </c>
      <c r="J467" s="299">
        <f t="shared" si="234"/>
        <v>1.55149319421077</v>
      </c>
      <c r="K467" s="299">
        <f t="shared" si="235"/>
        <v>1.0004114295516</v>
      </c>
      <c r="L467" s="300">
        <f t="shared" si="236"/>
        <v>0.0286806045684948</v>
      </c>
      <c r="M467" s="299">
        <f t="shared" si="237"/>
        <v>1.01755954671749</v>
      </c>
      <c r="N467" s="300">
        <f t="shared" si="238"/>
        <v>-0.18604510659472</v>
      </c>
      <c r="O467" s="298">
        <f t="shared" si="239"/>
        <v>96073.0197021132</v>
      </c>
      <c r="P467" s="301">
        <f t="shared" si="240"/>
        <v>1.57078591804535</v>
      </c>
      <c r="Q467" s="320">
        <f t="shared" si="230"/>
        <v>40.0429134250981</v>
      </c>
      <c r="R467" s="321">
        <f t="shared" si="231"/>
        <v>1.54582052241015</v>
      </c>
      <c r="S467" s="298">
        <f t="shared" si="241"/>
        <v>1.03499726066347</v>
      </c>
      <c r="T467" s="301">
        <f t="shared" si="242"/>
        <v>0.26079174861688</v>
      </c>
      <c r="U467" s="316">
        <f t="shared" si="254"/>
        <v>0.8776239315329</v>
      </c>
      <c r="V467" s="317">
        <f t="shared" si="255"/>
        <v>-0.625819859972472</v>
      </c>
      <c r="W467" s="318">
        <f t="shared" si="243"/>
        <v>-6.30318723269618</v>
      </c>
      <c r="X467" s="319">
        <f t="shared" si="244"/>
        <v>-150.139848997635</v>
      </c>
      <c r="Y467" s="332">
        <f t="shared" si="245"/>
        <v>29.8601510023655</v>
      </c>
      <c r="AA467" s="22">
        <f t="shared" si="246"/>
        <v>53092</v>
      </c>
      <c r="AB467" s="22">
        <f t="shared" si="247"/>
        <v>2818760464</v>
      </c>
      <c r="AD467" s="331">
        <f t="shared" si="248"/>
        <v>27.3081501976354</v>
      </c>
      <c r="AE467" s="332">
        <f t="shared" si="249"/>
        <v>-16.3726783500641</v>
      </c>
      <c r="AG467" s="331">
        <f t="shared" si="250"/>
        <v>-5.95573276680666</v>
      </c>
      <c r="AH467" s="332">
        <f t="shared" si="251"/>
        <v>-62.0534971418444</v>
      </c>
      <c r="AJ467" s="22">
        <f t="shared" si="252"/>
        <v>0</v>
      </c>
      <c r="AK467" s="22">
        <f t="shared" si="232"/>
        <v>0</v>
      </c>
      <c r="AM467" s="22" t="str">
        <f t="shared" si="256"/>
        <v>0.420845654326497+0.815217911903006i</v>
      </c>
      <c r="AN467" s="22" t="str">
        <f t="shared" si="257"/>
        <v>0.953105354136i</v>
      </c>
      <c r="AO467" s="22" t="str">
        <f t="shared" si="258"/>
        <v>0.855328226166571-0.441552082883847i</v>
      </c>
      <c r="AP467" s="22" t="str">
        <f t="shared" si="259"/>
        <v>0.0965257242789172-0.135869651983834i</v>
      </c>
      <c r="AQ467" s="22" t="str">
        <f t="shared" si="260"/>
        <v>0.903474275721083+0.135869651983834i</v>
      </c>
      <c r="AR467" s="22" t="str">
        <f t="shared" si="261"/>
        <v>0.901605766262297-0.135588654796957i</v>
      </c>
    </row>
    <row r="468" spans="7:44">
      <c r="G468" s="257">
        <v>53397.5</v>
      </c>
      <c r="H468" s="256">
        <f t="shared" si="253"/>
        <v>53.3975</v>
      </c>
      <c r="I468" s="298">
        <f t="shared" si="233"/>
        <v>52.1062828679582</v>
      </c>
      <c r="J468" s="299">
        <f t="shared" si="234"/>
        <v>1.55160360489989</v>
      </c>
      <c r="K468" s="299">
        <f t="shared" si="235"/>
        <v>1.00041617705156</v>
      </c>
      <c r="L468" s="300">
        <f t="shared" si="236"/>
        <v>0.028845546161636</v>
      </c>
      <c r="M468" s="299">
        <f t="shared" si="237"/>
        <v>1.01776044063872</v>
      </c>
      <c r="N468" s="300">
        <f t="shared" si="238"/>
        <v>-0.187090901783996</v>
      </c>
      <c r="O468" s="298">
        <f t="shared" si="239"/>
        <v>96625.8394775186</v>
      </c>
      <c r="P468" s="301">
        <f t="shared" si="240"/>
        <v>1.57078597759632</v>
      </c>
      <c r="Q468" s="320">
        <f t="shared" si="230"/>
        <v>40.273183570269</v>
      </c>
      <c r="R468" s="321">
        <f t="shared" si="231"/>
        <v>1.54596335611466</v>
      </c>
      <c r="S468" s="298">
        <f t="shared" si="241"/>
        <v>1.03539427412158</v>
      </c>
      <c r="T468" s="301">
        <f t="shared" si="242"/>
        <v>0.262224715846836</v>
      </c>
      <c r="U468" s="316">
        <f t="shared" si="254"/>
        <v>0.876451091122026</v>
      </c>
      <c r="V468" s="317">
        <f t="shared" si="255"/>
        <v>-0.629010858245133</v>
      </c>
      <c r="W468" s="318">
        <f t="shared" si="243"/>
        <v>-6.36622716567953</v>
      </c>
      <c r="X468" s="319">
        <f t="shared" si="244"/>
        <v>-150.453397609413</v>
      </c>
      <c r="Y468" s="332">
        <f t="shared" si="245"/>
        <v>29.5466023905874</v>
      </c>
      <c r="AA468" s="22">
        <f t="shared" si="246"/>
        <v>53397.5</v>
      </c>
      <c r="AB468" s="22">
        <f t="shared" si="247"/>
        <v>2851293006.25</v>
      </c>
      <c r="AD468" s="331">
        <f t="shared" si="248"/>
        <v>27.3047881219565</v>
      </c>
      <c r="AE468" s="332">
        <f t="shared" si="249"/>
        <v>-16.4466009681844</v>
      </c>
      <c r="AG468" s="331">
        <f t="shared" si="250"/>
        <v>-5.99217977307343</v>
      </c>
      <c r="AH468" s="332">
        <f t="shared" si="251"/>
        <v>-61.9274616681704</v>
      </c>
      <c r="AJ468" s="22">
        <f t="shared" si="252"/>
        <v>0</v>
      </c>
      <c r="AK468" s="22">
        <f t="shared" si="232"/>
        <v>0</v>
      </c>
      <c r="AM468" s="22" t="str">
        <f t="shared" si="256"/>
        <v>0.425325260218637+0.818381905626721i</v>
      </c>
      <c r="AN468" s="22" t="str">
        <f t="shared" si="257"/>
        <v>0.958589677305i</v>
      </c>
      <c r="AO468" s="22" t="str">
        <f t="shared" si="258"/>
        <v>0.853735362483287-0.443698978080388i</v>
      </c>
      <c r="AP468" s="22" t="str">
        <f t="shared" si="259"/>
        <v>0.0957791232968938-0.13639698427112i</v>
      </c>
      <c r="AQ468" s="22" t="str">
        <f t="shared" si="260"/>
        <v>0.904220876703106+0.13639698427112i</v>
      </c>
      <c r="AR468" s="22" t="str">
        <f t="shared" si="261"/>
        <v>0.90073953334625-0.135871841855896i</v>
      </c>
    </row>
    <row r="469" spans="7:44">
      <c r="G469" s="257">
        <v>53703</v>
      </c>
      <c r="H469" s="256">
        <f t="shared" si="253"/>
        <v>53.703</v>
      </c>
      <c r="I469" s="298">
        <f t="shared" si="233"/>
        <v>52.4042860154827</v>
      </c>
      <c r="J469" s="299">
        <f t="shared" si="234"/>
        <v>1.55171275986353</v>
      </c>
      <c r="K469" s="299">
        <f t="shared" si="235"/>
        <v>1.00042095176831</v>
      </c>
      <c r="L469" s="300">
        <f t="shared" si="236"/>
        <v>0.0290104861848285</v>
      </c>
      <c r="M469" s="299">
        <f t="shared" si="237"/>
        <v>1.01796244723185</v>
      </c>
      <c r="N469" s="300">
        <f t="shared" si="238"/>
        <v>-0.188136283056654</v>
      </c>
      <c r="O469" s="298">
        <f t="shared" si="239"/>
        <v>97178.6592529244</v>
      </c>
      <c r="P469" s="301">
        <f t="shared" si="240"/>
        <v>1.57078603646976</v>
      </c>
      <c r="Q469" s="320">
        <f t="shared" si="230"/>
        <v>40.5034545277296</v>
      </c>
      <c r="R469" s="321">
        <f t="shared" si="231"/>
        <v>1.5461045657406</v>
      </c>
      <c r="S469" s="298">
        <f t="shared" si="241"/>
        <v>1.03579341202084</v>
      </c>
      <c r="T469" s="301">
        <f t="shared" si="242"/>
        <v>0.263656581641339</v>
      </c>
      <c r="U469" s="316">
        <f t="shared" si="254"/>
        <v>0.875275905064768</v>
      </c>
      <c r="V469" s="317">
        <f t="shared" si="255"/>
        <v>-0.63219615259177</v>
      </c>
      <c r="W469" s="318">
        <f t="shared" si="243"/>
        <v>-6.42902854791398</v>
      </c>
      <c r="X469" s="319">
        <f t="shared" si="244"/>
        <v>-150.766553743233</v>
      </c>
      <c r="Y469" s="332">
        <f t="shared" si="245"/>
        <v>29.2334462567665</v>
      </c>
      <c r="AA469" s="22">
        <f t="shared" si="246"/>
        <v>53703</v>
      </c>
      <c r="AB469" s="22">
        <f t="shared" si="247"/>
        <v>2884012209</v>
      </c>
      <c r="AD469" s="331">
        <f t="shared" si="248"/>
        <v>27.3014100340129</v>
      </c>
      <c r="AE469" s="332">
        <f t="shared" si="249"/>
        <v>-16.5205534927292</v>
      </c>
      <c r="AG469" s="331">
        <f t="shared" si="250"/>
        <v>-6.02829455422011</v>
      </c>
      <c r="AH469" s="332">
        <f t="shared" si="251"/>
        <v>-61.8016574318906</v>
      </c>
      <c r="AJ469" s="22">
        <f t="shared" si="252"/>
        <v>0</v>
      </c>
      <c r="AK469" s="22">
        <f t="shared" si="232"/>
        <v>0</v>
      </c>
      <c r="AM469" s="22" t="str">
        <f t="shared" si="256"/>
        <v>0.429822151019698+0.821521284284343i</v>
      </c>
      <c r="AN469" s="22" t="str">
        <f t="shared" si="257"/>
        <v>0.964074000474i</v>
      </c>
      <c r="AO469" s="22" t="str">
        <f t="shared" si="258"/>
        <v>0.852135089091118-0.445839376239137i</v>
      </c>
      <c r="AP469" s="22" t="str">
        <f t="shared" si="259"/>
        <v>0.095029641496717-0.13692021404739i</v>
      </c>
      <c r="AQ469" s="22" t="str">
        <f t="shared" si="260"/>
        <v>0.904970358503283+0.13692021404739i</v>
      </c>
      <c r="AR469" s="22" t="str">
        <f t="shared" si="261"/>
        <v>0.899873063954853-0.136149003527536i</v>
      </c>
    </row>
    <row r="470" spans="7:44">
      <c r="G470" s="257">
        <v>54015.75</v>
      </c>
      <c r="H470" s="256">
        <f t="shared" si="253"/>
        <v>54.01575</v>
      </c>
      <c r="I470" s="298">
        <f t="shared" si="233"/>
        <v>52.7093618901852</v>
      </c>
      <c r="J470" s="299">
        <f t="shared" si="234"/>
        <v>1.55182322670265</v>
      </c>
      <c r="K470" s="299">
        <f t="shared" si="235"/>
        <v>1.00042586798957</v>
      </c>
      <c r="L470" s="300">
        <f t="shared" si="236"/>
        <v>0.0291793388610005</v>
      </c>
      <c r="M470" s="299">
        <f t="shared" si="237"/>
        <v>1.01817039966408</v>
      </c>
      <c r="N470" s="300">
        <f t="shared" si="238"/>
        <v>-0.189206041991435</v>
      </c>
      <c r="O470" s="298">
        <f t="shared" si="239"/>
        <v>97744.5983192362</v>
      </c>
      <c r="P470" s="301">
        <f t="shared" si="240"/>
        <v>1.57078609605052</v>
      </c>
      <c r="Q470" s="320">
        <f t="shared" si="230"/>
        <v>40.7391910076329</v>
      </c>
      <c r="R470" s="321">
        <f t="shared" si="231"/>
        <v>1.54624747289368</v>
      </c>
      <c r="S470" s="298">
        <f t="shared" si="241"/>
        <v>1.03620422019678</v>
      </c>
      <c r="T470" s="301">
        <f t="shared" si="242"/>
        <v>0.265121282133001</v>
      </c>
      <c r="U470" s="316">
        <f t="shared" si="254"/>
        <v>0.87407044926632</v>
      </c>
      <c r="V470" s="317">
        <f t="shared" si="255"/>
        <v>-0.635451128984373</v>
      </c>
      <c r="W470" s="318">
        <f t="shared" si="243"/>
        <v>-6.49307619278978</v>
      </c>
      <c r="X470" s="319">
        <f t="shared" si="244"/>
        <v>-151.086734156739</v>
      </c>
      <c r="Y470" s="332">
        <f t="shared" si="245"/>
        <v>28.9132658432615</v>
      </c>
      <c r="AA470" s="22">
        <f t="shared" si="246"/>
        <v>54015.75</v>
      </c>
      <c r="AB470" s="22">
        <f t="shared" si="247"/>
        <v>2917701248.0625</v>
      </c>
      <c r="AD470" s="331">
        <f t="shared" si="248"/>
        <v>27.2979352214951</v>
      </c>
      <c r="AE470" s="332">
        <f t="shared" si="249"/>
        <v>-16.5962900862311</v>
      </c>
      <c r="AG470" s="331">
        <f t="shared" si="250"/>
        <v>-6.06492596946485</v>
      </c>
      <c r="AH470" s="332">
        <f t="shared" si="251"/>
        <v>-61.6731084320458</v>
      </c>
      <c r="AJ470" s="22">
        <f t="shared" si="252"/>
        <v>0</v>
      </c>
      <c r="AK470" s="22">
        <f t="shared" si="232"/>
        <v>0</v>
      </c>
      <c r="AM470" s="22" t="str">
        <f t="shared" si="256"/>
        <v>0.434443524031664+0.824709568569613i</v>
      </c>
      <c r="AN470" s="22" t="str">
        <f t="shared" si="257"/>
        <v>0.9696884753385i</v>
      </c>
      <c r="AO470" s="22" t="str">
        <f t="shared" si="258"/>
        <v>0.850489192708743-0.448023808759827i</v>
      </c>
      <c r="AP470" s="22" t="str">
        <f t="shared" si="259"/>
        <v>0.0942594126613893-0.137451594761602i</v>
      </c>
      <c r="AQ470" s="22" t="str">
        <f t="shared" si="260"/>
        <v>0.905740587338611+0.137451594761602i</v>
      </c>
      <c r="AR470" s="22" t="str">
        <f t="shared" si="261"/>
        <v>0.898985833926529-0.136426520207485i</v>
      </c>
    </row>
    <row r="471" spans="7:44">
      <c r="G471" s="257">
        <v>54328.5</v>
      </c>
      <c r="H471" s="256">
        <f t="shared" si="253"/>
        <v>54.3285</v>
      </c>
      <c r="I471" s="298">
        <f t="shared" si="233"/>
        <v>53.0144384006932</v>
      </c>
      <c r="J471" s="299">
        <f t="shared" si="234"/>
        <v>1.55193242215971</v>
      </c>
      <c r="K471" s="299">
        <f t="shared" si="235"/>
        <v>1.00043081273391</v>
      </c>
      <c r="L471" s="300">
        <f t="shared" si="236"/>
        <v>0.029348189872839</v>
      </c>
      <c r="M471" s="299">
        <f t="shared" si="237"/>
        <v>1.01837951679778</v>
      </c>
      <c r="N471" s="300">
        <f t="shared" si="238"/>
        <v>-0.190275362814434</v>
      </c>
      <c r="O471" s="298">
        <f t="shared" si="239"/>
        <v>98310.5373855483</v>
      </c>
      <c r="P471" s="301">
        <f t="shared" si="240"/>
        <v>1.5707861549453</v>
      </c>
      <c r="Q471" s="320">
        <f t="shared" ref="Q471:Q534" si="262">SQRT(1+(G471/Zero2)^2)</f>
        <v>40.9749283099571</v>
      </c>
      <c r="R471" s="321">
        <f t="shared" ref="R471:R534" si="263">ATAN(G471/Zero2)</f>
        <v>1.54638873570034</v>
      </c>
      <c r="S471" s="298">
        <f t="shared" si="241"/>
        <v>1.03661724962616</v>
      </c>
      <c r="T471" s="301">
        <f t="shared" si="242"/>
        <v>0.266584818572832</v>
      </c>
      <c r="U471" s="316">
        <f t="shared" si="254"/>
        <v>0.872862634597467</v>
      </c>
      <c r="V471" s="317">
        <f t="shared" si="255"/>
        <v>-0.638700124846589</v>
      </c>
      <c r="W471" s="318">
        <f t="shared" si="243"/>
        <v>-6.55687985815185</v>
      </c>
      <c r="X471" s="319">
        <f t="shared" si="244"/>
        <v>-151.406501539219</v>
      </c>
      <c r="Y471" s="332">
        <f t="shared" si="245"/>
        <v>28.5934984607812</v>
      </c>
      <c r="AA471" s="22">
        <f t="shared" si="246"/>
        <v>54328.5</v>
      </c>
      <c r="AB471" s="22">
        <f t="shared" si="247"/>
        <v>2951585912.25</v>
      </c>
      <c r="AD471" s="331">
        <f t="shared" si="248"/>
        <v>27.2944436882899</v>
      </c>
      <c r="AE471" s="332">
        <f t="shared" si="249"/>
        <v>-16.6720541592823</v>
      </c>
      <c r="AG471" s="331">
        <f t="shared" si="250"/>
        <v>-6.10121669705744</v>
      </c>
      <c r="AH471" s="332">
        <f t="shared" si="251"/>
        <v>-61.5448042399287</v>
      </c>
      <c r="AJ471" s="22">
        <f t="shared" si="252"/>
        <v>0</v>
      </c>
      <c r="AK471" s="22">
        <f t="shared" si="232"/>
        <v>0</v>
      </c>
      <c r="AM471" s="22" t="str">
        <f t="shared" si="256"/>
        <v>0.439082724653539+0.827871856157644i</v>
      </c>
      <c r="AN471" s="22" t="str">
        <f t="shared" si="257"/>
        <v>0.975302950203i</v>
      </c>
      <c r="AO471" s="22" t="str">
        <f t="shared" si="258"/>
        <v>0.848835591018494-0.450201370314883i</v>
      </c>
      <c r="AP471" s="22" t="str">
        <f t="shared" si="259"/>
        <v>0.0934862125577435-0.137978642692941i</v>
      </c>
      <c r="AQ471" s="22" t="str">
        <f t="shared" si="260"/>
        <v>0.906513787442257+0.137978642692941i</v>
      </c>
      <c r="AR471" s="22" t="str">
        <f t="shared" si="261"/>
        <v>0.898098451143775-0.136697761258644i</v>
      </c>
    </row>
    <row r="472" spans="7:44">
      <c r="G472" s="257">
        <v>54641.25</v>
      </c>
      <c r="H472" s="256">
        <f t="shared" si="253"/>
        <v>54.64125</v>
      </c>
      <c r="I472" s="298">
        <f t="shared" si="233"/>
        <v>53.319515536093</v>
      </c>
      <c r="J472" s="299">
        <f t="shared" si="234"/>
        <v>1.55204036805541</v>
      </c>
      <c r="K472" s="299">
        <f t="shared" si="235"/>
        <v>1.00043578600092</v>
      </c>
      <c r="L472" s="300">
        <f t="shared" si="236"/>
        <v>0.0295170392107407</v>
      </c>
      <c r="M472" s="299">
        <f t="shared" si="237"/>
        <v>1.01858979791559</v>
      </c>
      <c r="N472" s="300">
        <f t="shared" si="238"/>
        <v>-0.191344243350819</v>
      </c>
      <c r="O472" s="298">
        <f t="shared" si="239"/>
        <v>98876.4764518608</v>
      </c>
      <c r="P472" s="301">
        <f t="shared" si="240"/>
        <v>1.57078621316589</v>
      </c>
      <c r="Q472" s="320">
        <f t="shared" si="262"/>
        <v>41.210666420589</v>
      </c>
      <c r="R472" s="321">
        <f t="shared" si="263"/>
        <v>1.54652838237345</v>
      </c>
      <c r="S472" s="298">
        <f t="shared" si="241"/>
        <v>1.03703249765492</v>
      </c>
      <c r="T472" s="301">
        <f t="shared" si="242"/>
        <v>0.268047186085835</v>
      </c>
      <c r="U472" s="316">
        <f t="shared" si="254"/>
        <v>0.871652510893574</v>
      </c>
      <c r="V472" s="317">
        <f t="shared" si="255"/>
        <v>-0.641943139308968</v>
      </c>
      <c r="W472" s="318">
        <f t="shared" si="243"/>
        <v>-6.62044250713075</v>
      </c>
      <c r="X472" s="319">
        <f t="shared" si="244"/>
        <v>-151.725855071914</v>
      </c>
      <c r="Y472" s="332">
        <f t="shared" si="245"/>
        <v>28.2741449280855</v>
      </c>
      <c r="AA472" s="22">
        <f t="shared" si="246"/>
        <v>54641.25</v>
      </c>
      <c r="AB472" s="22">
        <f t="shared" si="247"/>
        <v>2985666201.5625</v>
      </c>
      <c r="AD472" s="331">
        <f t="shared" si="248"/>
        <v>27.2909354657777</v>
      </c>
      <c r="AE472" s="332">
        <f t="shared" si="249"/>
        <v>-16.7478438167629</v>
      </c>
      <c r="AG472" s="331">
        <f t="shared" si="250"/>
        <v>-6.13717043823411</v>
      </c>
      <c r="AH472" s="332">
        <f t="shared" si="251"/>
        <v>-61.4167460315307</v>
      </c>
      <c r="AJ472" s="22">
        <f t="shared" si="252"/>
        <v>0</v>
      </c>
      <c r="AK472" s="22">
        <f t="shared" si="232"/>
        <v>0</v>
      </c>
      <c r="AM472" s="22" t="str">
        <f t="shared" si="256"/>
        <v>0.443739606647304+0.831008047366032i</v>
      </c>
      <c r="AN472" s="22" t="str">
        <f t="shared" si="257"/>
        <v>0.9809174250675i</v>
      </c>
      <c r="AO472" s="22" t="str">
        <f t="shared" si="258"/>
        <v>0.847174314707324-0.452372029803394i</v>
      </c>
      <c r="AP472" s="22" t="str">
        <f t="shared" si="259"/>
        <v>0.0927100655587827-0.138501341227672i</v>
      </c>
      <c r="AQ472" s="22" t="str">
        <f t="shared" si="260"/>
        <v>0.907289934441217+0.138501341227672i</v>
      </c>
      <c r="AR472" s="22" t="str">
        <f t="shared" si="261"/>
        <v>0.897210963046431-0.13696274699954i</v>
      </c>
    </row>
    <row r="473" spans="7:44">
      <c r="G473" s="257">
        <v>54954</v>
      </c>
      <c r="H473" s="256">
        <f t="shared" si="253"/>
        <v>54.954</v>
      </c>
      <c r="I473" s="298">
        <f t="shared" si="233"/>
        <v>53.6245932857194</v>
      </c>
      <c r="J473" s="299">
        <f t="shared" si="234"/>
        <v>1.55214708571399</v>
      </c>
      <c r="K473" s="299">
        <f t="shared" si="235"/>
        <v>1.00044078779017</v>
      </c>
      <c r="L473" s="300">
        <f t="shared" si="236"/>
        <v>0.0296858868651029</v>
      </c>
      <c r="M473" s="299">
        <f t="shared" si="237"/>
        <v>1.01880124229679</v>
      </c>
      <c r="N473" s="300">
        <f t="shared" si="238"/>
        <v>-0.19241268143157</v>
      </c>
      <c r="O473" s="298">
        <f t="shared" si="239"/>
        <v>99442.4155181736</v>
      </c>
      <c r="P473" s="301">
        <f t="shared" si="240"/>
        <v>1.5707862707238</v>
      </c>
      <c r="Q473" s="320">
        <f t="shared" si="262"/>
        <v>41.4464053257359</v>
      </c>
      <c r="R473" s="321">
        <f t="shared" si="263"/>
        <v>1.54666644048426</v>
      </c>
      <c r="S473" s="298">
        <f t="shared" si="241"/>
        <v>1.03744996161904</v>
      </c>
      <c r="T473" s="301">
        <f t="shared" si="242"/>
        <v>0.269508379824799</v>
      </c>
      <c r="U473" s="316">
        <f t="shared" si="254"/>
        <v>0.870440127675974</v>
      </c>
      <c r="V473" s="317">
        <f t="shared" si="255"/>
        <v>-0.645180171820315</v>
      </c>
      <c r="W473" s="318">
        <f t="shared" si="243"/>
        <v>-6.68376704669079</v>
      </c>
      <c r="X473" s="319">
        <f t="shared" si="244"/>
        <v>-152.044793964526</v>
      </c>
      <c r="Y473" s="332">
        <f t="shared" si="245"/>
        <v>27.9552060354738</v>
      </c>
      <c r="AA473" s="22">
        <f t="shared" si="246"/>
        <v>54954</v>
      </c>
      <c r="AB473" s="22">
        <f t="shared" si="247"/>
        <v>3019942116</v>
      </c>
      <c r="AD473" s="331">
        <f t="shared" si="248"/>
        <v>27.2874105858126</v>
      </c>
      <c r="AE473" s="332">
        <f t="shared" si="249"/>
        <v>-16.8236572018915</v>
      </c>
      <c r="AG473" s="331">
        <f t="shared" si="250"/>
        <v>-6.17279083595957</v>
      </c>
      <c r="AH473" s="332">
        <f t="shared" si="251"/>
        <v>-61.2889349364965</v>
      </c>
      <c r="AJ473" s="22">
        <f t="shared" si="252"/>
        <v>0</v>
      </c>
      <c r="AK473" s="22">
        <f t="shared" si="232"/>
        <v>0</v>
      </c>
      <c r="AM473" s="22" t="str">
        <f t="shared" si="256"/>
        <v>0.448414023217584+0.834118043334987i</v>
      </c>
      <c r="AN473" s="22" t="str">
        <f t="shared" si="257"/>
        <v>0.986531899932i</v>
      </c>
      <c r="AO473" s="22" t="str">
        <f t="shared" si="258"/>
        <v>0.845505394597459-0.454535756267478i</v>
      </c>
      <c r="AP473" s="22" t="str">
        <f t="shared" si="259"/>
        <v>0.0919309961304027-0.139019673889165i</v>
      </c>
      <c r="AQ473" s="22" t="str">
        <f t="shared" si="260"/>
        <v>0.908069003869597+0.139019673889165i</v>
      </c>
      <c r="AR473" s="22" t="str">
        <f t="shared" si="261"/>
        <v>0.896323416630962-0.137221498089095i</v>
      </c>
    </row>
    <row r="474" spans="7:44">
      <c r="G474" s="257">
        <v>55274</v>
      </c>
      <c r="H474" s="256">
        <f t="shared" si="253"/>
        <v>55.274</v>
      </c>
      <c r="I474" s="298">
        <f t="shared" si="233"/>
        <v>53.9367438062988</v>
      </c>
      <c r="J474" s="299">
        <f t="shared" si="234"/>
        <v>1.55225502770353</v>
      </c>
      <c r="K474" s="299">
        <f t="shared" si="235"/>
        <v>1.00044593504941</v>
      </c>
      <c r="L474" s="300">
        <f t="shared" si="236"/>
        <v>0.029858646901191</v>
      </c>
      <c r="M474" s="299">
        <f t="shared" si="237"/>
        <v>1.01901879153618</v>
      </c>
      <c r="N474" s="300">
        <f t="shared" si="238"/>
        <v>-0.193505427245522</v>
      </c>
      <c r="O474" s="298">
        <f t="shared" si="239"/>
        <v>100021.473875393</v>
      </c>
      <c r="P474" s="301">
        <f t="shared" si="240"/>
        <v>1.57078632894182</v>
      </c>
      <c r="Q474" s="320">
        <f t="shared" si="262"/>
        <v>41.6876098099625</v>
      </c>
      <c r="R474" s="321">
        <f t="shared" si="263"/>
        <v>1.54680608285989</v>
      </c>
      <c r="S474" s="298">
        <f t="shared" si="241"/>
        <v>1.03787939379974</v>
      </c>
      <c r="T474" s="301">
        <f t="shared" si="242"/>
        <v>0.271002226229684</v>
      </c>
      <c r="U474" s="316">
        <f t="shared" si="254"/>
        <v>0.869197352283355</v>
      </c>
      <c r="V474" s="317">
        <f t="shared" si="255"/>
        <v>-0.648486051646609</v>
      </c>
      <c r="W474" s="318">
        <f t="shared" si="243"/>
        <v>-6.74831606277289</v>
      </c>
      <c r="X474" s="319">
        <f t="shared" si="244"/>
        <v>-152.370696360362</v>
      </c>
      <c r="Y474" s="332">
        <f t="shared" si="245"/>
        <v>27.629303639638</v>
      </c>
      <c r="AA474" s="22">
        <f t="shared" si="246"/>
        <v>55274</v>
      </c>
      <c r="AB474" s="22">
        <f t="shared" si="247"/>
        <v>3055215076</v>
      </c>
      <c r="AD474" s="331">
        <f t="shared" si="248"/>
        <v>27.2837867865654</v>
      </c>
      <c r="AE474" s="332">
        <f t="shared" si="249"/>
        <v>-16.9012507131029</v>
      </c>
      <c r="AG474" s="331">
        <f t="shared" si="250"/>
        <v>-6.20889568219222</v>
      </c>
      <c r="AH474" s="332">
        <f t="shared" si="251"/>
        <v>-61.1584178974398</v>
      </c>
      <c r="AJ474" s="22">
        <f t="shared" si="252"/>
        <v>0</v>
      </c>
      <c r="AK474" s="22">
        <f t="shared" ref="AK474:AK537" si="264">IF(AJ474&gt;0,Y474,0)</f>
        <v>0</v>
      </c>
      <c r="AM474" s="22" t="str">
        <f t="shared" si="256"/>
        <v>0.453214794874733+0.837272918143254i</v>
      </c>
      <c r="AN474" s="22" t="str">
        <f t="shared" si="257"/>
        <v>0.992276526492i</v>
      </c>
      <c r="AO474" s="22" t="str">
        <f t="shared" si="258"/>
        <v>0.843789907137347-0.456742432955645i</v>
      </c>
      <c r="AP474" s="22" t="str">
        <f t="shared" si="259"/>
        <v>0.0911308675208778-0.139545486357209i</v>
      </c>
      <c r="AQ474" s="22" t="str">
        <f t="shared" si="260"/>
        <v>0.908869132479122+0.139545486357209i</v>
      </c>
      <c r="AR474" s="22" t="str">
        <f t="shared" si="261"/>
        <v>0.895415283789569-0.137479816183508i</v>
      </c>
    </row>
    <row r="475" spans="7:44">
      <c r="G475" s="257">
        <v>55594</v>
      </c>
      <c r="H475" s="256">
        <f t="shared" si="253"/>
        <v>55.594</v>
      </c>
      <c r="I475" s="298">
        <f t="shared" si="233"/>
        <v>54.2488949480885</v>
      </c>
      <c r="J475" s="299">
        <f t="shared" si="234"/>
        <v>1.55236172748595</v>
      </c>
      <c r="K475" s="299">
        <f t="shared" si="235"/>
        <v>1.00045111216768</v>
      </c>
      <c r="L475" s="300">
        <f t="shared" si="236"/>
        <v>0.0300314051544436</v>
      </c>
      <c r="M475" s="299">
        <f t="shared" si="237"/>
        <v>1.01923755705892</v>
      </c>
      <c r="N475" s="300">
        <f t="shared" si="238"/>
        <v>-0.194597705277144</v>
      </c>
      <c r="O475" s="298">
        <f t="shared" si="239"/>
        <v>100600.532232612</v>
      </c>
      <c r="P475" s="301">
        <f t="shared" si="240"/>
        <v>1.57078638648963</v>
      </c>
      <c r="Q475" s="320">
        <f t="shared" si="262"/>
        <v>41.9288150977442</v>
      </c>
      <c r="R475" s="321">
        <f t="shared" si="263"/>
        <v>1.54694411858752</v>
      </c>
      <c r="S475" s="298">
        <f t="shared" si="241"/>
        <v>1.03831114016948</v>
      </c>
      <c r="T475" s="301">
        <f t="shared" si="242"/>
        <v>0.272494833632705</v>
      </c>
      <c r="U475" s="316">
        <f t="shared" si="254"/>
        <v>0.867952315278343</v>
      </c>
      <c r="V475" s="317">
        <f t="shared" si="255"/>
        <v>-0.651785668806505</v>
      </c>
      <c r="W475" s="318">
        <f t="shared" si="243"/>
        <v>-6.81262178479464</v>
      </c>
      <c r="X475" s="319">
        <f t="shared" si="244"/>
        <v>-152.696163084986</v>
      </c>
      <c r="Y475" s="332">
        <f t="shared" si="245"/>
        <v>27.3038369150135</v>
      </c>
      <c r="AA475" s="22">
        <f t="shared" si="246"/>
        <v>55594</v>
      </c>
      <c r="AB475" s="22">
        <f t="shared" si="247"/>
        <v>3090692836</v>
      </c>
      <c r="AD475" s="331">
        <f t="shared" si="248"/>
        <v>27.2801456175576</v>
      </c>
      <c r="AE475" s="332">
        <f t="shared" si="249"/>
        <v>-16.9788652504863</v>
      </c>
      <c r="AG475" s="331">
        <f t="shared" si="250"/>
        <v>-6.24465908575545</v>
      </c>
      <c r="AH475" s="332">
        <f t="shared" si="251"/>
        <v>-61.028161809707</v>
      </c>
      <c r="AJ475" s="22">
        <f t="shared" si="252"/>
        <v>0</v>
      </c>
      <c r="AK475" s="22">
        <f t="shared" si="264"/>
        <v>0</v>
      </c>
      <c r="AM475" s="22" t="str">
        <f t="shared" si="256"/>
        <v>0.45803361079554+0.840400162406386i</v>
      </c>
      <c r="AN475" s="22" t="str">
        <f t="shared" si="257"/>
        <v>0.998021153052i</v>
      </c>
      <c r="AO475" s="22" t="str">
        <f t="shared" si="258"/>
        <v>0.842066483096475-0.458941786348766i</v>
      </c>
      <c r="AP475" s="22" t="str">
        <f t="shared" si="259"/>
        <v>0.0903277315340767-0.140066693734398i</v>
      </c>
      <c r="AQ475" s="22" t="str">
        <f t="shared" si="260"/>
        <v>0.909672268465923+0.140066693734398i</v>
      </c>
      <c r="AR475" s="22" t="str">
        <f t="shared" si="261"/>
        <v>0.89450718801081-0.137731652035099i</v>
      </c>
    </row>
    <row r="476" spans="7:44">
      <c r="G476" s="257">
        <v>55914</v>
      </c>
      <c r="H476" s="256">
        <f t="shared" si="253"/>
        <v>55.914</v>
      </c>
      <c r="I476" s="298">
        <f t="shared" si="233"/>
        <v>54.5610467004265</v>
      </c>
      <c r="J476" s="299">
        <f t="shared" si="234"/>
        <v>1.55246720637935</v>
      </c>
      <c r="K476" s="299">
        <f t="shared" si="235"/>
        <v>1.00045631914451</v>
      </c>
      <c r="L476" s="300">
        <f t="shared" si="236"/>
        <v>0.0302041616145763</v>
      </c>
      <c r="M476" s="299">
        <f t="shared" si="237"/>
        <v>1.01945753808199</v>
      </c>
      <c r="N476" s="300">
        <f t="shared" si="238"/>
        <v>-0.195689513222092</v>
      </c>
      <c r="O476" s="298">
        <f t="shared" si="239"/>
        <v>101179.590589831</v>
      </c>
      <c r="P476" s="301">
        <f t="shared" si="240"/>
        <v>1.57078644337874</v>
      </c>
      <c r="Q476" s="320">
        <f t="shared" si="262"/>
        <v>42.1700211752927</v>
      </c>
      <c r="R476" s="321">
        <f t="shared" si="263"/>
        <v>1.54708057523118</v>
      </c>
      <c r="S476" s="298">
        <f t="shared" si="241"/>
        <v>1.03874519784262</v>
      </c>
      <c r="T476" s="301">
        <f t="shared" si="242"/>
        <v>0.273986196932279</v>
      </c>
      <c r="U476" s="316">
        <f t="shared" si="254"/>
        <v>0.86670506867118</v>
      </c>
      <c r="V476" s="317">
        <f t="shared" si="255"/>
        <v>-0.655079023724473</v>
      </c>
      <c r="W476" s="318">
        <f t="shared" si="243"/>
        <v>-6.87668715255499</v>
      </c>
      <c r="X476" s="319">
        <f t="shared" si="244"/>
        <v>-153.021193381775</v>
      </c>
      <c r="Y476" s="332">
        <f t="shared" si="245"/>
        <v>26.9788066182253</v>
      </c>
      <c r="AA476" s="22">
        <f t="shared" si="246"/>
        <v>55914</v>
      </c>
      <c r="AB476" s="22">
        <f t="shared" si="247"/>
        <v>3126375396</v>
      </c>
      <c r="AD476" s="331">
        <f t="shared" si="248"/>
        <v>27.2764871143658</v>
      </c>
      <c r="AE476" s="332">
        <f t="shared" si="249"/>
        <v>-17.0564989430988</v>
      </c>
      <c r="AG476" s="331">
        <f t="shared" si="250"/>
        <v>-6.28008476764578</v>
      </c>
      <c r="AH476" s="332">
        <f t="shared" si="251"/>
        <v>-60.8981677389749</v>
      </c>
      <c r="AJ476" s="22">
        <f t="shared" si="252"/>
        <v>0</v>
      </c>
      <c r="AK476" s="22">
        <f t="shared" si="264"/>
        <v>0</v>
      </c>
      <c r="AM476" s="22" t="str">
        <f t="shared" si="256"/>
        <v>0.462870311955979+0.843499672923311i</v>
      </c>
      <c r="AN476" s="22" t="str">
        <f t="shared" si="257"/>
        <v>1.003765779612i</v>
      </c>
      <c r="AO476" s="22" t="str">
        <f t="shared" si="258"/>
        <v>0.840335155925878-0.461133783754711i</v>
      </c>
      <c r="AP476" s="22" t="str">
        <f t="shared" si="259"/>
        <v>0.0895216146740035-0.140583278820552i</v>
      </c>
      <c r="AQ476" s="22" t="str">
        <f t="shared" si="260"/>
        <v>0.910478385325996+0.140583278820552i</v>
      </c>
      <c r="AR476" s="22" t="str">
        <f t="shared" si="261"/>
        <v>0.89359917818794-0.137977028829774i</v>
      </c>
    </row>
    <row r="477" spans="7:44">
      <c r="G477" s="257">
        <v>56234</v>
      </c>
      <c r="H477" s="256">
        <f t="shared" si="253"/>
        <v>56.234</v>
      </c>
      <c r="I477" s="298">
        <f t="shared" si="233"/>
        <v>54.8731990528932</v>
      </c>
      <c r="J477" s="299">
        <f t="shared" si="234"/>
        <v>1.55257148521684</v>
      </c>
      <c r="K477" s="299">
        <f t="shared" si="235"/>
        <v>1.00046155597945</v>
      </c>
      <c r="L477" s="300">
        <f t="shared" si="236"/>
        <v>0.0303769162713054</v>
      </c>
      <c r="M477" s="299">
        <f t="shared" si="237"/>
        <v>1.01967873381872</v>
      </c>
      <c r="N477" s="300">
        <f t="shared" si="238"/>
        <v>-0.196780848782486</v>
      </c>
      <c r="O477" s="298">
        <f t="shared" si="239"/>
        <v>101758.648947051</v>
      </c>
      <c r="P477" s="301">
        <f t="shared" si="240"/>
        <v>1.5707864996204</v>
      </c>
      <c r="Q477" s="320">
        <f t="shared" si="262"/>
        <v>42.4112280291328</v>
      </c>
      <c r="R477" s="321">
        <f t="shared" si="263"/>
        <v>1.54721547972809</v>
      </c>
      <c r="S477" s="298">
        <f t="shared" si="241"/>
        <v>1.03918156392292</v>
      </c>
      <c r="T477" s="301">
        <f t="shared" si="242"/>
        <v>0.275476311057456</v>
      </c>
      <c r="U477" s="316">
        <f t="shared" si="254"/>
        <v>0.865455664118383</v>
      </c>
      <c r="V477" s="317">
        <f t="shared" si="255"/>
        <v>-0.658366117160475</v>
      </c>
      <c r="W477" s="318">
        <f t="shared" si="243"/>
        <v>-6.94051504992469</v>
      </c>
      <c r="X477" s="319">
        <f t="shared" si="244"/>
        <v>-153.345786523561</v>
      </c>
      <c r="Y477" s="332">
        <f t="shared" si="245"/>
        <v>26.6542134764394</v>
      </c>
      <c r="AA477" s="22">
        <f t="shared" si="246"/>
        <v>56234</v>
      </c>
      <c r="AB477" s="22">
        <f t="shared" si="247"/>
        <v>3162262756</v>
      </c>
      <c r="AD477" s="331">
        <f t="shared" si="248"/>
        <v>27.2728113130306</v>
      </c>
      <c r="AE477" s="332">
        <f t="shared" si="249"/>
        <v>-17.1341499576523</v>
      </c>
      <c r="AG477" s="331">
        <f t="shared" si="250"/>
        <v>-6.31517639039866</v>
      </c>
      <c r="AH477" s="332">
        <f t="shared" si="251"/>
        <v>-60.7684367042806</v>
      </c>
      <c r="AJ477" s="22">
        <f t="shared" si="252"/>
        <v>0</v>
      </c>
      <c r="AK477" s="22">
        <f t="shared" si="264"/>
        <v>0</v>
      </c>
      <c r="AM477" s="22" t="str">
        <f t="shared" si="256"/>
        <v>0.467724738741798+0.846571347408187i</v>
      </c>
      <c r="AN477" s="22" t="str">
        <f t="shared" si="257"/>
        <v>1.009510406172i</v>
      </c>
      <c r="AO477" s="22" t="str">
        <f t="shared" si="258"/>
        <v>0.83859595922179-0.463318392640826i</v>
      </c>
      <c r="AP477" s="22" t="str">
        <f t="shared" si="259"/>
        <v>0.0887125435430337-0.141095224568031i</v>
      </c>
      <c r="AQ477" s="22" t="str">
        <f t="shared" si="260"/>
        <v>0.911287456456966+0.141095224568031i</v>
      </c>
      <c r="AR477" s="22" t="str">
        <f t="shared" si="261"/>
        <v>0.892691302724249-0.138215970093026i</v>
      </c>
    </row>
    <row r="478" spans="7:44">
      <c r="G478" s="257">
        <v>56561.5</v>
      </c>
      <c r="H478" s="256">
        <f t="shared" si="253"/>
        <v>56.5615</v>
      </c>
      <c r="I478" s="298">
        <f t="shared" si="233"/>
        <v>55.1926680868872</v>
      </c>
      <c r="J478" s="299">
        <f t="shared" si="234"/>
        <v>1.55267698675981</v>
      </c>
      <c r="K478" s="299">
        <f t="shared" si="235"/>
        <v>1.00046694646822</v>
      </c>
      <c r="L478" s="300">
        <f t="shared" si="236"/>
        <v>0.0305537179872712</v>
      </c>
      <c r="M478" s="299">
        <f t="shared" si="237"/>
        <v>1.01990637075784</v>
      </c>
      <c r="N478" s="300">
        <f t="shared" si="238"/>
        <v>-0.19789727100744</v>
      </c>
      <c r="O478" s="298">
        <f t="shared" si="239"/>
        <v>102351.278984519</v>
      </c>
      <c r="P478" s="301">
        <f t="shared" si="240"/>
        <v>1.57078655652129</v>
      </c>
      <c r="Q478" s="320">
        <f t="shared" si="262"/>
        <v>42.6580889586646</v>
      </c>
      <c r="R478" s="321">
        <f t="shared" si="263"/>
        <v>1.54735196637868</v>
      </c>
      <c r="S478" s="298">
        <f t="shared" si="241"/>
        <v>1.03963054449604</v>
      </c>
      <c r="T478" s="301">
        <f t="shared" si="242"/>
        <v>0.277000051039231</v>
      </c>
      <c r="U478" s="316">
        <f t="shared" si="254"/>
        <v>0.864174795773811</v>
      </c>
      <c r="V478" s="317">
        <f t="shared" si="255"/>
        <v>-0.66172376965854</v>
      </c>
      <c r="W478" s="318">
        <f t="shared" si="243"/>
        <v>-7.00559598152743</v>
      </c>
      <c r="X478" s="319">
        <f t="shared" si="244"/>
        <v>-153.677533944977</v>
      </c>
      <c r="Y478" s="332">
        <f t="shared" si="245"/>
        <v>26.3224660550232</v>
      </c>
      <c r="AA478" s="22">
        <f t="shared" si="246"/>
        <v>56561.5</v>
      </c>
      <c r="AB478" s="22">
        <f t="shared" si="247"/>
        <v>3199203282.25</v>
      </c>
      <c r="AD478" s="331">
        <f t="shared" si="248"/>
        <v>27.2690314871517</v>
      </c>
      <c r="AE478" s="332">
        <f t="shared" si="249"/>
        <v>-17.2136369789158</v>
      </c>
      <c r="AG478" s="331">
        <f t="shared" si="250"/>
        <v>-6.35074833981158</v>
      </c>
      <c r="AH478" s="332">
        <f t="shared" si="251"/>
        <v>-60.6359384695718</v>
      </c>
      <c r="AJ478" s="22">
        <f t="shared" si="252"/>
        <v>0</v>
      </c>
      <c r="AK478" s="22">
        <f t="shared" si="264"/>
        <v>0</v>
      </c>
      <c r="AM478" s="22" t="str">
        <f t="shared" si="256"/>
        <v>0.472711127641134+0.849686086202732i</v>
      </c>
      <c r="AN478" s="22" t="str">
        <f t="shared" si="257"/>
        <v>1.015389672417i</v>
      </c>
      <c r="AO478" s="22" t="str">
        <f t="shared" si="258"/>
        <v>0.836807886946661-0.465546519215532i</v>
      </c>
      <c r="AP478" s="22" t="str">
        <f t="shared" si="259"/>
        <v>0.0878814787264777-0.141614347700455i</v>
      </c>
      <c r="AQ478" s="22" t="str">
        <f t="shared" si="260"/>
        <v>0.912118521273522+0.141614347700455i</v>
      </c>
      <c r="AR478" s="22" t="str">
        <f t="shared" si="261"/>
        <v>0.891762338043815-0.138453872890974i</v>
      </c>
    </row>
    <row r="479" spans="7:44">
      <c r="G479" s="257">
        <v>56889</v>
      </c>
      <c r="H479" s="256">
        <f t="shared" si="253"/>
        <v>56.889</v>
      </c>
      <c r="I479" s="298">
        <f t="shared" si="233"/>
        <v>55.5121377281365</v>
      </c>
      <c r="J479" s="299">
        <f t="shared" si="234"/>
        <v>1.55278127399148</v>
      </c>
      <c r="K479" s="299">
        <f t="shared" si="235"/>
        <v>1.0004723682301</v>
      </c>
      <c r="L479" s="300">
        <f t="shared" si="236"/>
        <v>0.030730517792515</v>
      </c>
      <c r="M479" s="299">
        <f t="shared" si="237"/>
        <v>1.02013527833856</v>
      </c>
      <c r="N479" s="300">
        <f t="shared" si="238"/>
        <v>-0.199013193596049</v>
      </c>
      <c r="O479" s="298">
        <f t="shared" si="239"/>
        <v>102943.909021987</v>
      </c>
      <c r="P479" s="301">
        <f t="shared" si="240"/>
        <v>1.57078661276704</v>
      </c>
      <c r="Q479" s="320">
        <f t="shared" si="262"/>
        <v>42.9049506737128</v>
      </c>
      <c r="R479" s="321">
        <f t="shared" si="263"/>
        <v>1.54748688242847</v>
      </c>
      <c r="S479" s="298">
        <f t="shared" si="241"/>
        <v>1.04008193677899</v>
      </c>
      <c r="T479" s="301">
        <f t="shared" si="242"/>
        <v>0.278522471956487</v>
      </c>
      <c r="U479" s="316">
        <f t="shared" si="254"/>
        <v>0.862891775481184</v>
      </c>
      <c r="V479" s="317">
        <f t="shared" si="255"/>
        <v>-0.665074866400514</v>
      </c>
      <c r="W479" s="318">
        <f t="shared" si="243"/>
        <v>-7.07043411918407</v>
      </c>
      <c r="X479" s="319">
        <f t="shared" si="244"/>
        <v>-154.008822031178</v>
      </c>
      <c r="Y479" s="332">
        <f t="shared" si="245"/>
        <v>25.9911779688225</v>
      </c>
      <c r="AA479" s="22">
        <f t="shared" si="246"/>
        <v>56889</v>
      </c>
      <c r="AB479" s="22">
        <f t="shared" si="247"/>
        <v>3236358321</v>
      </c>
      <c r="AD479" s="331">
        <f t="shared" si="248"/>
        <v>27.2652336205942</v>
      </c>
      <c r="AE479" s="332">
        <f t="shared" si="249"/>
        <v>-17.2931383746109</v>
      </c>
      <c r="AG479" s="331">
        <f t="shared" si="250"/>
        <v>-6.38597796782214</v>
      </c>
      <c r="AH479" s="332">
        <f t="shared" si="251"/>
        <v>-60.5037177595288</v>
      </c>
      <c r="AJ479" s="22">
        <f t="shared" si="252"/>
        <v>0</v>
      </c>
      <c r="AK479" s="22">
        <f t="shared" si="264"/>
        <v>0</v>
      </c>
      <c r="AM479" s="22" t="str">
        <f t="shared" si="256"/>
        <v>0.477715742634689+0.852771455026706i</v>
      </c>
      <c r="AN479" s="22" t="str">
        <f t="shared" si="257"/>
        <v>1.021268938662i</v>
      </c>
      <c r="AO479" s="22" t="str">
        <f t="shared" si="258"/>
        <v>0.835011643596986-0.467766838439795i</v>
      </c>
      <c r="AP479" s="22" t="str">
        <f t="shared" si="259"/>
        <v>0.0870473762275518-0.142128575837784i</v>
      </c>
      <c r="AQ479" s="22" t="str">
        <f t="shared" si="260"/>
        <v>0.912952623772448+0.142128575837784i</v>
      </c>
      <c r="AR479" s="22" t="str">
        <f t="shared" si="261"/>
        <v>0.89083361510556-0.138685085870278i</v>
      </c>
    </row>
    <row r="480" spans="7:44">
      <c r="G480" s="257">
        <v>57216.5</v>
      </c>
      <c r="H480" s="256">
        <f t="shared" si="253"/>
        <v>57.2165</v>
      </c>
      <c r="I480" s="298">
        <f t="shared" si="233"/>
        <v>55.831607966217</v>
      </c>
      <c r="J480" s="299">
        <f t="shared" si="234"/>
        <v>1.55288436775455</v>
      </c>
      <c r="K480" s="299">
        <f t="shared" si="235"/>
        <v>1.00047782126457</v>
      </c>
      <c r="L480" s="300">
        <f t="shared" si="236"/>
        <v>0.0309073156760152</v>
      </c>
      <c r="M480" s="299">
        <f t="shared" si="237"/>
        <v>1.02036545570573</v>
      </c>
      <c r="N480" s="300">
        <f t="shared" si="238"/>
        <v>-0.200128614106239</v>
      </c>
      <c r="O480" s="298">
        <f t="shared" si="239"/>
        <v>103536.539059455</v>
      </c>
      <c r="P480" s="301">
        <f t="shared" si="240"/>
        <v>1.5707866683689</v>
      </c>
      <c r="Q480" s="320">
        <f t="shared" si="262"/>
        <v>43.1518131607959</v>
      </c>
      <c r="R480" s="321">
        <f t="shared" si="263"/>
        <v>1.54762025482772</v>
      </c>
      <c r="S480" s="298">
        <f t="shared" si="241"/>
        <v>1.04053573763314</v>
      </c>
      <c r="T480" s="301">
        <f t="shared" si="242"/>
        <v>0.280043568473264</v>
      </c>
      <c r="U480" s="316">
        <f t="shared" si="254"/>
        <v>0.861606657450236</v>
      </c>
      <c r="V480" s="317">
        <f t="shared" si="255"/>
        <v>-0.668419409270381</v>
      </c>
      <c r="W480" s="318">
        <f t="shared" si="243"/>
        <v>-7.13503238089962</v>
      </c>
      <c r="X480" s="319">
        <f t="shared" si="244"/>
        <v>-154.339650095797</v>
      </c>
      <c r="Y480" s="332">
        <f t="shared" si="245"/>
        <v>25.6603499042029</v>
      </c>
      <c r="AA480" s="22">
        <f t="shared" si="246"/>
        <v>57216.5</v>
      </c>
      <c r="AB480" s="22">
        <f t="shared" si="247"/>
        <v>3273727872.25</v>
      </c>
      <c r="AD480" s="331">
        <f t="shared" si="248"/>
        <v>27.2614177534195</v>
      </c>
      <c r="AE480" s="332">
        <f t="shared" si="249"/>
        <v>-17.3726522955168</v>
      </c>
      <c r="AG480" s="331">
        <f t="shared" si="250"/>
        <v>-6.42086901855694</v>
      </c>
      <c r="AH480" s="332">
        <f t="shared" si="251"/>
        <v>-60.3717755211169</v>
      </c>
      <c r="AJ480" s="22">
        <f t="shared" si="252"/>
        <v>0</v>
      </c>
      <c r="AK480" s="22">
        <f t="shared" si="264"/>
        <v>0</v>
      </c>
      <c r="AM480" s="22" t="str">
        <f t="shared" si="256"/>
        <v>0.482738410734581+0.855827347232264i</v>
      </c>
      <c r="AN480" s="22" t="str">
        <f t="shared" si="257"/>
        <v>1.027148204907i</v>
      </c>
      <c r="AO480" s="22" t="str">
        <f t="shared" si="258"/>
        <v>0.83320726565428-0.469979315962772i</v>
      </c>
      <c r="AP480" s="22" t="str">
        <f t="shared" si="259"/>
        <v>0.0862102648775698-0.142637891205377i</v>
      </c>
      <c r="AQ480" s="22" t="str">
        <f t="shared" si="260"/>
        <v>0.91378973512243+0.142637891205377i</v>
      </c>
      <c r="AR480" s="22" t="str">
        <f t="shared" si="261"/>
        <v>0.889905184198356-0.13890963530005i</v>
      </c>
    </row>
    <row r="481" spans="7:44">
      <c r="G481" s="257">
        <v>57544</v>
      </c>
      <c r="H481" s="256">
        <f t="shared" si="253"/>
        <v>57.544</v>
      </c>
      <c r="I481" s="298">
        <f t="shared" si="233"/>
        <v>56.1510787909416</v>
      </c>
      <c r="J481" s="299">
        <f t="shared" si="234"/>
        <v>1.55298628841746</v>
      </c>
      <c r="K481" s="299">
        <f t="shared" si="235"/>
        <v>1.00048330557113</v>
      </c>
      <c r="L481" s="300">
        <f t="shared" si="236"/>
        <v>0.0310841116267508</v>
      </c>
      <c r="M481" s="299">
        <f t="shared" si="237"/>
        <v>1.02059690200021</v>
      </c>
      <c r="N481" s="300">
        <f t="shared" si="238"/>
        <v>-0.201243530103127</v>
      </c>
      <c r="O481" s="298">
        <f t="shared" si="239"/>
        <v>104129.169096923</v>
      </c>
      <c r="P481" s="301">
        <f t="shared" si="240"/>
        <v>1.57078672333788</v>
      </c>
      <c r="Q481" s="320">
        <f t="shared" si="262"/>
        <v>43.3986764067395</v>
      </c>
      <c r="R481" s="321">
        <f t="shared" si="263"/>
        <v>1.54775210991374</v>
      </c>
      <c r="S481" s="298">
        <f t="shared" si="241"/>
        <v>1.04099194390856</v>
      </c>
      <c r="T481" s="301">
        <f t="shared" si="242"/>
        <v>0.281563335287397</v>
      </c>
      <c r="U481" s="316">
        <f t="shared" si="254"/>
        <v>0.860319495493688</v>
      </c>
      <c r="V481" s="317">
        <f t="shared" si="255"/>
        <v>-0.671757400505163</v>
      </c>
      <c r="W481" s="318">
        <f t="shared" si="243"/>
        <v>-7.19939362895528</v>
      </c>
      <c r="X481" s="319">
        <f t="shared" si="244"/>
        <v>-154.670017482978</v>
      </c>
      <c r="Y481" s="332">
        <f t="shared" si="245"/>
        <v>25.3299825170216</v>
      </c>
      <c r="AA481" s="22">
        <f t="shared" si="246"/>
        <v>57544</v>
      </c>
      <c r="AB481" s="22">
        <f t="shared" si="247"/>
        <v>3311311936</v>
      </c>
      <c r="AD481" s="331">
        <f t="shared" si="248"/>
        <v>27.2575839261439</v>
      </c>
      <c r="AE481" s="332">
        <f t="shared" si="249"/>
        <v>-17.4521769294554</v>
      </c>
      <c r="AG481" s="331">
        <f t="shared" si="250"/>
        <v>-6.45542517741226</v>
      </c>
      <c r="AH481" s="332">
        <f t="shared" si="251"/>
        <v>-60.2401126543128</v>
      </c>
      <c r="AJ481" s="22">
        <f t="shared" si="252"/>
        <v>0</v>
      </c>
      <c r="AK481" s="22">
        <f t="shared" si="264"/>
        <v>0</v>
      </c>
      <c r="AM481" s="22" t="str">
        <f t="shared" si="256"/>
        <v>0.487778958328914+0.858853657190436i</v>
      </c>
      <c r="AN481" s="22" t="str">
        <f t="shared" si="257"/>
        <v>1.033027471152i</v>
      </c>
      <c r="AO481" s="22" t="str">
        <f t="shared" si="258"/>
        <v>0.831394789755852-0.47218391761156i</v>
      </c>
      <c r="AP481" s="22" t="str">
        <f t="shared" si="259"/>
        <v>0.0853701736118477-0.143142276198406i</v>
      </c>
      <c r="AQ481" s="22" t="str">
        <f t="shared" si="260"/>
        <v>0.914629826388152+0.143142276198406i</v>
      </c>
      <c r="AR481" s="22" t="str">
        <f t="shared" si="261"/>
        <v>0.888977095071291-0.13912754778538i</v>
      </c>
    </row>
    <row r="482" spans="7:44">
      <c r="G482" s="257">
        <v>57879</v>
      </c>
      <c r="H482" s="256">
        <f t="shared" si="253"/>
        <v>57.879</v>
      </c>
      <c r="I482" s="298">
        <f t="shared" si="233"/>
        <v>56.4778663379949</v>
      </c>
      <c r="J482" s="299">
        <f t="shared" si="234"/>
        <v>1.55308935018752</v>
      </c>
      <c r="K482" s="299">
        <f t="shared" si="235"/>
        <v>1.00048894782648</v>
      </c>
      <c r="L482" s="300">
        <f t="shared" si="236"/>
        <v>0.0312649543285641</v>
      </c>
      <c r="M482" s="299">
        <f t="shared" si="237"/>
        <v>1.02083496054086</v>
      </c>
      <c r="N482" s="300">
        <f t="shared" si="238"/>
        <v>-0.202383454020394</v>
      </c>
      <c r="O482" s="298">
        <f t="shared" si="239"/>
        <v>104735.37081464</v>
      </c>
      <c r="P482" s="301">
        <f t="shared" si="240"/>
        <v>1.57078677892208</v>
      </c>
      <c r="Q482" s="320">
        <f t="shared" si="262"/>
        <v>43.6511937811653</v>
      </c>
      <c r="R482" s="321">
        <f t="shared" si="263"/>
        <v>1.54788544158181</v>
      </c>
      <c r="S482" s="298">
        <f t="shared" si="241"/>
        <v>1.04146108304142</v>
      </c>
      <c r="T482" s="301">
        <f t="shared" si="242"/>
        <v>0.283116524701477</v>
      </c>
      <c r="U482" s="316">
        <f t="shared" si="254"/>
        <v>0.85900079755505</v>
      </c>
      <c r="V482" s="317">
        <f t="shared" si="255"/>
        <v>-0.675165058576313</v>
      </c>
      <c r="W482" s="318">
        <f t="shared" si="243"/>
        <v>-7.26498650815397</v>
      </c>
      <c r="X482" s="319">
        <f t="shared" si="244"/>
        <v>-155.007473260269</v>
      </c>
      <c r="Y482" s="332">
        <f t="shared" si="245"/>
        <v>24.9925267397306</v>
      </c>
      <c r="AA482" s="22">
        <f t="shared" si="246"/>
        <v>57879</v>
      </c>
      <c r="AB482" s="22">
        <f t="shared" si="247"/>
        <v>3349978641</v>
      </c>
      <c r="AD482" s="331">
        <f t="shared" si="248"/>
        <v>27.2536437622386</v>
      </c>
      <c r="AE482" s="332">
        <f t="shared" si="249"/>
        <v>-17.533531970644</v>
      </c>
      <c r="AG482" s="331">
        <f t="shared" si="250"/>
        <v>-6.49042999689872</v>
      </c>
      <c r="AH482" s="332">
        <f t="shared" si="251"/>
        <v>-60.105724538968</v>
      </c>
      <c r="AJ482" s="22">
        <f t="shared" si="252"/>
        <v>0</v>
      </c>
      <c r="AK482" s="22">
        <f t="shared" si="264"/>
        <v>0</v>
      </c>
      <c r="AM482" s="22" t="str">
        <f t="shared" si="256"/>
        <v>0.49295325503456+0.861918556720966i</v>
      </c>
      <c r="AN482" s="22" t="str">
        <f t="shared" si="257"/>
        <v>1.039041377082i</v>
      </c>
      <c r="AO482" s="22" t="str">
        <f t="shared" si="258"/>
        <v>0.829532466879752-0.474430822397996i</v>
      </c>
      <c r="AP482" s="22" t="str">
        <f t="shared" si="259"/>
        <v>0.0845077908275733-0.143653092786828i</v>
      </c>
      <c r="AQ482" s="22" t="str">
        <f t="shared" si="260"/>
        <v>0.915492209172427+0.143653092786828i</v>
      </c>
      <c r="AR482" s="22" t="str">
        <f t="shared" si="261"/>
        <v>0.888028156902858-0.139343612040346i</v>
      </c>
    </row>
    <row r="483" spans="7:44">
      <c r="G483" s="257">
        <v>58214</v>
      </c>
      <c r="H483" s="256">
        <f t="shared" si="253"/>
        <v>58.214</v>
      </c>
      <c r="I483" s="298">
        <f t="shared" si="233"/>
        <v>56.8046544780385</v>
      </c>
      <c r="J483" s="299">
        <f t="shared" si="234"/>
        <v>1.55319122616271</v>
      </c>
      <c r="K483" s="299">
        <f t="shared" si="235"/>
        <v>1.00049462280153</v>
      </c>
      <c r="L483" s="300">
        <f t="shared" si="236"/>
        <v>0.0314457949847506</v>
      </c>
      <c r="M483" s="299">
        <f t="shared" si="237"/>
        <v>1.02107434496202</v>
      </c>
      <c r="N483" s="300">
        <f t="shared" si="238"/>
        <v>-0.203522844921735</v>
      </c>
      <c r="O483" s="298">
        <f t="shared" si="239"/>
        <v>105341.572532356</v>
      </c>
      <c r="P483" s="301">
        <f t="shared" si="240"/>
        <v>1.57078683386655</v>
      </c>
      <c r="Q483" s="320">
        <f t="shared" si="262"/>
        <v>43.9037119226664</v>
      </c>
      <c r="R483" s="321">
        <f t="shared" si="263"/>
        <v>1.54801723950193</v>
      </c>
      <c r="S483" s="298">
        <f t="shared" si="241"/>
        <v>1.04193273232624</v>
      </c>
      <c r="T483" s="301">
        <f t="shared" si="242"/>
        <v>0.284668311698934</v>
      </c>
      <c r="U483" s="316">
        <f t="shared" si="254"/>
        <v>0.857680073624643</v>
      </c>
      <c r="V483" s="317">
        <f t="shared" si="255"/>
        <v>-0.678565867350856</v>
      </c>
      <c r="W483" s="318">
        <f t="shared" si="243"/>
        <v>-7.33033727931988</v>
      </c>
      <c r="X483" s="319">
        <f t="shared" si="244"/>
        <v>-155.34444572645</v>
      </c>
      <c r="Y483" s="332">
        <f t="shared" si="245"/>
        <v>24.6555542735501</v>
      </c>
      <c r="AA483" s="22">
        <f t="shared" si="246"/>
        <v>58214</v>
      </c>
      <c r="AB483" s="22">
        <f t="shared" si="247"/>
        <v>3388869796</v>
      </c>
      <c r="AD483" s="331">
        <f t="shared" si="248"/>
        <v>27.2496848933737</v>
      </c>
      <c r="AE483" s="332">
        <f t="shared" si="249"/>
        <v>-17.6148944999093</v>
      </c>
      <c r="AG483" s="331">
        <f t="shared" si="250"/>
        <v>-6.52509202818455</v>
      </c>
      <c r="AH483" s="332">
        <f t="shared" si="251"/>
        <v>-59.9716304960132</v>
      </c>
      <c r="AJ483" s="22">
        <f t="shared" si="252"/>
        <v>0</v>
      </c>
      <c r="AK483" s="22">
        <f t="shared" si="264"/>
        <v>0</v>
      </c>
      <c r="AM483" s="22" t="str">
        <f t="shared" si="256"/>
        <v>0.498145890077284+0.864952283281383i</v>
      </c>
      <c r="AN483" s="22" t="str">
        <f t="shared" si="257"/>
        <v>1.045055283012i</v>
      </c>
      <c r="AO483" s="22" t="str">
        <f t="shared" si="258"/>
        <v>0.827661748944483-0.476669414695035i</v>
      </c>
      <c r="AP483" s="22" t="str">
        <f t="shared" si="259"/>
        <v>0.083642351653786-0.14415871388023i</v>
      </c>
      <c r="AQ483" s="22" t="str">
        <f t="shared" si="260"/>
        <v>0.916357648346214+0.14415871388023i</v>
      </c>
      <c r="AR483" s="22" t="str">
        <f t="shared" si="261"/>
        <v>0.887079679917664-0.139552789237921i</v>
      </c>
    </row>
    <row r="484" spans="7:44">
      <c r="G484" s="257">
        <v>58549</v>
      </c>
      <c r="H484" s="256">
        <f t="shared" si="253"/>
        <v>58.549</v>
      </c>
      <c r="I484" s="298">
        <f t="shared" si="233"/>
        <v>57.1314432008969</v>
      </c>
      <c r="J484" s="299">
        <f t="shared" si="234"/>
        <v>1.55329193668895</v>
      </c>
      <c r="K484" s="299">
        <f t="shared" si="235"/>
        <v>1.00050033049572</v>
      </c>
      <c r="L484" s="300">
        <f t="shared" si="236"/>
        <v>0.0316266335835171</v>
      </c>
      <c r="M484" s="299">
        <f t="shared" si="237"/>
        <v>1.02131505433136</v>
      </c>
      <c r="N484" s="300">
        <f t="shared" si="238"/>
        <v>-0.204661700224653</v>
      </c>
      <c r="O484" s="298">
        <f t="shared" si="239"/>
        <v>105947.774250073</v>
      </c>
      <c r="P484" s="301">
        <f t="shared" si="240"/>
        <v>1.57078688818227</v>
      </c>
      <c r="Q484" s="320">
        <f t="shared" si="262"/>
        <v>44.1562308180827</v>
      </c>
      <c r="R484" s="321">
        <f t="shared" si="263"/>
        <v>1.54814752998289</v>
      </c>
      <c r="S484" s="298">
        <f t="shared" si="241"/>
        <v>1.04240688835576</v>
      </c>
      <c r="T484" s="301">
        <f t="shared" si="242"/>
        <v>0.286218690714937</v>
      </c>
      <c r="U484" s="316">
        <f t="shared" si="254"/>
        <v>0.85635737999575</v>
      </c>
      <c r="V484" s="317">
        <f t="shared" si="255"/>
        <v>-0.681959830344567</v>
      </c>
      <c r="W484" s="318">
        <f t="shared" si="243"/>
        <v>-7.39544883347935</v>
      </c>
      <c r="X484" s="319">
        <f t="shared" si="244"/>
        <v>-155.680934275809</v>
      </c>
      <c r="Y484" s="332">
        <f t="shared" si="245"/>
        <v>24.319065724191</v>
      </c>
      <c r="AA484" s="22">
        <f t="shared" si="246"/>
        <v>58549</v>
      </c>
      <c r="AB484" s="22">
        <f t="shared" si="247"/>
        <v>3427985401</v>
      </c>
      <c r="AD484" s="331">
        <f t="shared" si="248"/>
        <v>27.2457073643097</v>
      </c>
      <c r="AE484" s="332">
        <f t="shared" si="249"/>
        <v>-17.6962626916565</v>
      </c>
      <c r="AG484" s="331">
        <f t="shared" si="250"/>
        <v>-6.559415033155</v>
      </c>
      <c r="AH484" s="332">
        <f t="shared" si="251"/>
        <v>-59.8378313424541</v>
      </c>
      <c r="AJ484" s="22">
        <f t="shared" si="252"/>
        <v>0</v>
      </c>
      <c r="AK484" s="22">
        <f t="shared" si="264"/>
        <v>0</v>
      </c>
      <c r="AM484" s="22" t="str">
        <f t="shared" si="256"/>
        <v>0.503356675655284+0.867954727151036i</v>
      </c>
      <c r="AN484" s="22" t="str">
        <f t="shared" si="257"/>
        <v>1.051069188942i</v>
      </c>
      <c r="AO484" s="22" t="str">
        <f t="shared" si="258"/>
        <v>0.825782675662593-0.478899658510549i</v>
      </c>
      <c r="AP484" s="22" t="str">
        <f t="shared" si="259"/>
        <v>0.082773887390786-0.144659121191839i</v>
      </c>
      <c r="AQ484" s="22" t="str">
        <f t="shared" si="260"/>
        <v>0.917226112609214+0.144659121191839i</v>
      </c>
      <c r="AR484" s="22" t="str">
        <f t="shared" si="261"/>
        <v>0.886131715607718-0.139755108885178i</v>
      </c>
    </row>
    <row r="485" spans="7:44">
      <c r="G485" s="257">
        <v>58884</v>
      </c>
      <c r="H485" s="256">
        <f t="shared" si="253"/>
        <v>58.884</v>
      </c>
      <c r="I485" s="298">
        <f t="shared" si="233"/>
        <v>57.4582324966261</v>
      </c>
      <c r="J485" s="299">
        <f t="shared" si="234"/>
        <v>1.55339150164938</v>
      </c>
      <c r="K485" s="299">
        <f t="shared" si="235"/>
        <v>1.00050607090851</v>
      </c>
      <c r="L485" s="300">
        <f t="shared" si="236"/>
        <v>0.0318074701130711</v>
      </c>
      <c r="M485" s="299">
        <f t="shared" si="237"/>
        <v>1.02155708771229</v>
      </c>
      <c r="N485" s="300">
        <f t="shared" si="238"/>
        <v>-0.205800017354634</v>
      </c>
      <c r="O485" s="298">
        <f t="shared" si="239"/>
        <v>106553.97596779</v>
      </c>
      <c r="P485" s="301">
        <f t="shared" si="240"/>
        <v>1.57078694187997</v>
      </c>
      <c r="Q485" s="320">
        <f t="shared" si="262"/>
        <v>44.4087504545533</v>
      </c>
      <c r="R485" s="321">
        <f t="shared" si="263"/>
        <v>1.54827633873529</v>
      </c>
      <c r="S485" s="298">
        <f t="shared" si="241"/>
        <v>1.04288354771086</v>
      </c>
      <c r="T485" s="301">
        <f t="shared" si="242"/>
        <v>0.287767656221827</v>
      </c>
      <c r="U485" s="316">
        <f t="shared" si="254"/>
        <v>0.855032772518987</v>
      </c>
      <c r="V485" s="317">
        <f t="shared" si="255"/>
        <v>-0.685346951442842</v>
      </c>
      <c r="W485" s="318">
        <f t="shared" si="243"/>
        <v>-7.46032400627983</v>
      </c>
      <c r="X485" s="319">
        <f t="shared" si="244"/>
        <v>-156.016938334145</v>
      </c>
      <c r="Y485" s="332">
        <f t="shared" si="245"/>
        <v>23.9830616658552</v>
      </c>
      <c r="AA485" s="22">
        <f t="shared" si="246"/>
        <v>58884</v>
      </c>
      <c r="AB485" s="22">
        <f t="shared" si="247"/>
        <v>3467325456</v>
      </c>
      <c r="AD485" s="331">
        <f t="shared" si="248"/>
        <v>27.2417112202524</v>
      </c>
      <c r="AE485" s="332">
        <f t="shared" si="249"/>
        <v>-17.7776347566798</v>
      </c>
      <c r="AG485" s="331">
        <f t="shared" si="250"/>
        <v>-6.59340271479638</v>
      </c>
      <c r="AH485" s="332">
        <f t="shared" si="251"/>
        <v>-59.7043278480608</v>
      </c>
      <c r="AJ485" s="22">
        <f t="shared" si="252"/>
        <v>0</v>
      </c>
      <c r="AK485" s="22">
        <f t="shared" si="264"/>
        <v>0</v>
      </c>
      <c r="AM485" s="22" t="str">
        <f t="shared" si="256"/>
        <v>0.50858542331031+0.870925779740669i</v>
      </c>
      <c r="AN485" s="22" t="str">
        <f t="shared" si="257"/>
        <v>1.057083094872i</v>
      </c>
      <c r="AO485" s="22" t="str">
        <f t="shared" si="258"/>
        <v>0.823895286913209-0.481121518050474i</v>
      </c>
      <c r="AP485" s="22" t="str">
        <f t="shared" si="259"/>
        <v>0.0819024294482817-0.145154296623445i</v>
      </c>
      <c r="AQ485" s="22" t="str">
        <f t="shared" si="260"/>
        <v>0.918097570551718+0.145154296623445i</v>
      </c>
      <c r="AR485" s="22" t="str">
        <f t="shared" si="261"/>
        <v>0.885184314874027-0.139950600817332i</v>
      </c>
    </row>
    <row r="486" spans="7:44">
      <c r="G486" s="257">
        <v>59227</v>
      </c>
      <c r="H486" s="256">
        <f t="shared" si="253"/>
        <v>59.227</v>
      </c>
      <c r="I486" s="298">
        <f t="shared" si="233"/>
        <v>57.7928262992411</v>
      </c>
      <c r="J486" s="299">
        <f t="shared" si="234"/>
        <v>1.55349227764553</v>
      </c>
      <c r="K486" s="299">
        <f t="shared" si="235"/>
        <v>1.00051198230511</v>
      </c>
      <c r="L486" s="300">
        <f t="shared" si="236"/>
        <v>0.0319926229706748</v>
      </c>
      <c r="M486" s="299">
        <f t="shared" si="237"/>
        <v>1.02180627182865</v>
      </c>
      <c r="N486" s="300">
        <f t="shared" si="238"/>
        <v>-0.206964957892756</v>
      </c>
      <c r="O486" s="298">
        <f t="shared" si="239"/>
        <v>107174.654144438</v>
      </c>
      <c r="P486" s="301">
        <f t="shared" si="240"/>
        <v>1.57078699623061</v>
      </c>
      <c r="Q486" s="320">
        <f t="shared" si="262"/>
        <v>44.667301165386</v>
      </c>
      <c r="R486" s="321">
        <f t="shared" si="263"/>
        <v>1.54840671453006</v>
      </c>
      <c r="S486" s="298">
        <f t="shared" si="241"/>
        <v>1.04337418010349</v>
      </c>
      <c r="T486" s="301">
        <f t="shared" si="242"/>
        <v>0.289352141670704</v>
      </c>
      <c r="U486" s="316">
        <f t="shared" si="254"/>
        <v>0.853674607536454</v>
      </c>
      <c r="V486" s="317">
        <f t="shared" si="255"/>
        <v>-0.688807874527475</v>
      </c>
      <c r="W486" s="318">
        <f t="shared" si="243"/>
        <v>-7.52650642542067</v>
      </c>
      <c r="X486" s="319">
        <f t="shared" si="244"/>
        <v>-156.360463818866</v>
      </c>
      <c r="Y486" s="332">
        <f t="shared" si="245"/>
        <v>23.6395361811337</v>
      </c>
      <c r="AA486" s="22">
        <f t="shared" si="246"/>
        <v>59227</v>
      </c>
      <c r="AB486" s="22">
        <f t="shared" si="247"/>
        <v>3507837529</v>
      </c>
      <c r="AD486" s="331">
        <f t="shared" si="248"/>
        <v>27.2376004064475</v>
      </c>
      <c r="AE486" s="332">
        <f t="shared" si="249"/>
        <v>-17.8609522169673</v>
      </c>
      <c r="AG486" s="331">
        <f t="shared" si="250"/>
        <v>-6.62785841873082</v>
      </c>
      <c r="AH486" s="332">
        <f t="shared" si="251"/>
        <v>-59.5679433001043</v>
      </c>
      <c r="AJ486" s="22">
        <f t="shared" si="252"/>
        <v>0</v>
      </c>
      <c r="AK486" s="22">
        <f t="shared" si="264"/>
        <v>0</v>
      </c>
      <c r="AM486" s="22" t="str">
        <f t="shared" si="256"/>
        <v>0.513957449697898+0.873935145932367i</v>
      </c>
      <c r="AN486" s="22" t="str">
        <f t="shared" si="257"/>
        <v>1.063240616466i</v>
      </c>
      <c r="AO486" s="22" t="str">
        <f t="shared" si="258"/>
        <v>0.821954252309466-0.483387712751409i</v>
      </c>
      <c r="AP486" s="22" t="str">
        <f t="shared" si="259"/>
        <v>0.081007091717017-0.145655857655394i</v>
      </c>
      <c r="AQ486" s="22" t="str">
        <f t="shared" si="260"/>
        <v>0.918992908282983+0.145655857655394i</v>
      </c>
      <c r="AR486" s="22" t="str">
        <f t="shared" si="261"/>
        <v>0.884214926108087-0.140143718469605i</v>
      </c>
    </row>
    <row r="487" spans="7:44">
      <c r="G487" s="257">
        <v>59570</v>
      </c>
      <c r="H487" s="256">
        <f t="shared" si="253"/>
        <v>59.57</v>
      </c>
      <c r="I487" s="298">
        <f t="shared" si="233"/>
        <v>58.1274206820316</v>
      </c>
      <c r="J487" s="299">
        <f t="shared" si="234"/>
        <v>1.55359189346451</v>
      </c>
      <c r="K487" s="299">
        <f t="shared" si="235"/>
        <v>1.00051792800045</v>
      </c>
      <c r="L487" s="300">
        <f t="shared" si="236"/>
        <v>0.0321777736340405</v>
      </c>
      <c r="M487" s="299">
        <f t="shared" si="237"/>
        <v>1.02205684194721</v>
      </c>
      <c r="N487" s="300">
        <f t="shared" si="238"/>
        <v>-0.20812932881067</v>
      </c>
      <c r="O487" s="298">
        <f t="shared" si="239"/>
        <v>107795.332321086</v>
      </c>
      <c r="P487" s="301">
        <f t="shared" si="240"/>
        <v>1.57078704995537</v>
      </c>
      <c r="Q487" s="320">
        <f t="shared" si="262"/>
        <v>44.9258526267276</v>
      </c>
      <c r="R487" s="321">
        <f t="shared" si="263"/>
        <v>1.54853558968315</v>
      </c>
      <c r="S487" s="298">
        <f t="shared" si="241"/>
        <v>1.043867429519</v>
      </c>
      <c r="T487" s="301">
        <f t="shared" si="242"/>
        <v>0.290935133685007</v>
      </c>
      <c r="U487" s="316">
        <f t="shared" si="254"/>
        <v>0.852314553275884</v>
      </c>
      <c r="V487" s="317">
        <f t="shared" si="255"/>
        <v>-0.692261634450238</v>
      </c>
      <c r="W487" s="318">
        <f t="shared" si="243"/>
        <v>-7.5924468827171</v>
      </c>
      <c r="X487" s="319">
        <f t="shared" si="244"/>
        <v>-156.703480277352</v>
      </c>
      <c r="Y487" s="332">
        <f t="shared" si="245"/>
        <v>23.2965197226481</v>
      </c>
      <c r="AA487" s="22">
        <f t="shared" si="246"/>
        <v>59570</v>
      </c>
      <c r="AB487" s="22">
        <f t="shared" si="247"/>
        <v>3548584900</v>
      </c>
      <c r="AD487" s="331">
        <f t="shared" si="248"/>
        <v>27.233470175249</v>
      </c>
      <c r="AE487" s="332">
        <f t="shared" si="249"/>
        <v>-17.9442700543304</v>
      </c>
      <c r="AG487" s="331">
        <f t="shared" si="250"/>
        <v>-6.66197026553499</v>
      </c>
      <c r="AH487" s="332">
        <f t="shared" si="251"/>
        <v>-59.4318701867227</v>
      </c>
      <c r="AJ487" s="22">
        <f t="shared" si="252"/>
        <v>0</v>
      </c>
      <c r="AK487" s="22">
        <f t="shared" si="264"/>
        <v>0</v>
      </c>
      <c r="AM487" s="22" t="str">
        <f t="shared" si="256"/>
        <v>0.519347904365637+0.87691137691462i</v>
      </c>
      <c r="AN487" s="22" t="str">
        <f t="shared" si="257"/>
        <v>1.06939813806i</v>
      </c>
      <c r="AO487" s="22" t="str">
        <f t="shared" si="258"/>
        <v>0.820004585481539-0.48564504264781i</v>
      </c>
      <c r="AP487" s="22" t="str">
        <f t="shared" si="259"/>
        <v>0.0801086826057272-0.146151896152437i</v>
      </c>
      <c r="AQ487" s="22" t="str">
        <f t="shared" si="260"/>
        <v>0.919891317394273+0.146151896152437i</v>
      </c>
      <c r="AR487" s="22" t="str">
        <f t="shared" si="261"/>
        <v>0.88324623425674-0.140329742726329i</v>
      </c>
    </row>
    <row r="488" spans="7:44">
      <c r="G488" s="257">
        <v>59913</v>
      </c>
      <c r="H488" s="256">
        <f t="shared" si="253"/>
        <v>59.913</v>
      </c>
      <c r="I488" s="298">
        <f t="shared" si="233"/>
        <v>58.462015635036</v>
      </c>
      <c r="J488" s="299">
        <f t="shared" si="234"/>
        <v>1.55369036902442</v>
      </c>
      <c r="K488" s="299">
        <f t="shared" si="235"/>
        <v>1.00052390799389</v>
      </c>
      <c r="L488" s="300">
        <f t="shared" si="236"/>
        <v>0.0323629220905131</v>
      </c>
      <c r="M488" s="299">
        <f t="shared" si="237"/>
        <v>1.02230879704882</v>
      </c>
      <c r="N488" s="300">
        <f t="shared" si="238"/>
        <v>-0.209293127371173</v>
      </c>
      <c r="O488" s="298">
        <f t="shared" si="239"/>
        <v>108416.010497735</v>
      </c>
      <c r="P488" s="301">
        <f t="shared" si="240"/>
        <v>1.57078710306497</v>
      </c>
      <c r="Q488" s="320">
        <f t="shared" si="262"/>
        <v>45.1844048256946</v>
      </c>
      <c r="R488" s="321">
        <f t="shared" si="263"/>
        <v>1.54866298995096</v>
      </c>
      <c r="S488" s="298">
        <f t="shared" si="241"/>
        <v>1.04436329224934</v>
      </c>
      <c r="T488" s="301">
        <f t="shared" si="242"/>
        <v>0.292516626452882</v>
      </c>
      <c r="U488" s="316">
        <f t="shared" si="254"/>
        <v>0.850952668232172</v>
      </c>
      <c r="V488" s="317">
        <f t="shared" si="255"/>
        <v>-0.695708236557929</v>
      </c>
      <c r="W488" s="318">
        <f t="shared" si="243"/>
        <v>-7.6581482499491</v>
      </c>
      <c r="X488" s="319">
        <f t="shared" si="244"/>
        <v>-157.045987192955</v>
      </c>
      <c r="Y488" s="332">
        <f t="shared" si="245"/>
        <v>22.9540128070448</v>
      </c>
      <c r="AA488" s="22">
        <f t="shared" si="246"/>
        <v>59913</v>
      </c>
      <c r="AB488" s="22">
        <f t="shared" si="247"/>
        <v>3589567569</v>
      </c>
      <c r="AD488" s="331">
        <f t="shared" si="248"/>
        <v>27.2293205765503</v>
      </c>
      <c r="AE488" s="332">
        <f t="shared" si="249"/>
        <v>-18.0275864606577</v>
      </c>
      <c r="AG488" s="331">
        <f t="shared" si="250"/>
        <v>-6.69574204614647</v>
      </c>
      <c r="AH488" s="332">
        <f t="shared" si="251"/>
        <v>-59.296109186685</v>
      </c>
      <c r="AJ488" s="22">
        <f t="shared" si="252"/>
        <v>0</v>
      </c>
      <c r="AK488" s="22">
        <f t="shared" si="264"/>
        <v>0</v>
      </c>
      <c r="AM488" s="22" t="str">
        <f t="shared" si="256"/>
        <v>0.524756582934695+0.879854359843771i</v>
      </c>
      <c r="AN488" s="22" t="str">
        <f t="shared" si="257"/>
        <v>1.075555659654i</v>
      </c>
      <c r="AO488" s="22" t="str">
        <f t="shared" si="258"/>
        <v>0.818046329770432-0.487893469970216i</v>
      </c>
      <c r="AP488" s="22" t="str">
        <f t="shared" si="259"/>
        <v>0.0792072361775508-0.146642393307295i</v>
      </c>
      <c r="AQ488" s="22" t="str">
        <f t="shared" si="260"/>
        <v>0.920792763822449+0.146642393307295i</v>
      </c>
      <c r="AR488" s="22" t="str">
        <f t="shared" si="261"/>
        <v>0.882278292032561-0.14050870661672i</v>
      </c>
    </row>
    <row r="489" spans="7:44">
      <c r="G489" s="257">
        <v>60256</v>
      </c>
      <c r="H489" s="256">
        <f t="shared" si="253"/>
        <v>60.256</v>
      </c>
      <c r="I489" s="298">
        <f t="shared" si="233"/>
        <v>58.7966111485196</v>
      </c>
      <c r="J489" s="299">
        <f t="shared" si="234"/>
        <v>1.55378772379003</v>
      </c>
      <c r="K489" s="299">
        <f t="shared" si="235"/>
        <v>1.00052992228484</v>
      </c>
      <c r="L489" s="300">
        <f t="shared" si="236"/>
        <v>0.0325480683274387</v>
      </c>
      <c r="M489" s="299">
        <f t="shared" si="237"/>
        <v>1.02256213610973</v>
      </c>
      <c r="N489" s="300">
        <f t="shared" si="238"/>
        <v>-0.210456350845954</v>
      </c>
      <c r="O489" s="298">
        <f t="shared" si="239"/>
        <v>109036.688674384</v>
      </c>
      <c r="P489" s="301">
        <f t="shared" si="240"/>
        <v>1.57078715556994</v>
      </c>
      <c r="Q489" s="320">
        <f t="shared" si="262"/>
        <v>45.4429577496967</v>
      </c>
      <c r="R489" s="321">
        <f t="shared" si="263"/>
        <v>1.5487889405039</v>
      </c>
      <c r="S489" s="298">
        <f t="shared" si="241"/>
        <v>1.0448617645739</v>
      </c>
      <c r="T489" s="301">
        <f t="shared" si="242"/>
        <v>0.294096614203482</v>
      </c>
      <c r="U489" s="316">
        <f t="shared" si="254"/>
        <v>0.849589010406851</v>
      </c>
      <c r="V489" s="317">
        <f t="shared" si="255"/>
        <v>-0.699147686584616</v>
      </c>
      <c r="W489" s="318">
        <f t="shared" si="243"/>
        <v>-7.72361334367519</v>
      </c>
      <c r="X489" s="319">
        <f t="shared" si="244"/>
        <v>-157.387984081667</v>
      </c>
      <c r="Y489" s="332">
        <f t="shared" si="245"/>
        <v>22.6120159183327</v>
      </c>
      <c r="AA489" s="22">
        <f t="shared" si="246"/>
        <v>60256</v>
      </c>
      <c r="AB489" s="22">
        <f t="shared" si="247"/>
        <v>3630785536</v>
      </c>
      <c r="AD489" s="331">
        <f t="shared" si="248"/>
        <v>27.225151660682</v>
      </c>
      <c r="AE489" s="332">
        <f t="shared" si="249"/>
        <v>-18.1108996637471</v>
      </c>
      <c r="AG489" s="331">
        <f t="shared" si="250"/>
        <v>-6.72917749218576</v>
      </c>
      <c r="AH489" s="332">
        <f t="shared" si="251"/>
        <v>-59.1606609311068</v>
      </c>
      <c r="AJ489" s="22">
        <f t="shared" si="252"/>
        <v>0</v>
      </c>
      <c r="AK489" s="22">
        <f t="shared" si="264"/>
        <v>0</v>
      </c>
      <c r="AM489" s="22" t="str">
        <f t="shared" si="256"/>
        <v>0.530183280335283+0.882763983136764i</v>
      </c>
      <c r="AN489" s="22" t="str">
        <f t="shared" si="257"/>
        <v>1.081713181248i</v>
      </c>
      <c r="AO489" s="22" t="str">
        <f t="shared" si="258"/>
        <v>0.816079528695672-0.4901329571704i</v>
      </c>
      <c r="AP489" s="22" t="str">
        <f t="shared" si="259"/>
        <v>0.0783027866107862-0.147127330522794i</v>
      </c>
      <c r="AQ489" s="22" t="str">
        <f t="shared" si="260"/>
        <v>0.921697213389214+0.147127330522794i</v>
      </c>
      <c r="AR489" s="22" t="str">
        <f t="shared" si="261"/>
        <v>0.881311151501139-0.140680643487611i</v>
      </c>
    </row>
    <row r="490" spans="7:44">
      <c r="G490" s="257">
        <v>60607</v>
      </c>
      <c r="H490" s="256">
        <f t="shared" si="253"/>
        <v>60.607</v>
      </c>
      <c r="I490" s="298">
        <f t="shared" si="233"/>
        <v>59.1390112093091</v>
      </c>
      <c r="J490" s="299">
        <f t="shared" si="234"/>
        <v>1.55388620875568</v>
      </c>
      <c r="K490" s="299">
        <f t="shared" si="235"/>
        <v>1.00053611235689</v>
      </c>
      <c r="L490" s="300">
        <f t="shared" si="236"/>
        <v>0.032737530532939</v>
      </c>
      <c r="M490" s="299">
        <f t="shared" si="237"/>
        <v>1.02282281563459</v>
      </c>
      <c r="N490" s="300">
        <f t="shared" si="238"/>
        <v>-0.211646106698545</v>
      </c>
      <c r="O490" s="298">
        <f t="shared" si="239"/>
        <v>109671.843309964</v>
      </c>
      <c r="P490" s="301">
        <f t="shared" si="240"/>
        <v>1.57078720868427</v>
      </c>
      <c r="Q490" s="320">
        <f t="shared" si="262"/>
        <v>45.707541800358</v>
      </c>
      <c r="R490" s="321">
        <f t="shared" si="263"/>
        <v>1.54891635351398</v>
      </c>
      <c r="S490" s="298">
        <f t="shared" si="241"/>
        <v>1.04537456078206</v>
      </c>
      <c r="T490" s="301">
        <f t="shared" si="242"/>
        <v>0.295711888922332</v>
      </c>
      <c r="U490" s="316">
        <f t="shared" si="254"/>
        <v>0.848191771860022</v>
      </c>
      <c r="V490" s="317">
        <f t="shared" si="255"/>
        <v>-0.702659959158903</v>
      </c>
      <c r="W490" s="318">
        <f t="shared" si="243"/>
        <v>-7.7903635981377</v>
      </c>
      <c r="X490" s="319">
        <f t="shared" si="244"/>
        <v>-157.737429093841</v>
      </c>
      <c r="Y490" s="332">
        <f t="shared" si="245"/>
        <v>22.2625709061594</v>
      </c>
      <c r="AA490" s="22">
        <f t="shared" si="246"/>
        <v>60607</v>
      </c>
      <c r="AB490" s="22">
        <f t="shared" si="247"/>
        <v>3673208449</v>
      </c>
      <c r="AD490" s="331">
        <f t="shared" si="248"/>
        <v>27.2208655653371</v>
      </c>
      <c r="AE490" s="332">
        <f t="shared" si="249"/>
        <v>-18.1961509034829</v>
      </c>
      <c r="AG490" s="331">
        <f t="shared" si="250"/>
        <v>-6.76304841315981</v>
      </c>
      <c r="AH490" s="332">
        <f t="shared" si="251"/>
        <v>-59.0223779130718</v>
      </c>
      <c r="AJ490" s="22">
        <f t="shared" si="252"/>
        <v>0</v>
      </c>
      <c r="AK490" s="22">
        <f t="shared" si="264"/>
        <v>0</v>
      </c>
      <c r="AM490" s="22" t="str">
        <f t="shared" si="256"/>
        <v>0.535754987399199+0.885706818464938i</v>
      </c>
      <c r="AN490" s="22" t="str">
        <f t="shared" si="257"/>
        <v>1.088014318506i</v>
      </c>
      <c r="AO490" s="22" t="str">
        <f t="shared" si="258"/>
        <v>0.814058053648725-0.492415383039138i</v>
      </c>
      <c r="AP490" s="22" t="str">
        <f t="shared" si="259"/>
        <v>0.0773741687668002-0.14761780307749i</v>
      </c>
      <c r="AQ490" s="22" t="str">
        <f t="shared" si="260"/>
        <v>0.9226258312332+0.14761780307749i</v>
      </c>
      <c r="AR490" s="22" t="str">
        <f t="shared" si="261"/>
        <v>0.880322337357032-0.140849350886904i</v>
      </c>
    </row>
    <row r="491" spans="7:44">
      <c r="G491" s="257">
        <v>60958</v>
      </c>
      <c r="H491" s="256">
        <f t="shared" si="253"/>
        <v>60.958</v>
      </c>
      <c r="I491" s="298">
        <f t="shared" si="233"/>
        <v>59.481411837101</v>
      </c>
      <c r="J491" s="299">
        <f t="shared" si="234"/>
        <v>1.5539835598785</v>
      </c>
      <c r="K491" s="299">
        <f t="shared" si="235"/>
        <v>1.00054233834367</v>
      </c>
      <c r="L491" s="300">
        <f t="shared" si="236"/>
        <v>0.0329269903873405</v>
      </c>
      <c r="M491" s="299">
        <f t="shared" si="237"/>
        <v>1.02308494224557</v>
      </c>
      <c r="N491" s="300">
        <f t="shared" si="238"/>
        <v>-0.212835254574292</v>
      </c>
      <c r="O491" s="298">
        <f t="shared" si="239"/>
        <v>110306.997945544</v>
      </c>
      <c r="P491" s="301">
        <f t="shared" si="240"/>
        <v>1.57078726118692</v>
      </c>
      <c r="Q491" s="320">
        <f t="shared" si="262"/>
        <v>45.9721265844978</v>
      </c>
      <c r="R491" s="321">
        <f t="shared" si="263"/>
        <v>1.5490422999181</v>
      </c>
      <c r="S491" s="298">
        <f t="shared" si="241"/>
        <v>1.04589008181126</v>
      </c>
      <c r="T491" s="301">
        <f t="shared" si="242"/>
        <v>0.297325575504621</v>
      </c>
      <c r="U491" s="316">
        <f t="shared" si="254"/>
        <v>0.846792798177718</v>
      </c>
      <c r="V491" s="317">
        <f t="shared" si="255"/>
        <v>-0.706164755507493</v>
      </c>
      <c r="W491" s="318">
        <f t="shared" si="243"/>
        <v>-7.85687222538264</v>
      </c>
      <c r="X491" s="319">
        <f t="shared" si="244"/>
        <v>-158.086339087389</v>
      </c>
      <c r="Y491" s="332">
        <f t="shared" si="245"/>
        <v>21.9136609126108</v>
      </c>
      <c r="AA491" s="22">
        <f t="shared" si="246"/>
        <v>60958</v>
      </c>
      <c r="AB491" s="22">
        <f t="shared" si="247"/>
        <v>3715877764</v>
      </c>
      <c r="AD491" s="331">
        <f t="shared" si="248"/>
        <v>27.2165593492122</v>
      </c>
      <c r="AE491" s="332">
        <f t="shared" si="249"/>
        <v>-18.2813951449814</v>
      </c>
      <c r="AG491" s="331">
        <f t="shared" si="250"/>
        <v>-6.79657484932386</v>
      </c>
      <c r="AH491" s="332">
        <f t="shared" si="251"/>
        <v>-58.8844235870085</v>
      </c>
      <c r="AJ491" s="22">
        <f t="shared" si="252"/>
        <v>0</v>
      </c>
      <c r="AK491" s="22">
        <f t="shared" si="264"/>
        <v>0</v>
      </c>
      <c r="AM491" s="22" t="str">
        <f t="shared" si="256"/>
        <v>0.541345126939654+0.888614487513004i</v>
      </c>
      <c r="AN491" s="22" t="str">
        <f t="shared" si="257"/>
        <v>1.094315455764i</v>
      </c>
      <c r="AO491" s="22" t="str">
        <f t="shared" si="258"/>
        <v>0.812027722748935-0.494688368046225i</v>
      </c>
      <c r="AP491" s="22" t="str">
        <f t="shared" si="259"/>
        <v>0.076442478843391-0.148102414585501i</v>
      </c>
      <c r="AQ491" s="22" t="str">
        <f t="shared" si="260"/>
        <v>0.923557521156609+0.148102414585501i</v>
      </c>
      <c r="AR491" s="22" t="str">
        <f t="shared" si="261"/>
        <v>0.879334470985188-0.141010771281551i</v>
      </c>
    </row>
    <row r="492" spans="7:44">
      <c r="G492" s="257">
        <v>61309</v>
      </c>
      <c r="H492" s="256">
        <f t="shared" si="253"/>
        <v>61.309</v>
      </c>
      <c r="I492" s="298">
        <f t="shared" si="233"/>
        <v>59.8238130221598</v>
      </c>
      <c r="J492" s="299">
        <f t="shared" si="234"/>
        <v>1.55407979662524</v>
      </c>
      <c r="K492" s="299">
        <f t="shared" si="235"/>
        <v>1.0005486002445</v>
      </c>
      <c r="L492" s="300">
        <f t="shared" si="236"/>
        <v>0.0331164478770859</v>
      </c>
      <c r="M492" s="299">
        <f t="shared" si="237"/>
        <v>1.02334851483067</v>
      </c>
      <c r="N492" s="300">
        <f t="shared" si="238"/>
        <v>-0.214023791578604</v>
      </c>
      <c r="O492" s="298">
        <f t="shared" si="239"/>
        <v>110942.152581124</v>
      </c>
      <c r="P492" s="301">
        <f t="shared" si="240"/>
        <v>1.57078731308841</v>
      </c>
      <c r="Q492" s="320">
        <f t="shared" si="262"/>
        <v>46.2367120895243</v>
      </c>
      <c r="R492" s="321">
        <f t="shared" si="263"/>
        <v>1.54916680488982</v>
      </c>
      <c r="S492" s="298">
        <f t="shared" si="241"/>
        <v>1.04640832363427</v>
      </c>
      <c r="T492" s="301">
        <f t="shared" si="242"/>
        <v>0.298937667899773</v>
      </c>
      <c r="U492" s="316">
        <f t="shared" si="254"/>
        <v>0.84539214990201</v>
      </c>
      <c r="V492" s="317">
        <f t="shared" si="255"/>
        <v>-0.709662083003246</v>
      </c>
      <c r="W492" s="318">
        <f t="shared" si="243"/>
        <v>-7.92314207263115</v>
      </c>
      <c r="X492" s="319">
        <f t="shared" si="244"/>
        <v>-158.43471364663</v>
      </c>
      <c r="Y492" s="332">
        <f t="shared" si="245"/>
        <v>21.5652863533705</v>
      </c>
      <c r="AA492" s="22">
        <f t="shared" si="246"/>
        <v>61309</v>
      </c>
      <c r="AB492" s="22">
        <f t="shared" si="247"/>
        <v>3758793481</v>
      </c>
      <c r="AD492" s="331">
        <f t="shared" si="248"/>
        <v>27.2122330675857</v>
      </c>
      <c r="AE492" s="332">
        <f t="shared" si="249"/>
        <v>-18.3666305998346</v>
      </c>
      <c r="AG492" s="331">
        <f t="shared" si="250"/>
        <v>-6.82976061483275</v>
      </c>
      <c r="AH492" s="332">
        <f t="shared" si="251"/>
        <v>-58.7467984807745</v>
      </c>
      <c r="AJ492" s="22">
        <f t="shared" si="252"/>
        <v>0</v>
      </c>
      <c r="AK492" s="22">
        <f t="shared" si="264"/>
        <v>0</v>
      </c>
      <c r="AM492" s="22" t="str">
        <f t="shared" si="256"/>
        <v>0.546953477004633+0.89148687483429i</v>
      </c>
      <c r="AN492" s="22" t="str">
        <f t="shared" si="257"/>
        <v>1.100616593022i</v>
      </c>
      <c r="AO492" s="22" t="str">
        <f t="shared" si="258"/>
        <v>0.809988583205442-0.496951872679699i</v>
      </c>
      <c r="AP492" s="22" t="str">
        <f t="shared" si="259"/>
        <v>0.0755077538325612-0.148581145805715i</v>
      </c>
      <c r="AQ492" s="22" t="str">
        <f t="shared" si="260"/>
        <v>0.924492246167439+0.148581145805715i</v>
      </c>
      <c r="AR492" s="22" t="str">
        <f t="shared" si="261"/>
        <v>0.878347606083147-0.141164941370319i</v>
      </c>
    </row>
    <row r="493" spans="7:44">
      <c r="G493" s="257">
        <v>61660</v>
      </c>
      <c r="H493" s="256">
        <f t="shared" si="253"/>
        <v>61.66</v>
      </c>
      <c r="I493" s="298">
        <f t="shared" si="233"/>
        <v>60.1662147549713</v>
      </c>
      <c r="J493" s="299">
        <f t="shared" si="234"/>
        <v>1.55417493801963</v>
      </c>
      <c r="K493" s="299">
        <f t="shared" si="235"/>
        <v>1.00055489805872</v>
      </c>
      <c r="L493" s="300">
        <f t="shared" si="236"/>
        <v>0.0333059029886188</v>
      </c>
      <c r="M493" s="299">
        <f t="shared" si="237"/>
        <v>1.02361353227291</v>
      </c>
      <c r="N493" s="300">
        <f t="shared" si="238"/>
        <v>-0.215211714826764</v>
      </c>
      <c r="O493" s="298">
        <f t="shared" si="239"/>
        <v>111577.307216705</v>
      </c>
      <c r="P493" s="301">
        <f t="shared" si="240"/>
        <v>1.570787364399</v>
      </c>
      <c r="Q493" s="320">
        <f t="shared" si="262"/>
        <v>46.5012983031325</v>
      </c>
      <c r="R493" s="321">
        <f t="shared" si="263"/>
        <v>1.54928989302991</v>
      </c>
      <c r="S493" s="298">
        <f t="shared" si="241"/>
        <v>1.04692928221064</v>
      </c>
      <c r="T493" s="301">
        <f t="shared" si="242"/>
        <v>0.300548160102305</v>
      </c>
      <c r="U493" s="316">
        <f t="shared" si="254"/>
        <v>0.843989887028543</v>
      </c>
      <c r="V493" s="317">
        <f t="shared" si="255"/>
        <v>-0.713151949422546</v>
      </c>
      <c r="W493" s="318">
        <f t="shared" si="243"/>
        <v>-7.98917593218987</v>
      </c>
      <c r="X493" s="319">
        <f t="shared" si="244"/>
        <v>-158.782552389569</v>
      </c>
      <c r="Y493" s="332">
        <f t="shared" si="245"/>
        <v>21.2174476104313</v>
      </c>
      <c r="AA493" s="22">
        <f t="shared" si="246"/>
        <v>61660</v>
      </c>
      <c r="AB493" s="22">
        <f t="shared" si="247"/>
        <v>3801955600</v>
      </c>
      <c r="AD493" s="331">
        <f t="shared" si="248"/>
        <v>27.2078867761641</v>
      </c>
      <c r="AE493" s="332">
        <f t="shared" si="249"/>
        <v>-18.4518555150209</v>
      </c>
      <c r="AG493" s="331">
        <f t="shared" si="250"/>
        <v>-6.86260946421124</v>
      </c>
      <c r="AH493" s="332">
        <f t="shared" si="251"/>
        <v>-58.6095030742898</v>
      </c>
      <c r="AJ493" s="22">
        <f t="shared" si="252"/>
        <v>0</v>
      </c>
      <c r="AK493" s="22">
        <f t="shared" si="264"/>
        <v>0</v>
      </c>
      <c r="AM493" s="22" t="str">
        <f t="shared" si="256"/>
        <v>0.552579814919088+0.894323866382958i</v>
      </c>
      <c r="AN493" s="22" t="str">
        <f t="shared" si="257"/>
        <v>1.10691773028i</v>
      </c>
      <c r="AO493" s="22" t="str">
        <f t="shared" si="258"/>
        <v>0.807940682417956-0.499205857674093i</v>
      </c>
      <c r="AP493" s="22" t="str">
        <f t="shared" si="259"/>
        <v>0.0745700308468187-0.149053977730493i</v>
      </c>
      <c r="AQ493" s="22" t="str">
        <f t="shared" si="260"/>
        <v>0.925429969153181+0.149053977730493i</v>
      </c>
      <c r="AR493" s="22" t="str">
        <f t="shared" si="261"/>
        <v>0.877361795644542-0.141311898153949i</v>
      </c>
    </row>
    <row r="494" spans="7:44">
      <c r="G494" s="257">
        <v>62019</v>
      </c>
      <c r="H494" s="256">
        <f t="shared" si="253"/>
        <v>62.019</v>
      </c>
      <c r="I494" s="298">
        <f t="shared" si="233"/>
        <v>60.5164210728117</v>
      </c>
      <c r="J494" s="299">
        <f t="shared" si="234"/>
        <v>1.55427113417136</v>
      </c>
      <c r="K494" s="299">
        <f t="shared" si="235"/>
        <v>1.00056137656267</v>
      </c>
      <c r="L494" s="300">
        <f t="shared" si="236"/>
        <v>0.0334996736911065</v>
      </c>
      <c r="M494" s="299">
        <f t="shared" si="237"/>
        <v>1.02388608345855</v>
      </c>
      <c r="N494" s="300">
        <f t="shared" si="238"/>
        <v>-0.216426075353611</v>
      </c>
      <c r="O494" s="298">
        <f t="shared" si="239"/>
        <v>112226.938311217</v>
      </c>
      <c r="P494" s="301">
        <f t="shared" si="240"/>
        <v>1.57078741627827</v>
      </c>
      <c r="Q494" s="320">
        <f t="shared" si="262"/>
        <v>46.7719156922083</v>
      </c>
      <c r="R494" s="321">
        <f t="shared" si="263"/>
        <v>1.5494143460176</v>
      </c>
      <c r="S494" s="298">
        <f t="shared" si="241"/>
        <v>1.04746492060104</v>
      </c>
      <c r="T494" s="301">
        <f t="shared" si="242"/>
        <v>0.302193697151876</v>
      </c>
      <c r="U494" s="316">
        <f t="shared" si="254"/>
        <v>0.842554055490672</v>
      </c>
      <c r="V494" s="317">
        <f t="shared" si="255"/>
        <v>-0.716713647385673</v>
      </c>
      <c r="W494" s="318">
        <f t="shared" si="243"/>
        <v>-8.05647357431393</v>
      </c>
      <c r="X494" s="319">
        <f t="shared" si="244"/>
        <v>-159.137764443705</v>
      </c>
      <c r="Y494" s="332">
        <f t="shared" si="245"/>
        <v>20.8622355562949</v>
      </c>
      <c r="AA494" s="22">
        <f t="shared" si="246"/>
        <v>62019</v>
      </c>
      <c r="AB494" s="22">
        <f t="shared" si="247"/>
        <v>3846356361</v>
      </c>
      <c r="AD494" s="331">
        <f t="shared" si="248"/>
        <v>27.2034207833804</v>
      </c>
      <c r="AE494" s="332">
        <f t="shared" si="249"/>
        <v>-18.5390101846138</v>
      </c>
      <c r="AG494" s="331">
        <f t="shared" si="250"/>
        <v>-6.89586233537574</v>
      </c>
      <c r="AH494" s="332">
        <f t="shared" si="251"/>
        <v>-58.4694199359915</v>
      </c>
      <c r="AJ494" s="22">
        <f t="shared" si="252"/>
        <v>0</v>
      </c>
      <c r="AK494" s="22">
        <f t="shared" si="264"/>
        <v>0</v>
      </c>
      <c r="AM494" s="22" t="str">
        <f t="shared" si="256"/>
        <v>0.558352763102011+0.897188786231957i</v>
      </c>
      <c r="AN494" s="22" t="str">
        <f t="shared" si="257"/>
        <v>1.113362483202i</v>
      </c>
      <c r="AO494" s="22" t="str">
        <f t="shared" si="258"/>
        <v>0.805837092383126-0.501501327309147i</v>
      </c>
      <c r="AP494" s="22" t="str">
        <f t="shared" si="259"/>
        <v>0.0736078728163315-0.149531464371993i</v>
      </c>
      <c r="AQ494" s="22" t="str">
        <f t="shared" si="260"/>
        <v>0.926392127183668+0.149531464371993i</v>
      </c>
      <c r="AR494" s="22" t="str">
        <f t="shared" si="261"/>
        <v>0.876354661878976-0.141454781463191i</v>
      </c>
    </row>
    <row r="495" spans="7:44">
      <c r="G495" s="257">
        <v>62378</v>
      </c>
      <c r="H495" s="256">
        <f t="shared" si="253"/>
        <v>62.378</v>
      </c>
      <c r="I495" s="298">
        <f t="shared" si="233"/>
        <v>60.8666279442087</v>
      </c>
      <c r="J495" s="299">
        <f t="shared" si="234"/>
        <v>1.55436622336093</v>
      </c>
      <c r="K495" s="299">
        <f t="shared" si="235"/>
        <v>1.00056789263429</v>
      </c>
      <c r="L495" s="300">
        <f t="shared" si="236"/>
        <v>0.0336934418770552</v>
      </c>
      <c r="M495" s="299">
        <f t="shared" si="237"/>
        <v>1.02416014373487</v>
      </c>
      <c r="N495" s="300">
        <f t="shared" si="238"/>
        <v>-0.217639787755541</v>
      </c>
      <c r="O495" s="298">
        <f t="shared" si="239"/>
        <v>112876.569405729</v>
      </c>
      <c r="P495" s="301">
        <f t="shared" si="240"/>
        <v>1.57078746756038</v>
      </c>
      <c r="Q495" s="320">
        <f t="shared" si="262"/>
        <v>47.0425337973784</v>
      </c>
      <c r="R495" s="321">
        <f t="shared" si="263"/>
        <v>1.54953736714418</v>
      </c>
      <c r="S495" s="298">
        <f t="shared" si="241"/>
        <v>1.04800339240497</v>
      </c>
      <c r="T495" s="301">
        <f t="shared" si="242"/>
        <v>0.30383754767092</v>
      </c>
      <c r="U495" s="316">
        <f t="shared" si="254"/>
        <v>0.84111666011623</v>
      </c>
      <c r="V495" s="317">
        <f t="shared" si="255"/>
        <v>-0.720267558014978</v>
      </c>
      <c r="W495" s="318">
        <f t="shared" si="243"/>
        <v>-8.1235300873611</v>
      </c>
      <c r="X495" s="319">
        <f t="shared" si="244"/>
        <v>-159.492415275886</v>
      </c>
      <c r="Y495" s="332">
        <f t="shared" si="245"/>
        <v>20.5075847241136</v>
      </c>
      <c r="AA495" s="22">
        <f t="shared" si="246"/>
        <v>62378</v>
      </c>
      <c r="AB495" s="22">
        <f t="shared" si="247"/>
        <v>3891014884</v>
      </c>
      <c r="AD495" s="331">
        <f t="shared" si="248"/>
        <v>27.198933977476</v>
      </c>
      <c r="AE495" s="332">
        <f t="shared" si="249"/>
        <v>-18.6261502285096</v>
      </c>
      <c r="AG495" s="331">
        <f t="shared" si="250"/>
        <v>-6.92877051664854</v>
      </c>
      <c r="AH495" s="332">
        <f t="shared" si="251"/>
        <v>-58.3296825641602</v>
      </c>
      <c r="AJ495" s="22">
        <f t="shared" si="252"/>
        <v>0</v>
      </c>
      <c r="AK495" s="22">
        <f t="shared" si="264"/>
        <v>0</v>
      </c>
      <c r="AM495" s="22" t="str">
        <f t="shared" si="256"/>
        <v>0.564144054968864+0.900016441617049i</v>
      </c>
      <c r="AN495" s="22" t="str">
        <f t="shared" si="257"/>
        <v>1.119807236124i</v>
      </c>
      <c r="AO495" s="22" t="str">
        <f t="shared" si="258"/>
        <v>0.803724438084795-0.50378675612201i</v>
      </c>
      <c r="AP495" s="22" t="str">
        <f t="shared" si="259"/>
        <v>0.0726426575051893-0.150002740269508i</v>
      </c>
      <c r="AQ495" s="22" t="str">
        <f t="shared" si="260"/>
        <v>0.927357342494811+0.150002740269508i</v>
      </c>
      <c r="AR495" s="22" t="str">
        <f t="shared" si="261"/>
        <v>0.875348741082431-0.141590198122105i</v>
      </c>
    </row>
    <row r="496" spans="7:44">
      <c r="G496" s="257">
        <v>62737</v>
      </c>
      <c r="H496" s="256">
        <f t="shared" si="253"/>
        <v>62.737</v>
      </c>
      <c r="I496" s="298">
        <f t="shared" si="233"/>
        <v>61.2168353596622</v>
      </c>
      <c r="J496" s="299">
        <f t="shared" si="234"/>
        <v>1.55446022458464</v>
      </c>
      <c r="K496" s="299">
        <f t="shared" si="235"/>
        <v>1.00057444627286</v>
      </c>
      <c r="L496" s="300">
        <f t="shared" si="236"/>
        <v>0.0338872075319639</v>
      </c>
      <c r="M496" s="299">
        <f t="shared" si="237"/>
        <v>1.02443571189073</v>
      </c>
      <c r="N496" s="300">
        <f t="shared" si="238"/>
        <v>-0.218852848978325</v>
      </c>
      <c r="O496" s="298">
        <f t="shared" si="239"/>
        <v>113526.200500241</v>
      </c>
      <c r="P496" s="301">
        <f t="shared" si="240"/>
        <v>1.57078751825558</v>
      </c>
      <c r="Q496" s="320">
        <f t="shared" si="262"/>
        <v>47.3131526063551</v>
      </c>
      <c r="R496" s="321">
        <f t="shared" si="263"/>
        <v>1.5496589809755</v>
      </c>
      <c r="S496" s="298">
        <f t="shared" si="241"/>
        <v>1.04854469325722</v>
      </c>
      <c r="T496" s="301">
        <f t="shared" si="242"/>
        <v>0.305479705380445</v>
      </c>
      <c r="U496" s="316">
        <f t="shared" si="254"/>
        <v>0.83967776331742</v>
      </c>
      <c r="V496" s="317">
        <f t="shared" si="255"/>
        <v>-0.723813690906004</v>
      </c>
      <c r="W496" s="318">
        <f t="shared" si="243"/>
        <v>-8.19034828920463</v>
      </c>
      <c r="X496" s="319">
        <f t="shared" si="244"/>
        <v>-159.846504583449</v>
      </c>
      <c r="Y496" s="332">
        <f t="shared" si="245"/>
        <v>20.1534954165508</v>
      </c>
      <c r="AA496" s="22">
        <f t="shared" si="246"/>
        <v>62737</v>
      </c>
      <c r="AB496" s="22">
        <f t="shared" si="247"/>
        <v>3935931169</v>
      </c>
      <c r="AD496" s="331">
        <f t="shared" si="248"/>
        <v>27.1944264193661</v>
      </c>
      <c r="AE496" s="332">
        <f t="shared" si="249"/>
        <v>-18.713273880016</v>
      </c>
      <c r="AG496" s="331">
        <f t="shared" si="250"/>
        <v>-6.9613378397857</v>
      </c>
      <c r="AH496" s="332">
        <f t="shared" si="251"/>
        <v>-58.1902913232559</v>
      </c>
      <c r="AJ496" s="22">
        <f t="shared" si="252"/>
        <v>0</v>
      </c>
      <c r="AK496" s="22">
        <f t="shared" si="264"/>
        <v>0</v>
      </c>
      <c r="AM496" s="22" t="str">
        <f t="shared" si="256"/>
        <v>0.569953449980096+0.902806715092426i</v>
      </c>
      <c r="AN496" s="22" t="str">
        <f t="shared" si="257"/>
        <v>1.126251989046i</v>
      </c>
      <c r="AO496" s="22" t="str">
        <f t="shared" si="258"/>
        <v>0.801602770848072-0.506062102907254i</v>
      </c>
      <c r="AP496" s="22" t="str">
        <f t="shared" si="259"/>
        <v>0.0716744250033173-0.150467785848738i</v>
      </c>
      <c r="AQ496" s="22" t="str">
        <f t="shared" si="260"/>
        <v>0.928325574996683+0.150467785848738i</v>
      </c>
      <c r="AR496" s="22" t="str">
        <f t="shared" si="261"/>
        <v>0.874344087682686-0.141718188625816i</v>
      </c>
    </row>
    <row r="497" spans="7:44">
      <c r="G497" s="257">
        <v>63096</v>
      </c>
      <c r="H497" s="256">
        <f t="shared" si="253"/>
        <v>63.096</v>
      </c>
      <c r="I497" s="298">
        <f t="shared" si="233"/>
        <v>61.5670433098878</v>
      </c>
      <c r="J497" s="299">
        <f t="shared" si="234"/>
        <v>1.55455315640663</v>
      </c>
      <c r="K497" s="299">
        <f t="shared" si="235"/>
        <v>1.00058103747763</v>
      </c>
      <c r="L497" s="300">
        <f t="shared" si="236"/>
        <v>0.0340809706413323</v>
      </c>
      <c r="M497" s="299">
        <f t="shared" si="237"/>
        <v>1.02471278670961</v>
      </c>
      <c r="N497" s="300">
        <f t="shared" si="238"/>
        <v>-0.220065255978677</v>
      </c>
      <c r="O497" s="298">
        <f t="shared" si="239"/>
        <v>114175.831594754</v>
      </c>
      <c r="P497" s="301">
        <f t="shared" si="240"/>
        <v>1.57078756837391</v>
      </c>
      <c r="Q497" s="320">
        <f t="shared" si="262"/>
        <v>47.5837721071304</v>
      </c>
      <c r="R497" s="321">
        <f t="shared" si="263"/>
        <v>1.54977921151874</v>
      </c>
      <c r="S497" s="298">
        <f t="shared" si="241"/>
        <v>1.04908881877864</v>
      </c>
      <c r="T497" s="301">
        <f t="shared" si="242"/>
        <v>0.307120164050904</v>
      </c>
      <c r="U497" s="316">
        <f t="shared" si="254"/>
        <v>0.838237426904924</v>
      </c>
      <c r="V497" s="317">
        <f t="shared" si="255"/>
        <v>-0.727352056072429</v>
      </c>
      <c r="W497" s="318">
        <f t="shared" si="243"/>
        <v>-8.25693094324911</v>
      </c>
      <c r="X497" s="319">
        <f t="shared" si="244"/>
        <v>-160.200032098384</v>
      </c>
      <c r="Y497" s="332">
        <f t="shared" si="245"/>
        <v>19.7999679016164</v>
      </c>
      <c r="AA497" s="22">
        <f t="shared" si="246"/>
        <v>63096</v>
      </c>
      <c r="AB497" s="22">
        <f t="shared" si="247"/>
        <v>3981105216</v>
      </c>
      <c r="AD497" s="331">
        <f t="shared" si="248"/>
        <v>27.1898981703832</v>
      </c>
      <c r="AE497" s="332">
        <f t="shared" si="249"/>
        <v>-18.8003794072705</v>
      </c>
      <c r="AG497" s="331">
        <f t="shared" si="250"/>
        <v>-6.9935680766976</v>
      </c>
      <c r="AH497" s="332">
        <f t="shared" si="251"/>
        <v>-58.0512465296474</v>
      </c>
      <c r="AJ497" s="22">
        <f t="shared" si="252"/>
        <v>0</v>
      </c>
      <c r="AK497" s="22">
        <f t="shared" si="264"/>
        <v>0</v>
      </c>
      <c r="AM497" s="22" t="str">
        <f t="shared" si="256"/>
        <v>0.575780706844247+0.905559490764927i</v>
      </c>
      <c r="AN497" s="22" t="str">
        <f t="shared" si="257"/>
        <v>1.132696741968i</v>
      </c>
      <c r="AO497" s="22" t="str">
        <f t="shared" si="258"/>
        <v>0.799472142200714-0.508327326733419i</v>
      </c>
      <c r="AP497" s="22" t="str">
        <f t="shared" si="259"/>
        <v>0.0707032155259588-0.150926581794154i</v>
      </c>
      <c r="AQ497" s="22" t="str">
        <f t="shared" si="260"/>
        <v>0.929296784474041+0.150926581794154i</v>
      </c>
      <c r="AR497" s="22" t="str">
        <f t="shared" si="261"/>
        <v>0.873340755346296-0.141838793750419i</v>
      </c>
    </row>
    <row r="498" spans="7:44">
      <c r="G498" s="257">
        <v>63463.25</v>
      </c>
      <c r="H498" s="256">
        <f t="shared" si="253"/>
        <v>63.46325</v>
      </c>
      <c r="I498" s="298">
        <f t="shared" si="233"/>
        <v>61.9252997582888</v>
      </c>
      <c r="J498" s="299">
        <f t="shared" si="234"/>
        <v>1.55464713621713</v>
      </c>
      <c r="K498" s="299">
        <f t="shared" si="235"/>
        <v>1.00058781902188</v>
      </c>
      <c r="L498" s="300">
        <f t="shared" si="236"/>
        <v>0.0342791838750291</v>
      </c>
      <c r="M498" s="299">
        <f t="shared" si="237"/>
        <v>1.02499778656944</v>
      </c>
      <c r="N498" s="300">
        <f t="shared" si="238"/>
        <v>-0.221304844591463</v>
      </c>
      <c r="O498" s="298">
        <f t="shared" si="239"/>
        <v>114840.391537539</v>
      </c>
      <c r="P498" s="301">
        <f t="shared" si="240"/>
        <v>1.57078761905726</v>
      </c>
      <c r="Q498" s="320">
        <f t="shared" si="262"/>
        <v>47.8606112833127</v>
      </c>
      <c r="R498" s="321">
        <f t="shared" si="263"/>
        <v>1.54990079814595</v>
      </c>
      <c r="S498" s="298">
        <f t="shared" si="241"/>
        <v>1.04964836678051</v>
      </c>
      <c r="T498" s="301">
        <f t="shared" si="242"/>
        <v>0.308796556785831</v>
      </c>
      <c r="U498" s="316">
        <f t="shared" si="254"/>
        <v>0.836762565037371</v>
      </c>
      <c r="V498" s="317">
        <f t="shared" si="255"/>
        <v>-0.730963707982688</v>
      </c>
      <c r="W498" s="318">
        <f t="shared" si="243"/>
        <v>-8.32480279613119</v>
      </c>
      <c r="X498" s="319">
        <f t="shared" si="244"/>
        <v>-160.561102302812</v>
      </c>
      <c r="Y498" s="332">
        <f t="shared" si="245"/>
        <v>19.4388976971885</v>
      </c>
      <c r="AA498" s="22">
        <f t="shared" si="246"/>
        <v>63463.25</v>
      </c>
      <c r="AB498" s="22">
        <f t="shared" si="247"/>
        <v>4027584100.5625</v>
      </c>
      <c r="AD498" s="331">
        <f t="shared" si="248"/>
        <v>27.1852445147762</v>
      </c>
      <c r="AE498" s="332">
        <f t="shared" si="249"/>
        <v>-18.8894661392479</v>
      </c>
      <c r="AG498" s="331">
        <f t="shared" si="250"/>
        <v>-7.02619405717208</v>
      </c>
      <c r="AH498" s="332">
        <f t="shared" si="251"/>
        <v>-57.9093651785688</v>
      </c>
      <c r="AJ498" s="22">
        <f t="shared" si="252"/>
        <v>0</v>
      </c>
      <c r="AK498" s="22">
        <f t="shared" si="264"/>
        <v>0</v>
      </c>
      <c r="AM498" s="22" t="str">
        <f t="shared" si="256"/>
        <v>0.581760106910623+0.90833660711687i</v>
      </c>
      <c r="AN498" s="22" t="str">
        <f t="shared" si="257"/>
        <v>1.1392895985435i</v>
      </c>
      <c r="AO498" s="22" t="str">
        <f t="shared" si="258"/>
        <v>0.797283331892184-0.510634089571573i</v>
      </c>
      <c r="AP498" s="22" t="str">
        <f t="shared" si="259"/>
        <v>0.0697066488482295-0.151389434519478i</v>
      </c>
      <c r="AQ498" s="22" t="str">
        <f t="shared" si="260"/>
        <v>0.93029335115177+0.151389434519478i</v>
      </c>
      <c r="AR498" s="22" t="str">
        <f t="shared" si="261"/>
        <v>0.872315788040613-0.141954571329981i</v>
      </c>
    </row>
    <row r="499" spans="7:44">
      <c r="G499" s="257">
        <v>63830.5</v>
      </c>
      <c r="H499" s="256">
        <f t="shared" si="253"/>
        <v>63.8305</v>
      </c>
      <c r="I499" s="298">
        <f t="shared" si="233"/>
        <v>62.2835567473347</v>
      </c>
      <c r="J499" s="299">
        <f t="shared" si="234"/>
        <v>1.55474003487876</v>
      </c>
      <c r="K499" s="299">
        <f t="shared" si="235"/>
        <v>1.00059463987717</v>
      </c>
      <c r="L499" s="300">
        <f t="shared" si="236"/>
        <v>0.0344773944141525</v>
      </c>
      <c r="M499" s="299">
        <f t="shared" si="237"/>
        <v>1.02528436054327</v>
      </c>
      <c r="N499" s="300">
        <f t="shared" si="238"/>
        <v>-0.222543742160081</v>
      </c>
      <c r="O499" s="298">
        <f t="shared" si="239"/>
        <v>115504.951480324</v>
      </c>
      <c r="P499" s="301">
        <f t="shared" si="240"/>
        <v>1.57078766915739</v>
      </c>
      <c r="Q499" s="320">
        <f t="shared" si="262"/>
        <v>48.137451158895</v>
      </c>
      <c r="R499" s="321">
        <f t="shared" si="263"/>
        <v>1.55002098627849</v>
      </c>
      <c r="S499" s="298">
        <f t="shared" si="241"/>
        <v>1.05021086145328</v>
      </c>
      <c r="T499" s="301">
        <f t="shared" si="242"/>
        <v>0.31047115846525</v>
      </c>
      <c r="U499" s="316">
        <f t="shared" si="254"/>
        <v>0.835286325555364</v>
      </c>
      <c r="V499" s="317">
        <f t="shared" si="255"/>
        <v>-0.734567253567469</v>
      </c>
      <c r="W499" s="318">
        <f t="shared" si="243"/>
        <v>-8.39243383214804</v>
      </c>
      <c r="X499" s="319">
        <f t="shared" si="244"/>
        <v>-160.921584138712</v>
      </c>
      <c r="Y499" s="332">
        <f t="shared" si="245"/>
        <v>19.0784158612876</v>
      </c>
      <c r="AA499" s="22">
        <f t="shared" si="246"/>
        <v>63830.5</v>
      </c>
      <c r="AB499" s="22">
        <f t="shared" si="247"/>
        <v>4074332730.25</v>
      </c>
      <c r="AD499" s="331">
        <f t="shared" si="248"/>
        <v>27.1805693375259</v>
      </c>
      <c r="AE499" s="332">
        <f t="shared" si="249"/>
        <v>-18.9785303457301</v>
      </c>
      <c r="AG499" s="331">
        <f t="shared" si="250"/>
        <v>-7.05847507951755</v>
      </c>
      <c r="AH499" s="332">
        <f t="shared" si="251"/>
        <v>-57.767846900934</v>
      </c>
      <c r="AJ499" s="22">
        <f t="shared" si="252"/>
        <v>0</v>
      </c>
      <c r="AK499" s="22">
        <f t="shared" si="264"/>
        <v>0</v>
      </c>
      <c r="AM499" s="22" t="str">
        <f t="shared" si="256"/>
        <v>0.587757686025057+0.911074242072831i</v>
      </c>
      <c r="AN499" s="22" t="str">
        <f t="shared" si="257"/>
        <v>1.145882455119i</v>
      </c>
      <c r="AO499" s="22" t="str">
        <f t="shared" si="258"/>
        <v>0.795085253293468-0.512930173072611i</v>
      </c>
      <c r="AP499" s="22" t="str">
        <f t="shared" si="259"/>
        <v>0.0687070523291572-0.151845707012139i</v>
      </c>
      <c r="AQ499" s="22" t="str">
        <f t="shared" si="260"/>
        <v>0.931292947670843+0.151845707012139i</v>
      </c>
      <c r="AR499" s="22" t="str">
        <f t="shared" si="261"/>
        <v>0.871292314399853-0.142062707363107i</v>
      </c>
    </row>
    <row r="500" spans="7:44">
      <c r="G500" s="257">
        <v>64197.75</v>
      </c>
      <c r="H500" s="256">
        <f t="shared" si="253"/>
        <v>64.19775</v>
      </c>
      <c r="I500" s="298">
        <f t="shared" si="233"/>
        <v>62.6418142677495</v>
      </c>
      <c r="J500" s="299">
        <f t="shared" si="234"/>
        <v>1.55483187093963</v>
      </c>
      <c r="K500" s="299">
        <f t="shared" si="235"/>
        <v>1.00060150004271</v>
      </c>
      <c r="L500" s="300">
        <f t="shared" si="236"/>
        <v>0.0346756022431836</v>
      </c>
      <c r="M500" s="299">
        <f t="shared" si="237"/>
        <v>1.02557250731155</v>
      </c>
      <c r="N500" s="300">
        <f t="shared" si="238"/>
        <v>-0.223781945462336</v>
      </c>
      <c r="O500" s="298">
        <f t="shared" si="239"/>
        <v>116169.51142311</v>
      </c>
      <c r="P500" s="301">
        <f t="shared" si="240"/>
        <v>1.57078771868432</v>
      </c>
      <c r="Q500" s="320">
        <f t="shared" si="262"/>
        <v>48.4142917218795</v>
      </c>
      <c r="R500" s="321">
        <f t="shared" si="263"/>
        <v>1.55013979990329</v>
      </c>
      <c r="S500" s="298">
        <f t="shared" si="241"/>
        <v>1.05077629806478</v>
      </c>
      <c r="T500" s="301">
        <f t="shared" si="242"/>
        <v>0.312143962580916</v>
      </c>
      <c r="U500" s="316">
        <f t="shared" si="254"/>
        <v>0.833808772672777</v>
      </c>
      <c r="V500" s="317">
        <f t="shared" si="255"/>
        <v>-0.738162704866706</v>
      </c>
      <c r="W500" s="318">
        <f t="shared" si="243"/>
        <v>-8.45982684119804</v>
      </c>
      <c r="X500" s="319">
        <f t="shared" si="244"/>
        <v>-161.281477428252</v>
      </c>
      <c r="Y500" s="332">
        <f t="shared" si="245"/>
        <v>18.7185225717477</v>
      </c>
      <c r="AA500" s="22">
        <f t="shared" si="246"/>
        <v>64197.75</v>
      </c>
      <c r="AB500" s="22">
        <f t="shared" si="247"/>
        <v>4121351105.0625</v>
      </c>
      <c r="AD500" s="331">
        <f t="shared" si="248"/>
        <v>27.1758727055713</v>
      </c>
      <c r="AE500" s="332">
        <f t="shared" si="249"/>
        <v>-19.0675702800455</v>
      </c>
      <c r="AG500" s="331">
        <f t="shared" si="250"/>
        <v>-7.09041499548941</v>
      </c>
      <c r="AH500" s="332">
        <f t="shared" si="251"/>
        <v>-57.626691885905</v>
      </c>
      <c r="AJ500" s="22">
        <f t="shared" si="252"/>
        <v>0</v>
      </c>
      <c r="AK500" s="22">
        <f t="shared" si="264"/>
        <v>0</v>
      </c>
      <c r="AM500" s="22" t="str">
        <f t="shared" si="256"/>
        <v>0.593773183499172+0.913772276639865i</v>
      </c>
      <c r="AN500" s="22" t="str">
        <f t="shared" si="257"/>
        <v>1.1524753116945i</v>
      </c>
      <c r="AO500" s="22" t="str">
        <f t="shared" si="258"/>
        <v>0.792877962215376-0.515215534314691i</v>
      </c>
      <c r="AP500" s="22" t="str">
        <f t="shared" si="259"/>
        <v>0.0677044694168047-0.152295379439978i</v>
      </c>
      <c r="AQ500" s="22" t="str">
        <f t="shared" si="260"/>
        <v>0.932295530583195+0.152295379439978i</v>
      </c>
      <c r="AR500" s="22" t="str">
        <f t="shared" si="261"/>
        <v>0.870270389421778-0.142163246336125i</v>
      </c>
    </row>
    <row r="501" spans="7:44">
      <c r="G501" s="257">
        <v>64565</v>
      </c>
      <c r="H501" s="256">
        <f t="shared" si="253"/>
        <v>64.565</v>
      </c>
      <c r="I501" s="298">
        <f t="shared" si="233"/>
        <v>63.0000723104681</v>
      </c>
      <c r="J501" s="299">
        <f t="shared" si="234"/>
        <v>1.55492266252603</v>
      </c>
      <c r="K501" s="299">
        <f t="shared" si="235"/>
        <v>1.00060839951768</v>
      </c>
      <c r="L501" s="300">
        <f t="shared" si="236"/>
        <v>0.0348738073466043</v>
      </c>
      <c r="M501" s="299">
        <f t="shared" si="237"/>
        <v>1.02586222554898</v>
      </c>
      <c r="N501" s="300">
        <f t="shared" si="238"/>
        <v>-0.225019451288161</v>
      </c>
      <c r="O501" s="298">
        <f t="shared" si="239"/>
        <v>116834.071365896</v>
      </c>
      <c r="P501" s="301">
        <f t="shared" si="240"/>
        <v>1.57078776764782</v>
      </c>
      <c r="Q501" s="320">
        <f t="shared" si="262"/>
        <v>48.6911329605413</v>
      </c>
      <c r="R501" s="321">
        <f t="shared" si="263"/>
        <v>1.55025726246194</v>
      </c>
      <c r="S501" s="298">
        <f t="shared" si="241"/>
        <v>1.05134467186828</v>
      </c>
      <c r="T501" s="301">
        <f t="shared" si="242"/>
        <v>0.31381496267879</v>
      </c>
      <c r="U501" s="316">
        <f t="shared" si="254"/>
        <v>0.832329969943396</v>
      </c>
      <c r="V501" s="317">
        <f t="shared" si="255"/>
        <v>-0.741750074352371</v>
      </c>
      <c r="W501" s="318">
        <f t="shared" si="243"/>
        <v>-8.52698455914235</v>
      </c>
      <c r="X501" s="319">
        <f t="shared" si="244"/>
        <v>-161.640782029215</v>
      </c>
      <c r="Y501" s="332">
        <f t="shared" si="245"/>
        <v>18.3592179707853</v>
      </c>
      <c r="AA501" s="22">
        <f t="shared" si="246"/>
        <v>64565</v>
      </c>
      <c r="AB501" s="22">
        <f t="shared" si="247"/>
        <v>4168639225</v>
      </c>
      <c r="AD501" s="331">
        <f t="shared" si="248"/>
        <v>27.1711546862581</v>
      </c>
      <c r="AE501" s="332">
        <f t="shared" si="249"/>
        <v>-19.1565842298623</v>
      </c>
      <c r="AG501" s="331">
        <f t="shared" si="250"/>
        <v>-7.12201759670913</v>
      </c>
      <c r="AH501" s="332">
        <f t="shared" si="251"/>
        <v>-57.4859002744162</v>
      </c>
      <c r="AJ501" s="22">
        <f t="shared" si="252"/>
        <v>0</v>
      </c>
      <c r="AK501" s="22">
        <f t="shared" si="264"/>
        <v>0</v>
      </c>
      <c r="AM501" s="22" t="str">
        <f t="shared" si="256"/>
        <v>0.59980633786576+0.916430593546279i</v>
      </c>
      <c r="AN501" s="22" t="str">
        <f t="shared" si="257"/>
        <v>1.15906816827i</v>
      </c>
      <c r="AO501" s="22" t="str">
        <f t="shared" si="258"/>
        <v>0.790661514683924-0.517490130680595i</v>
      </c>
      <c r="AP501" s="22" t="str">
        <f t="shared" si="259"/>
        <v>0.06669894368904-0.152738432257713i</v>
      </c>
      <c r="AQ501" s="22" t="str">
        <f t="shared" si="260"/>
        <v>0.93330105631096+0.152738432257713i</v>
      </c>
      <c r="AR501" s="22" t="str">
        <f t="shared" si="261"/>
        <v>0.869250067283593-0.142256232990453i</v>
      </c>
    </row>
    <row r="502" spans="7:44">
      <c r="G502" s="257">
        <v>64941</v>
      </c>
      <c r="H502" s="256">
        <f t="shared" si="253"/>
        <v>64.941</v>
      </c>
      <c r="I502" s="298">
        <f t="shared" si="233"/>
        <v>63.3668666450918</v>
      </c>
      <c r="J502" s="299">
        <f t="shared" si="234"/>
        <v>1.55501455368728</v>
      </c>
      <c r="K502" s="299">
        <f t="shared" si="235"/>
        <v>1.0006155041023</v>
      </c>
      <c r="L502" s="300">
        <f t="shared" si="236"/>
        <v>0.0350767319916622</v>
      </c>
      <c r="M502" s="299">
        <f t="shared" si="237"/>
        <v>1.02616047322273</v>
      </c>
      <c r="N502" s="300">
        <f t="shared" si="238"/>
        <v>-0.226285715655312</v>
      </c>
      <c r="O502" s="298">
        <f t="shared" si="239"/>
        <v>117514.464935637</v>
      </c>
      <c r="P502" s="301">
        <f t="shared" si="240"/>
        <v>1.57078781720418</v>
      </c>
      <c r="Q502" s="320">
        <f t="shared" si="262"/>
        <v>48.9745708323553</v>
      </c>
      <c r="R502" s="321">
        <f t="shared" si="263"/>
        <v>1.55037614783939</v>
      </c>
      <c r="S502" s="298">
        <f t="shared" si="241"/>
        <v>1.05192962561852</v>
      </c>
      <c r="T502" s="301">
        <f t="shared" si="242"/>
        <v>0.31552389989123</v>
      </c>
      <c r="U502" s="316">
        <f t="shared" si="254"/>
        <v>0.830814704460232</v>
      </c>
      <c r="V502" s="317">
        <f t="shared" si="255"/>
        <v>-0.745414556071958</v>
      </c>
      <c r="W502" s="318">
        <f t="shared" si="243"/>
        <v>-8.59550139355148</v>
      </c>
      <c r="X502" s="319">
        <f t="shared" si="244"/>
        <v>-162.00803731897</v>
      </c>
      <c r="Y502" s="332">
        <f t="shared" si="245"/>
        <v>17.9919626810295</v>
      </c>
      <c r="AA502" s="22">
        <f t="shared" si="246"/>
        <v>64941</v>
      </c>
      <c r="AB502" s="22">
        <f t="shared" si="247"/>
        <v>4217333481</v>
      </c>
      <c r="AD502" s="331">
        <f t="shared" si="248"/>
        <v>27.16630216964</v>
      </c>
      <c r="AE502" s="332">
        <f t="shared" si="249"/>
        <v>-19.2476903286883</v>
      </c>
      <c r="AG502" s="331">
        <f t="shared" si="250"/>
        <v>-7.15402758495608</v>
      </c>
      <c r="AH502" s="332">
        <f t="shared" si="251"/>
        <v>-57.3421307915955</v>
      </c>
      <c r="AJ502" s="22">
        <f t="shared" si="252"/>
        <v>0</v>
      </c>
      <c r="AK502" s="22">
        <f t="shared" si="264"/>
        <v>0</v>
      </c>
      <c r="AM502" s="22" t="str">
        <f t="shared" si="256"/>
        <v>0.606001255643398+0.919110977763524i</v>
      </c>
      <c r="AN502" s="22" t="str">
        <f t="shared" si="257"/>
        <v>1.165818104478i</v>
      </c>
      <c r="AO502" s="22" t="str">
        <f t="shared" si="258"/>
        <v>0.788382831106453-0.519807724134407i</v>
      </c>
      <c r="AP502" s="22" t="str">
        <f t="shared" si="259"/>
        <v>0.065666457392767-0.153185162960587i</v>
      </c>
      <c r="AQ502" s="22" t="str">
        <f t="shared" si="260"/>
        <v>0.934333542607233+0.153185162960587i</v>
      </c>
      <c r="AR502" s="22" t="str">
        <f t="shared" si="261"/>
        <v>0.86820715151843-0.142343657723959i</v>
      </c>
    </row>
    <row r="503" spans="7:44">
      <c r="G503" s="257">
        <v>65317</v>
      </c>
      <c r="H503" s="256">
        <f t="shared" si="253"/>
        <v>65.317</v>
      </c>
      <c r="I503" s="298">
        <f t="shared" si="233"/>
        <v>63.7336615086257</v>
      </c>
      <c r="J503" s="299">
        <f t="shared" si="234"/>
        <v>1.55510538715999</v>
      </c>
      <c r="K503" s="299">
        <f t="shared" si="235"/>
        <v>1.00062264989008</v>
      </c>
      <c r="L503" s="300">
        <f t="shared" si="236"/>
        <v>0.0352796537467676</v>
      </c>
      <c r="M503" s="299">
        <f t="shared" si="237"/>
        <v>1.02646036531061</v>
      </c>
      <c r="N503" s="300">
        <f t="shared" si="238"/>
        <v>-0.227551242143538</v>
      </c>
      <c r="O503" s="298">
        <f t="shared" si="239"/>
        <v>118194.858505379</v>
      </c>
      <c r="P503" s="301">
        <f t="shared" si="240"/>
        <v>1.57078786618999</v>
      </c>
      <c r="Q503" s="320">
        <f t="shared" si="262"/>
        <v>49.2580093883969</v>
      </c>
      <c r="R503" s="321">
        <f t="shared" si="263"/>
        <v>1.55049366504709</v>
      </c>
      <c r="S503" s="298">
        <f t="shared" si="241"/>
        <v>1.05251764807389</v>
      </c>
      <c r="T503" s="301">
        <f t="shared" si="242"/>
        <v>0.317230932580132</v>
      </c>
      <c r="U503" s="316">
        <f t="shared" si="254"/>
        <v>0.829298261568076</v>
      </c>
      <c r="V503" s="317">
        <f t="shared" si="255"/>
        <v>-0.749070594097765</v>
      </c>
      <c r="W503" s="318">
        <f t="shared" si="243"/>
        <v>-8.66377722732061</v>
      </c>
      <c r="X503" s="319">
        <f t="shared" si="244"/>
        <v>-162.374675344355</v>
      </c>
      <c r="Y503" s="332">
        <f t="shared" si="245"/>
        <v>17.6253246556455</v>
      </c>
      <c r="AA503" s="22">
        <f t="shared" si="246"/>
        <v>65317</v>
      </c>
      <c r="AB503" s="22">
        <f t="shared" si="247"/>
        <v>4266310489</v>
      </c>
      <c r="AD503" s="331">
        <f t="shared" si="248"/>
        <v>27.1614273785083</v>
      </c>
      <c r="AE503" s="332">
        <f t="shared" si="249"/>
        <v>-19.3387656640162</v>
      </c>
      <c r="AG503" s="331">
        <f t="shared" si="250"/>
        <v>-7.18569184934594</v>
      </c>
      <c r="AH503" s="332">
        <f t="shared" si="251"/>
        <v>-57.1987423839368</v>
      </c>
      <c r="AJ503" s="22">
        <f t="shared" si="252"/>
        <v>0</v>
      </c>
      <c r="AK503" s="22">
        <f t="shared" si="264"/>
        <v>0</v>
      </c>
      <c r="AM503" s="22" t="str">
        <f t="shared" si="256"/>
        <v>0.612214124581362+0.921749485937367i</v>
      </c>
      <c r="AN503" s="22" t="str">
        <f t="shared" si="257"/>
        <v>1.172568040686i</v>
      </c>
      <c r="AO503" s="22" t="str">
        <f t="shared" si="258"/>
        <v>0.786094669097502-0.522113944213584i</v>
      </c>
      <c r="AP503" s="22" t="str">
        <f t="shared" si="259"/>
        <v>0.0646309792364397-0.153624914322895i</v>
      </c>
      <c r="AQ503" s="22" t="str">
        <f t="shared" si="260"/>
        <v>0.93536902076356+0.153624914322895i</v>
      </c>
      <c r="AR503" s="22" t="str">
        <f t="shared" si="261"/>
        <v>0.867166028193932-0.142423261651609i</v>
      </c>
    </row>
    <row r="504" spans="7:44">
      <c r="G504" s="257">
        <v>65693</v>
      </c>
      <c r="H504" s="256">
        <f t="shared" si="253"/>
        <v>65.693</v>
      </c>
      <c r="I504" s="298">
        <f t="shared" si="233"/>
        <v>64.1004568919901</v>
      </c>
      <c r="J504" s="299">
        <f t="shared" si="234"/>
        <v>1.55519518109956</v>
      </c>
      <c r="K504" s="299">
        <f t="shared" si="235"/>
        <v>1.00062983688016</v>
      </c>
      <c r="L504" s="300">
        <f t="shared" si="236"/>
        <v>0.0354825725952713</v>
      </c>
      <c r="M504" s="299">
        <f t="shared" si="237"/>
        <v>1.02676190037172</v>
      </c>
      <c r="N504" s="300">
        <f t="shared" si="238"/>
        <v>-0.228816027347545</v>
      </c>
      <c r="O504" s="298">
        <f t="shared" si="239"/>
        <v>118875.252075121</v>
      </c>
      <c r="P504" s="301">
        <f t="shared" si="240"/>
        <v>1.57078791461505</v>
      </c>
      <c r="Q504" s="320">
        <f t="shared" si="262"/>
        <v>49.5414486169221</v>
      </c>
      <c r="R504" s="321">
        <f t="shared" si="263"/>
        <v>1.55060983756471</v>
      </c>
      <c r="S504" s="298">
        <f t="shared" si="241"/>
        <v>1.05310873409398</v>
      </c>
      <c r="T504" s="301">
        <f t="shared" si="242"/>
        <v>0.31893605399568</v>
      </c>
      <c r="U504" s="316">
        <f t="shared" si="254"/>
        <v>0.827780707323029</v>
      </c>
      <c r="V504" s="317">
        <f t="shared" si="255"/>
        <v>-0.752718203179671</v>
      </c>
      <c r="W504" s="318">
        <f t="shared" si="243"/>
        <v>-8.7318148290267</v>
      </c>
      <c r="X504" s="319">
        <f t="shared" si="244"/>
        <v>-162.740696065085</v>
      </c>
      <c r="Y504" s="332">
        <f t="shared" si="245"/>
        <v>17.2593039349152</v>
      </c>
      <c r="AA504" s="22">
        <f t="shared" si="246"/>
        <v>65693</v>
      </c>
      <c r="AB504" s="22">
        <f t="shared" si="247"/>
        <v>4315570249</v>
      </c>
      <c r="AD504" s="331">
        <f t="shared" si="248"/>
        <v>27.1565303863878</v>
      </c>
      <c r="AE504" s="332">
        <f t="shared" si="249"/>
        <v>-19.4298085043851</v>
      </c>
      <c r="AG504" s="331">
        <f t="shared" si="250"/>
        <v>-7.21701427132612</v>
      </c>
      <c r="AH504" s="332">
        <f t="shared" si="251"/>
        <v>-57.055735052407</v>
      </c>
      <c r="AJ504" s="22">
        <f t="shared" si="252"/>
        <v>0</v>
      </c>
      <c r="AK504" s="22">
        <f t="shared" si="264"/>
        <v>0</v>
      </c>
      <c r="AM504" s="22" t="str">
        <f t="shared" si="256"/>
        <v>0.618444661612236+0.924345997853509i</v>
      </c>
      <c r="AN504" s="22" t="str">
        <f t="shared" si="257"/>
        <v>1.179317976894i</v>
      </c>
      <c r="AO504" s="22" t="str">
        <f t="shared" si="258"/>
        <v>0.783797089473683-0.524408746181458i</v>
      </c>
      <c r="AP504" s="22" t="str">
        <f t="shared" si="259"/>
        <v>0.0635925563979607-0.154057666308918i</v>
      </c>
      <c r="AQ504" s="22" t="str">
        <f t="shared" si="260"/>
        <v>0.936407443602039+0.154057666308918i</v>
      </c>
      <c r="AR504" s="22" t="str">
        <f t="shared" si="261"/>
        <v>0.866126752804736-0.142495093537003i</v>
      </c>
    </row>
    <row r="505" spans="7:44">
      <c r="G505" s="257">
        <v>66069</v>
      </c>
      <c r="H505" s="256">
        <f t="shared" si="253"/>
        <v>66.069</v>
      </c>
      <c r="I505" s="298">
        <f t="shared" si="233"/>
        <v>64.4672527863121</v>
      </c>
      <c r="J505" s="299">
        <f t="shared" si="234"/>
        <v>1.55528395324824</v>
      </c>
      <c r="K505" s="299">
        <f t="shared" si="235"/>
        <v>1.00063706507164</v>
      </c>
      <c r="L505" s="300">
        <f t="shared" si="236"/>
        <v>0.0356854885205252</v>
      </c>
      <c r="M505" s="299">
        <f t="shared" si="237"/>
        <v>1.027065076959</v>
      </c>
      <c r="N505" s="300">
        <f t="shared" si="238"/>
        <v>-0.230080067875513</v>
      </c>
      <c r="O505" s="298">
        <f t="shared" si="239"/>
        <v>119555.645644864</v>
      </c>
      <c r="P505" s="301">
        <f t="shared" si="240"/>
        <v>1.57078796248893</v>
      </c>
      <c r="Q505" s="320">
        <f t="shared" si="262"/>
        <v>49.8248885064542</v>
      </c>
      <c r="R505" s="321">
        <f t="shared" si="263"/>
        <v>1.55072468833778</v>
      </c>
      <c r="S505" s="298">
        <f t="shared" si="241"/>
        <v>1.05370287852318</v>
      </c>
      <c r="T505" s="301">
        <f t="shared" si="242"/>
        <v>0.320639257447617</v>
      </c>
      <c r="U505" s="316">
        <f t="shared" si="254"/>
        <v>0.826262107057213</v>
      </c>
      <c r="V505" s="317">
        <f t="shared" si="255"/>
        <v>-0.756357398513657</v>
      </c>
      <c r="W505" s="318">
        <f t="shared" si="243"/>
        <v>-8.79961691349366</v>
      </c>
      <c r="X505" s="319">
        <f t="shared" si="244"/>
        <v>-163.106099477543</v>
      </c>
      <c r="Y505" s="332">
        <f t="shared" si="245"/>
        <v>16.8939005224572</v>
      </c>
      <c r="AA505" s="22">
        <f t="shared" si="246"/>
        <v>66069</v>
      </c>
      <c r="AB505" s="22">
        <f t="shared" si="247"/>
        <v>4365112761</v>
      </c>
      <c r="AD505" s="331">
        <f t="shared" si="248"/>
        <v>27.1516112671997</v>
      </c>
      <c r="AE505" s="332">
        <f t="shared" si="249"/>
        <v>-19.5208171523379</v>
      </c>
      <c r="AG505" s="331">
        <f t="shared" si="250"/>
        <v>-7.24799867169537</v>
      </c>
      <c r="AH505" s="332">
        <f t="shared" si="251"/>
        <v>-56.9131087495136</v>
      </c>
      <c r="AJ505" s="22">
        <f t="shared" si="252"/>
        <v>0</v>
      </c>
      <c r="AK505" s="22">
        <f t="shared" si="264"/>
        <v>0</v>
      </c>
      <c r="AM505" s="22" t="str">
        <f t="shared" si="256"/>
        <v>0.624692582863619+0.92690039521106i</v>
      </c>
      <c r="AN505" s="22" t="str">
        <f t="shared" si="257"/>
        <v>1.186067913102i</v>
      </c>
      <c r="AO505" s="22" t="str">
        <f t="shared" si="258"/>
        <v>0.781490153280412-0.526692085641049i</v>
      </c>
      <c r="AP505" s="22" t="str">
        <f t="shared" si="259"/>
        <v>0.0625512361893968-0.154483399201843i</v>
      </c>
      <c r="AQ505" s="22" t="str">
        <f t="shared" si="260"/>
        <v>0.937448763810603+0.154483399201843i</v>
      </c>
      <c r="AR505" s="22" t="str">
        <f t="shared" si="261"/>
        <v>0.865089379961575-0.142559202368183i</v>
      </c>
    </row>
    <row r="506" spans="7:44">
      <c r="G506" s="257">
        <v>66453.75</v>
      </c>
      <c r="H506" s="256">
        <f t="shared" si="253"/>
        <v>66.45375</v>
      </c>
      <c r="I506" s="298">
        <f t="shared" si="233"/>
        <v>64.8425850092314</v>
      </c>
      <c r="J506" s="299">
        <f t="shared" si="234"/>
        <v>1.55537375159073</v>
      </c>
      <c r="K506" s="299">
        <f t="shared" si="235"/>
        <v>1.0006445041222</v>
      </c>
      <c r="L506" s="300">
        <f t="shared" si="236"/>
        <v>0.0358931235149526</v>
      </c>
      <c r="M506" s="299">
        <f t="shared" si="237"/>
        <v>1.0273770066077</v>
      </c>
      <c r="N506" s="300">
        <f t="shared" si="238"/>
        <v>-0.231372749844019</v>
      </c>
      <c r="O506" s="298">
        <f t="shared" si="239"/>
        <v>120251.872841562</v>
      </c>
      <c r="P506" s="301">
        <f t="shared" si="240"/>
        <v>1.5707880109161</v>
      </c>
      <c r="Q506" s="320">
        <f t="shared" si="262"/>
        <v>50.1149250766135</v>
      </c>
      <c r="R506" s="321">
        <f t="shared" si="263"/>
        <v>1.55084086698692</v>
      </c>
      <c r="S506" s="298">
        <f t="shared" si="241"/>
        <v>1.05431401005445</v>
      </c>
      <c r="T506" s="301">
        <f t="shared" si="242"/>
        <v>0.322380104268204</v>
      </c>
      <c r="U506" s="316">
        <f t="shared" si="254"/>
        <v>0.824707151603318</v>
      </c>
      <c r="V506" s="317">
        <f t="shared" si="255"/>
        <v>-0.760072589157814</v>
      </c>
      <c r="W506" s="318">
        <f t="shared" si="243"/>
        <v>-8.86875581394534</v>
      </c>
      <c r="X506" s="319">
        <f t="shared" si="244"/>
        <v>-163.479367304192</v>
      </c>
      <c r="Y506" s="332">
        <f t="shared" si="245"/>
        <v>16.5206326958083</v>
      </c>
      <c r="AA506" s="22">
        <f t="shared" si="246"/>
        <v>66453.75</v>
      </c>
      <c r="AB506" s="22">
        <f t="shared" si="247"/>
        <v>4416100889.0625</v>
      </c>
      <c r="AD506" s="331">
        <f t="shared" si="248"/>
        <v>27.1465548459011</v>
      </c>
      <c r="AE506" s="332">
        <f t="shared" si="249"/>
        <v>-19.6139065564497</v>
      </c>
      <c r="AG506" s="331">
        <f t="shared" si="250"/>
        <v>-7.27935812978085</v>
      </c>
      <c r="AH506" s="332">
        <f t="shared" si="251"/>
        <v>-56.7675576835707</v>
      </c>
      <c r="AJ506" s="22">
        <f t="shared" si="252"/>
        <v>0</v>
      </c>
      <c r="AK506" s="22">
        <f t="shared" si="264"/>
        <v>0</v>
      </c>
      <c r="AM506" s="22" t="str">
        <f t="shared" si="256"/>
        <v>0.631103600006961+0.929470519205518i</v>
      </c>
      <c r="AN506" s="22" t="str">
        <f t="shared" si="257"/>
        <v>1.1929749289425i</v>
      </c>
      <c r="AO506" s="22" t="str">
        <f t="shared" si="258"/>
        <v>0.779119909946001-0.529016649634369i</v>
      </c>
      <c r="AP506" s="22" t="str">
        <f t="shared" si="259"/>
        <v>0.0614827333321732-0.15491175320092i</v>
      </c>
      <c r="AQ506" s="22" t="str">
        <f t="shared" si="260"/>
        <v>0.938517266667827+0.15491175320092i</v>
      </c>
      <c r="AR506" s="22" t="str">
        <f t="shared" si="261"/>
        <v>0.86402989164931-0.142616859686151i</v>
      </c>
    </row>
    <row r="507" spans="7:44">
      <c r="G507" s="257">
        <v>66838.5</v>
      </c>
      <c r="H507" s="256">
        <f t="shared" si="253"/>
        <v>66.8385</v>
      </c>
      <c r="I507" s="298">
        <f t="shared" si="233"/>
        <v>65.2179177490062</v>
      </c>
      <c r="J507" s="299">
        <f t="shared" si="234"/>
        <v>1.55546251634502</v>
      </c>
      <c r="K507" s="299">
        <f t="shared" si="235"/>
        <v>1.00065198631219</v>
      </c>
      <c r="L507" s="300">
        <f t="shared" si="236"/>
        <v>0.0361007554132269</v>
      </c>
      <c r="M507" s="299">
        <f t="shared" si="237"/>
        <v>1.02769065198693</v>
      </c>
      <c r="N507" s="300">
        <f t="shared" si="238"/>
        <v>-0.232664644931757</v>
      </c>
      <c r="O507" s="298">
        <f t="shared" si="239"/>
        <v>120948.10003826</v>
      </c>
      <c r="P507" s="301">
        <f t="shared" si="240"/>
        <v>1.57078805878573</v>
      </c>
      <c r="Q507" s="320">
        <f t="shared" si="262"/>
        <v>50.4049623154133</v>
      </c>
      <c r="R507" s="321">
        <f t="shared" si="263"/>
        <v>1.55095570862103</v>
      </c>
      <c r="S507" s="298">
        <f t="shared" si="241"/>
        <v>1.05492833302696</v>
      </c>
      <c r="T507" s="301">
        <f t="shared" si="242"/>
        <v>0.324118928836983</v>
      </c>
      <c r="U507" s="316">
        <f t="shared" si="254"/>
        <v>0.823151236968027</v>
      </c>
      <c r="V507" s="317">
        <f t="shared" si="255"/>
        <v>-0.763779003493191</v>
      </c>
      <c r="W507" s="318">
        <f t="shared" si="243"/>
        <v>-8.93765369277494</v>
      </c>
      <c r="X507" s="319">
        <f t="shared" si="244"/>
        <v>-163.851988864475</v>
      </c>
      <c r="Y507" s="332">
        <f t="shared" si="245"/>
        <v>16.1480111355251</v>
      </c>
      <c r="AA507" s="22">
        <f t="shared" si="246"/>
        <v>66838.5</v>
      </c>
      <c r="AB507" s="22">
        <f t="shared" si="247"/>
        <v>4467385082.25</v>
      </c>
      <c r="AD507" s="331">
        <f t="shared" si="248"/>
        <v>27.1414754135285</v>
      </c>
      <c r="AE507" s="332">
        <f t="shared" si="249"/>
        <v>-19.7069566674414</v>
      </c>
      <c r="AG507" s="331">
        <f t="shared" si="250"/>
        <v>-7.31037155629617</v>
      </c>
      <c r="AH507" s="332">
        <f t="shared" si="251"/>
        <v>-56.622405335289</v>
      </c>
      <c r="AJ507" s="22">
        <f t="shared" si="252"/>
        <v>0</v>
      </c>
      <c r="AK507" s="22">
        <f t="shared" si="264"/>
        <v>0</v>
      </c>
      <c r="AM507" s="22" t="str">
        <f t="shared" si="256"/>
        <v>0.637532215972132+0.931996301249059i</v>
      </c>
      <c r="AN507" s="22" t="str">
        <f t="shared" si="257"/>
        <v>1.199881944783i</v>
      </c>
      <c r="AO507" s="22" t="str">
        <f t="shared" si="258"/>
        <v>0.776739999548549-0.531329118455425i</v>
      </c>
      <c r="AP507" s="22" t="str">
        <f t="shared" si="259"/>
        <v>0.060411297337978-0.155332716874843i</v>
      </c>
      <c r="AQ507" s="22" t="str">
        <f t="shared" si="260"/>
        <v>0.939588702662022+0.155332716874843i</v>
      </c>
      <c r="AR507" s="22" t="str">
        <f t="shared" si="261"/>
        <v>0.862972508344544-0.142666534761087i</v>
      </c>
    </row>
    <row r="508" spans="7:44">
      <c r="G508" s="257">
        <v>67223.25</v>
      </c>
      <c r="H508" s="256">
        <f t="shared" si="253"/>
        <v>67.22325</v>
      </c>
      <c r="I508" s="298">
        <f t="shared" si="233"/>
        <v>65.5932509967641</v>
      </c>
      <c r="J508" s="299">
        <f t="shared" si="234"/>
        <v>1.5555502652527</v>
      </c>
      <c r="K508" s="299">
        <f t="shared" si="235"/>
        <v>1.00065951164065</v>
      </c>
      <c r="L508" s="300">
        <f t="shared" si="236"/>
        <v>0.0363083841975154</v>
      </c>
      <c r="M508" s="299">
        <f t="shared" si="237"/>
        <v>1.0280060115263</v>
      </c>
      <c r="N508" s="300">
        <f t="shared" si="238"/>
        <v>-0.233955749548616</v>
      </c>
      <c r="O508" s="298">
        <f t="shared" si="239"/>
        <v>121644.327234959</v>
      </c>
      <c r="P508" s="301">
        <f t="shared" si="240"/>
        <v>1.5707881061074</v>
      </c>
      <c r="Q508" s="320">
        <f t="shared" si="262"/>
        <v>50.6950002113775</v>
      </c>
      <c r="R508" s="321">
        <f t="shared" si="263"/>
        <v>1.55106923618519</v>
      </c>
      <c r="S508" s="298">
        <f t="shared" si="241"/>
        <v>1.05554584186848</v>
      </c>
      <c r="T508" s="301">
        <f t="shared" si="242"/>
        <v>0.325855724179278</v>
      </c>
      <c r="U508" s="316">
        <f t="shared" si="254"/>
        <v>0.821594430802941</v>
      </c>
      <c r="V508" s="317">
        <f t="shared" si="255"/>
        <v>-0.767476659205419</v>
      </c>
      <c r="W508" s="318">
        <f t="shared" si="243"/>
        <v>-9.00631329250087</v>
      </c>
      <c r="X508" s="319">
        <f t="shared" si="244"/>
        <v>-164.223964269819</v>
      </c>
      <c r="Y508" s="332">
        <f t="shared" si="245"/>
        <v>15.7760357301806</v>
      </c>
      <c r="AA508" s="22">
        <f t="shared" si="246"/>
        <v>67223.25</v>
      </c>
      <c r="AB508" s="22">
        <f t="shared" si="247"/>
        <v>4518965340.5625</v>
      </c>
      <c r="AD508" s="331">
        <f t="shared" si="248"/>
        <v>27.136373050499</v>
      </c>
      <c r="AE508" s="332">
        <f t="shared" si="249"/>
        <v>-19.7999657715864</v>
      </c>
      <c r="AG508" s="331">
        <f t="shared" si="250"/>
        <v>-7.34104285605761</v>
      </c>
      <c r="AH508" s="332">
        <f t="shared" si="251"/>
        <v>-56.4776515031981</v>
      </c>
      <c r="AJ508" s="22">
        <f t="shared" si="252"/>
        <v>0</v>
      </c>
      <c r="AK508" s="22">
        <f t="shared" si="264"/>
        <v>0</v>
      </c>
      <c r="AM508" s="22" t="str">
        <f t="shared" si="256"/>
        <v>0.643978124071218+0.93447762084501i</v>
      </c>
      <c r="AN508" s="22" t="str">
        <f t="shared" si="257"/>
        <v>1.2067889606235i</v>
      </c>
      <c r="AO508" s="22" t="str">
        <f t="shared" si="258"/>
        <v>0.774350488226378-0.533629445647647i</v>
      </c>
      <c r="AP508" s="22" t="str">
        <f t="shared" si="259"/>
        <v>0.0593369793214637-0.155746270140835i</v>
      </c>
      <c r="AQ508" s="22" t="str">
        <f t="shared" si="260"/>
        <v>0.940663020678536+0.155746270140835i</v>
      </c>
      <c r="AR508" s="22" t="str">
        <f t="shared" si="261"/>
        <v>0.861917285718707-0.142708280722855i</v>
      </c>
    </row>
    <row r="509" spans="7:44">
      <c r="G509" s="257">
        <v>67608</v>
      </c>
      <c r="H509" s="256">
        <f t="shared" si="253"/>
        <v>67.608</v>
      </c>
      <c r="I509" s="298">
        <f t="shared" si="233"/>
        <v>65.9685847438343</v>
      </c>
      <c r="J509" s="299">
        <f t="shared" si="234"/>
        <v>1.55563701565163</v>
      </c>
      <c r="K509" s="299">
        <f t="shared" si="235"/>
        <v>1.0006670801066</v>
      </c>
      <c r="L509" s="300">
        <f t="shared" si="236"/>
        <v>0.0365160098499867</v>
      </c>
      <c r="M509" s="299">
        <f t="shared" si="237"/>
        <v>1.02832308364873</v>
      </c>
      <c r="N509" s="300">
        <f t="shared" si="238"/>
        <v>-0.235246060119416</v>
      </c>
      <c r="O509" s="298">
        <f t="shared" si="239"/>
        <v>122340.554431658</v>
      </c>
      <c r="P509" s="301">
        <f t="shared" si="240"/>
        <v>1.57078815289047</v>
      </c>
      <c r="Q509" s="320">
        <f t="shared" si="262"/>
        <v>50.9850387532908</v>
      </c>
      <c r="R509" s="321">
        <f t="shared" si="263"/>
        <v>1.55118147210249</v>
      </c>
      <c r="S509" s="298">
        <f t="shared" si="241"/>
        <v>1.05616653099099</v>
      </c>
      <c r="T509" s="301">
        <f t="shared" si="242"/>
        <v>0.327590483385649</v>
      </c>
      <c r="U509" s="316">
        <f t="shared" si="254"/>
        <v>0.820036799970298</v>
      </c>
      <c r="V509" s="317">
        <f t="shared" si="255"/>
        <v>-0.77116557443781</v>
      </c>
      <c r="W509" s="318">
        <f t="shared" si="243"/>
        <v>-9.07473730232111</v>
      </c>
      <c r="X509" s="319">
        <f t="shared" si="244"/>
        <v>-164.595293669232</v>
      </c>
      <c r="Y509" s="332">
        <f t="shared" si="245"/>
        <v>15.4047063307683</v>
      </c>
      <c r="AA509" s="22">
        <f t="shared" si="246"/>
        <v>67608</v>
      </c>
      <c r="AB509" s="22">
        <f t="shared" si="247"/>
        <v>4570841664</v>
      </c>
      <c r="AD509" s="331">
        <f t="shared" si="248"/>
        <v>27.1312478376139</v>
      </c>
      <c r="AE509" s="332">
        <f t="shared" si="249"/>
        <v>-19.8929321887904</v>
      </c>
      <c r="AG509" s="331">
        <f t="shared" si="250"/>
        <v>-7.37137587282081</v>
      </c>
      <c r="AH509" s="332">
        <f t="shared" si="251"/>
        <v>-56.3332959373281</v>
      </c>
      <c r="AJ509" s="22">
        <f t="shared" si="252"/>
        <v>0</v>
      </c>
      <c r="AK509" s="22">
        <f t="shared" si="264"/>
        <v>0</v>
      </c>
      <c r="AM509" s="22" t="str">
        <f t="shared" si="256"/>
        <v>0.650441016791357+0.936914359617857i</v>
      </c>
      <c r="AN509" s="22" t="str">
        <f t="shared" si="257"/>
        <v>1.213695976464i</v>
      </c>
      <c r="AO509" s="22" t="str">
        <f t="shared" si="258"/>
        <v>0.771951442359953-0.535917585132285i</v>
      </c>
      <c r="AP509" s="22" t="str">
        <f t="shared" si="259"/>
        <v>0.0582598305347738-0.156152393269643i</v>
      </c>
      <c r="AQ509" s="22" t="str">
        <f t="shared" si="260"/>
        <v>0.941740169465226+0.156152393269643i</v>
      </c>
      <c r="AR509" s="22" t="str">
        <f t="shared" si="261"/>
        <v>0.860864278496965-0.142742150888584i</v>
      </c>
    </row>
    <row r="510" spans="7:44">
      <c r="G510" s="257">
        <v>68001.75</v>
      </c>
      <c r="H510" s="256">
        <f t="shared" si="253"/>
        <v>68.00175</v>
      </c>
      <c r="I510" s="298">
        <f t="shared" si="233"/>
        <v>66.3526987358056</v>
      </c>
      <c r="J510" s="299">
        <f t="shared" si="234"/>
        <v>1.5557247791616</v>
      </c>
      <c r="K510" s="299">
        <f t="shared" si="235"/>
        <v>1.00067487027457</v>
      </c>
      <c r="L510" s="300">
        <f t="shared" si="236"/>
        <v>0.0367284889817006</v>
      </c>
      <c r="M510" s="299">
        <f t="shared" si="237"/>
        <v>1.02864934415264</v>
      </c>
      <c r="N510" s="300">
        <f t="shared" si="238"/>
        <v>-0.236565727554311</v>
      </c>
      <c r="O510" s="298">
        <f t="shared" si="239"/>
        <v>123053.067644654</v>
      </c>
      <c r="P510" s="301">
        <f t="shared" si="240"/>
        <v>1.57078820021976</v>
      </c>
      <c r="Q510" s="320">
        <f t="shared" si="262"/>
        <v>51.281862479855</v>
      </c>
      <c r="R510" s="321">
        <f t="shared" si="263"/>
        <v>1.55129501896493</v>
      </c>
      <c r="S510" s="298">
        <f t="shared" si="241"/>
        <v>1.05680502605001</v>
      </c>
      <c r="T510" s="301">
        <f t="shared" si="242"/>
        <v>0.329363706477285</v>
      </c>
      <c r="U510" s="316">
        <f t="shared" si="254"/>
        <v>0.818441948439335</v>
      </c>
      <c r="V510" s="317">
        <f t="shared" si="255"/>
        <v>-0.774931749933823</v>
      </c>
      <c r="W510" s="318">
        <f t="shared" si="243"/>
        <v>-9.14452070453176</v>
      </c>
      <c r="X510" s="319">
        <f t="shared" si="244"/>
        <v>-164.974640481167</v>
      </c>
      <c r="Y510" s="332">
        <f t="shared" si="245"/>
        <v>15.025359518833</v>
      </c>
      <c r="AA510" s="22">
        <f t="shared" si="246"/>
        <v>68001.75</v>
      </c>
      <c r="AB510" s="22">
        <f t="shared" si="247"/>
        <v>4624238003.0625</v>
      </c>
      <c r="AD510" s="331">
        <f t="shared" si="248"/>
        <v>27.125979163554</v>
      </c>
      <c r="AE510" s="332">
        <f t="shared" si="249"/>
        <v>-19.9880273439588</v>
      </c>
      <c r="AG510" s="331">
        <f t="shared" si="250"/>
        <v>-7.4020721366786</v>
      </c>
      <c r="AH510" s="332">
        <f t="shared" si="251"/>
        <v>-56.1859756719477</v>
      </c>
      <c r="AJ510" s="22">
        <f t="shared" si="252"/>
        <v>0</v>
      </c>
      <c r="AK510" s="22">
        <f t="shared" si="264"/>
        <v>0</v>
      </c>
      <c r="AM510" s="22" t="str">
        <f t="shared" si="256"/>
        <v>0.657072351788224+0.939361819583881i</v>
      </c>
      <c r="AN510" s="22" t="str">
        <f t="shared" si="257"/>
        <v>1.2207645599265i</v>
      </c>
      <c r="AO510" s="22" t="str">
        <f t="shared" si="258"/>
        <v>0.769486476278799-0.538246581984478i</v>
      </c>
      <c r="AP510" s="22" t="str">
        <f t="shared" si="259"/>
        <v>0.057154608035296-0.15656030326398i</v>
      </c>
      <c r="AQ510" s="22" t="str">
        <f t="shared" si="260"/>
        <v>0.942845391964704+0.15656030326398i</v>
      </c>
      <c r="AR510" s="22" t="str">
        <f t="shared" si="261"/>
        <v>0.859788989386541-0.142768714858848i</v>
      </c>
    </row>
    <row r="511" spans="7:44">
      <c r="G511" s="257">
        <v>68395.5</v>
      </c>
      <c r="H511" s="256">
        <f t="shared" si="253"/>
        <v>68.3955</v>
      </c>
      <c r="I511" s="298">
        <f t="shared" si="233"/>
        <v>66.7368132329709</v>
      </c>
      <c r="J511" s="299">
        <f t="shared" si="234"/>
        <v>1.55581153239814</v>
      </c>
      <c r="K511" s="299">
        <f t="shared" si="235"/>
        <v>1.00068270561968</v>
      </c>
      <c r="L511" s="300">
        <f t="shared" si="236"/>
        <v>0.0369409647955841</v>
      </c>
      <c r="M511" s="299">
        <f t="shared" si="237"/>
        <v>1.02897739493433</v>
      </c>
      <c r="N511" s="300">
        <f t="shared" si="238"/>
        <v>-0.237884555831999</v>
      </c>
      <c r="O511" s="298">
        <f t="shared" si="239"/>
        <v>123765.580857651</v>
      </c>
      <c r="P511" s="301">
        <f t="shared" si="240"/>
        <v>1.57078824700411</v>
      </c>
      <c r="Q511" s="320">
        <f t="shared" si="262"/>
        <v>51.5786868599808</v>
      </c>
      <c r="R511" s="321">
        <f t="shared" si="263"/>
        <v>1.55140725895269</v>
      </c>
      <c r="S511" s="298">
        <f t="shared" si="241"/>
        <v>1.05744684002344</v>
      </c>
      <c r="T511" s="301">
        <f t="shared" si="242"/>
        <v>0.331134782627977</v>
      </c>
      <c r="U511" s="316">
        <f t="shared" si="254"/>
        <v>0.816846372375275</v>
      </c>
      <c r="V511" s="317">
        <f t="shared" si="255"/>
        <v>-0.77868881113913</v>
      </c>
      <c r="W511" s="318">
        <f t="shared" si="243"/>
        <v>-9.21406289962822</v>
      </c>
      <c r="X511" s="319">
        <f t="shared" si="244"/>
        <v>-165.353311144764</v>
      </c>
      <c r="Y511" s="332">
        <f t="shared" si="245"/>
        <v>14.6466888552357</v>
      </c>
      <c r="AA511" s="22">
        <f t="shared" si="246"/>
        <v>68395.5</v>
      </c>
      <c r="AB511" s="22">
        <f t="shared" si="247"/>
        <v>4677944420.25</v>
      </c>
      <c r="AD511" s="331">
        <f t="shared" si="248"/>
        <v>27.1206867305504</v>
      </c>
      <c r="AE511" s="332">
        <f t="shared" si="249"/>
        <v>-20.0830743356531</v>
      </c>
      <c r="AG511" s="331">
        <f t="shared" si="250"/>
        <v>-7.43242206148107</v>
      </c>
      <c r="AH511" s="332">
        <f t="shared" si="251"/>
        <v>-56.0390718424861</v>
      </c>
      <c r="AJ511" s="22">
        <f t="shared" si="252"/>
        <v>0</v>
      </c>
      <c r="AK511" s="22">
        <f t="shared" si="264"/>
        <v>0</v>
      </c>
      <c r="AM511" s="22" t="str">
        <f t="shared" si="256"/>
        <v>0.663720821049854+0.941762344652097i</v>
      </c>
      <c r="AN511" s="22" t="str">
        <f t="shared" si="257"/>
        <v>1.227833143389i</v>
      </c>
      <c r="AO511" s="22" t="str">
        <f t="shared" si="258"/>
        <v>0.767011665813723-0.540562717844452i</v>
      </c>
      <c r="AP511" s="22" t="str">
        <f t="shared" si="259"/>
        <v>0.0560465298250243-0.156960390775349i</v>
      </c>
      <c r="AQ511" s="22" t="str">
        <f t="shared" si="260"/>
        <v>0.943953470174976+0.156960390775349i</v>
      </c>
      <c r="AR511" s="22" t="str">
        <f t="shared" si="261"/>
        <v>0.85871613350008-0.142787143792464i</v>
      </c>
    </row>
    <row r="512" spans="7:44">
      <c r="G512" s="257">
        <v>68789.25</v>
      </c>
      <c r="H512" s="256">
        <f t="shared" si="253"/>
        <v>68.78925</v>
      </c>
      <c r="I512" s="298">
        <f t="shared" si="233"/>
        <v>67.1209282266571</v>
      </c>
      <c r="J512" s="299">
        <f t="shared" si="234"/>
        <v>1.55589729270451</v>
      </c>
      <c r="K512" s="299">
        <f t="shared" si="235"/>
        <v>1.00069058614087</v>
      </c>
      <c r="L512" s="300">
        <f t="shared" si="236"/>
        <v>0.0371534372725305</v>
      </c>
      <c r="M512" s="299">
        <f t="shared" si="237"/>
        <v>1.02930723428205</v>
      </c>
      <c r="N512" s="300">
        <f t="shared" si="238"/>
        <v>-0.239202541169328</v>
      </c>
      <c r="O512" s="298">
        <f t="shared" si="239"/>
        <v>124478.094070648</v>
      </c>
      <c r="P512" s="301">
        <f t="shared" si="240"/>
        <v>1.57078829325287</v>
      </c>
      <c r="Q512" s="320">
        <f t="shared" si="262"/>
        <v>51.8755118824495</v>
      </c>
      <c r="R512" s="321">
        <f t="shared" si="263"/>
        <v>1.55151821449622</v>
      </c>
      <c r="S512" s="298">
        <f t="shared" si="241"/>
        <v>1.05809196687173</v>
      </c>
      <c r="T512" s="301">
        <f t="shared" si="242"/>
        <v>0.332903704644013</v>
      </c>
      <c r="U512" s="316">
        <f t="shared" si="254"/>
        <v>0.815250140886068</v>
      </c>
      <c r="V512" s="317">
        <f t="shared" si="255"/>
        <v>-0.782436778938022</v>
      </c>
      <c r="W512" s="318">
        <f t="shared" si="243"/>
        <v>-9.28336660501581</v>
      </c>
      <c r="X512" s="319">
        <f t="shared" si="244"/>
        <v>-165.731305937833</v>
      </c>
      <c r="Y512" s="332">
        <f t="shared" si="245"/>
        <v>14.2686940621666</v>
      </c>
      <c r="AA512" s="22">
        <f t="shared" si="246"/>
        <v>68789.25</v>
      </c>
      <c r="AB512" s="22">
        <f t="shared" si="247"/>
        <v>4731960915.5625</v>
      </c>
      <c r="AD512" s="331">
        <f t="shared" si="248"/>
        <v>27.1153706263825</v>
      </c>
      <c r="AE512" s="332">
        <f t="shared" si="249"/>
        <v>-20.1780714670695</v>
      </c>
      <c r="AG512" s="331">
        <f t="shared" si="250"/>
        <v>-7.46242957669465</v>
      </c>
      <c r="AH512" s="332">
        <f t="shared" si="251"/>
        <v>-55.8925840303934</v>
      </c>
      <c r="AJ512" s="22">
        <f t="shared" si="252"/>
        <v>0</v>
      </c>
      <c r="AK512" s="22">
        <f t="shared" si="264"/>
        <v>0</v>
      </c>
      <c r="AM512" s="22" t="str">
        <f t="shared" si="256"/>
        <v>0.670386092387713+0.944115814881076i</v>
      </c>
      <c r="AN512" s="22" t="str">
        <f t="shared" si="257"/>
        <v>1.2349017268515i</v>
      </c>
      <c r="AO512" s="22" t="str">
        <f t="shared" si="258"/>
        <v>0.764527082886336-0.542865944561375i</v>
      </c>
      <c r="AP512" s="22" t="str">
        <f t="shared" si="259"/>
        <v>0.0549356512687145-0.157352635813513i</v>
      </c>
      <c r="AQ512" s="22" t="str">
        <f t="shared" si="260"/>
        <v>0.945064348731286+0.157352635813513i</v>
      </c>
      <c r="AR512" s="22" t="str">
        <f t="shared" si="261"/>
        <v>0.857645766456791-0.142797495353037i</v>
      </c>
    </row>
    <row r="513" spans="7:44">
      <c r="G513" s="257">
        <v>69183</v>
      </c>
      <c r="H513" s="256">
        <f t="shared" si="253"/>
        <v>69.183</v>
      </c>
      <c r="I513" s="298">
        <f t="shared" si="233"/>
        <v>67.5050437083882</v>
      </c>
      <c r="J513" s="299">
        <f t="shared" si="234"/>
        <v>1.55598207702927</v>
      </c>
      <c r="K513" s="299">
        <f t="shared" si="235"/>
        <v>1.00069851183708</v>
      </c>
      <c r="L513" s="300">
        <f t="shared" si="236"/>
        <v>0.037365906393435</v>
      </c>
      <c r="M513" s="299">
        <f t="shared" si="237"/>
        <v>1.02963886047692</v>
      </c>
      <c r="N513" s="300">
        <f t="shared" si="238"/>
        <v>-0.240519679799696</v>
      </c>
      <c r="O513" s="298">
        <f t="shared" si="239"/>
        <v>125190.607283645</v>
      </c>
      <c r="P513" s="301">
        <f t="shared" si="240"/>
        <v>1.57078833897519</v>
      </c>
      <c r="Q513" s="320">
        <f t="shared" si="262"/>
        <v>52.1723375362976</v>
      </c>
      <c r="R513" s="321">
        <f t="shared" si="263"/>
        <v>1.55162790751564</v>
      </c>
      <c r="S513" s="298">
        <f t="shared" si="241"/>
        <v>1.05874040053896</v>
      </c>
      <c r="T513" s="301">
        <f t="shared" si="242"/>
        <v>0.334670465403091</v>
      </c>
      <c r="U513" s="316">
        <f t="shared" si="254"/>
        <v>0.813653322221777</v>
      </c>
      <c r="V513" s="317">
        <f t="shared" si="255"/>
        <v>-0.786175674682474</v>
      </c>
      <c r="W513" s="318">
        <f t="shared" si="243"/>
        <v>-9.35243448521955</v>
      </c>
      <c r="X513" s="319">
        <f t="shared" si="244"/>
        <v>-166.108625176633</v>
      </c>
      <c r="Y513" s="332">
        <f t="shared" si="245"/>
        <v>13.8913748233666</v>
      </c>
      <c r="AA513" s="22">
        <f t="shared" si="246"/>
        <v>69183</v>
      </c>
      <c r="AB513" s="22">
        <f t="shared" si="247"/>
        <v>4786287489</v>
      </c>
      <c r="AD513" s="331">
        <f t="shared" si="248"/>
        <v>27.1100309392006</v>
      </c>
      <c r="AE513" s="332">
        <f t="shared" si="249"/>
        <v>-20.2730170747235</v>
      </c>
      <c r="AG513" s="331">
        <f t="shared" si="250"/>
        <v>-7.49209855025485</v>
      </c>
      <c r="AH513" s="332">
        <f t="shared" si="251"/>
        <v>-55.7465117686567</v>
      </c>
      <c r="AJ513" s="22">
        <f t="shared" si="252"/>
        <v>0</v>
      </c>
      <c r="AK513" s="22">
        <f t="shared" si="264"/>
        <v>0</v>
      </c>
      <c r="AM513" s="22" t="str">
        <f t="shared" si="256"/>
        <v>0.677067832773757+0.946422112680469i</v>
      </c>
      <c r="AN513" s="22" t="str">
        <f t="shared" si="257"/>
        <v>1.241970310314i</v>
      </c>
      <c r="AO513" s="22" t="str">
        <f t="shared" si="258"/>
        <v>0.762032799673924-0.545156214404657i</v>
      </c>
      <c r="AP513" s="22" t="str">
        <f t="shared" si="259"/>
        <v>0.0538220278710405-0.157737018780078i</v>
      </c>
      <c r="AQ513" s="22" t="str">
        <f t="shared" si="260"/>
        <v>0.946177972128959+0.157737018780078i</v>
      </c>
      <c r="AR513" s="22" t="str">
        <f t="shared" si="261"/>
        <v>0.85657794286649-0.142799827348038i</v>
      </c>
    </row>
    <row r="514" spans="7:44">
      <c r="G514" s="257">
        <v>69586</v>
      </c>
      <c r="H514" s="256">
        <f t="shared" si="253"/>
        <v>69.586</v>
      </c>
      <c r="I514" s="298">
        <f t="shared" si="233"/>
        <v>67.8981833521376</v>
      </c>
      <c r="J514" s="299">
        <f t="shared" si="234"/>
        <v>1.55606785975547</v>
      </c>
      <c r="K514" s="299">
        <f t="shared" si="235"/>
        <v>1.00070667050249</v>
      </c>
      <c r="L514" s="300">
        <f t="shared" si="236"/>
        <v>0.0375833633572528</v>
      </c>
      <c r="M514" s="299">
        <f t="shared" si="237"/>
        <v>1.02998012575943</v>
      </c>
      <c r="N514" s="300">
        <f t="shared" si="238"/>
        <v>-0.241866880043958</v>
      </c>
      <c r="O514" s="298">
        <f t="shared" si="239"/>
        <v>125919.858902281</v>
      </c>
      <c r="P514" s="301">
        <f t="shared" si="240"/>
        <v>1.57078838523581</v>
      </c>
      <c r="Q514" s="320">
        <f t="shared" si="262"/>
        <v>52.4761368798727</v>
      </c>
      <c r="R514" s="321">
        <f t="shared" si="263"/>
        <v>1.55173889244485</v>
      </c>
      <c r="S514" s="298">
        <f t="shared" si="241"/>
        <v>1.05940748517137</v>
      </c>
      <c r="T514" s="301">
        <f t="shared" si="242"/>
        <v>0.336476485648102</v>
      </c>
      <c r="U514" s="316">
        <f t="shared" si="254"/>
        <v>0.812018453293354</v>
      </c>
      <c r="V514" s="317">
        <f t="shared" si="255"/>
        <v>-0.789993033328814</v>
      </c>
      <c r="W514" s="318">
        <f t="shared" si="243"/>
        <v>-9.42288343879965</v>
      </c>
      <c r="X514" s="319">
        <f t="shared" si="244"/>
        <v>-166.494109246725</v>
      </c>
      <c r="Y514" s="332">
        <f t="shared" si="245"/>
        <v>13.5058907532747</v>
      </c>
      <c r="AA514" s="22">
        <f t="shared" si="246"/>
        <v>69586</v>
      </c>
      <c r="AB514" s="22">
        <f t="shared" si="247"/>
        <v>4842211396</v>
      </c>
      <c r="AD514" s="331">
        <f t="shared" si="248"/>
        <v>27.1045414835791</v>
      </c>
      <c r="AE514" s="332">
        <f t="shared" si="249"/>
        <v>-20.3701380950935</v>
      </c>
      <c r="AG514" s="331">
        <f t="shared" si="250"/>
        <v>-7.52211791801979</v>
      </c>
      <c r="AH514" s="332">
        <f t="shared" si="251"/>
        <v>-55.5974377392324</v>
      </c>
      <c r="AJ514" s="22">
        <f t="shared" si="252"/>
        <v>0</v>
      </c>
      <c r="AK514" s="22">
        <f t="shared" si="264"/>
        <v>0</v>
      </c>
      <c r="AM514" s="22" t="str">
        <f t="shared" si="256"/>
        <v>0.683923246540311+0.948733622215626i</v>
      </c>
      <c r="AN514" s="22" t="str">
        <f t="shared" si="257"/>
        <v>1.249204949388i</v>
      </c>
      <c r="AO514" s="22" t="str">
        <f t="shared" si="258"/>
        <v>0.759469951412234-0.547486821017939i</v>
      </c>
      <c r="AP514" s="22" t="str">
        <f t="shared" si="259"/>
        <v>0.0526794589099482-0.158122270369271i</v>
      </c>
      <c r="AQ514" s="22" t="str">
        <f t="shared" si="260"/>
        <v>0.947320541090052+0.158122270369271i</v>
      </c>
      <c r="AR514" s="22" t="str">
        <f t="shared" si="261"/>
        <v>0.855487723618362-0.142793970218277i</v>
      </c>
    </row>
    <row r="515" spans="7:44">
      <c r="G515" s="257">
        <v>69989</v>
      </c>
      <c r="H515" s="256">
        <f t="shared" si="253"/>
        <v>69.989</v>
      </c>
      <c r="I515" s="298">
        <f t="shared" si="233"/>
        <v>68.2913234897751</v>
      </c>
      <c r="J515" s="299">
        <f t="shared" si="234"/>
        <v>1.55615265481268</v>
      </c>
      <c r="K515" s="299">
        <f t="shared" si="235"/>
        <v>1.00071487648808</v>
      </c>
      <c r="L515" s="300">
        <f t="shared" si="236"/>
        <v>0.0378008167650054</v>
      </c>
      <c r="M515" s="299">
        <f t="shared" si="237"/>
        <v>1.03032325916249</v>
      </c>
      <c r="N515" s="300">
        <f t="shared" si="238"/>
        <v>-0.24321318540147</v>
      </c>
      <c r="O515" s="298">
        <f t="shared" si="239"/>
        <v>126649.110520918</v>
      </c>
      <c r="P515" s="301">
        <f t="shared" si="240"/>
        <v>1.57078843096368</v>
      </c>
      <c r="Q515" s="320">
        <f t="shared" si="262"/>
        <v>52.7799368623897</v>
      </c>
      <c r="R515" s="321">
        <f t="shared" si="263"/>
        <v>1.55184859972251</v>
      </c>
      <c r="S515" s="298">
        <f t="shared" si="241"/>
        <v>1.06007802092735</v>
      </c>
      <c r="T515" s="301">
        <f t="shared" si="242"/>
        <v>0.338280227030544</v>
      </c>
      <c r="U515" s="316">
        <f t="shared" si="254"/>
        <v>0.810383111204486</v>
      </c>
      <c r="V515" s="317">
        <f t="shared" si="255"/>
        <v>-0.793800935394744</v>
      </c>
      <c r="W515" s="318">
        <f t="shared" si="243"/>
        <v>-9.49309084091632</v>
      </c>
      <c r="X515" s="319">
        <f t="shared" si="244"/>
        <v>-166.878886440229</v>
      </c>
      <c r="Y515" s="332">
        <f t="shared" si="245"/>
        <v>13.1211135597709</v>
      </c>
      <c r="AA515" s="22">
        <f t="shared" si="246"/>
        <v>69989</v>
      </c>
      <c r="AB515" s="22">
        <f t="shared" si="247"/>
        <v>4898460121</v>
      </c>
      <c r="AD515" s="331">
        <f t="shared" si="248"/>
        <v>27.0990275118906</v>
      </c>
      <c r="AE515" s="332">
        <f t="shared" si="249"/>
        <v>-20.4672017197741</v>
      </c>
      <c r="AG515" s="331">
        <f t="shared" si="250"/>
        <v>-7.55179065806932</v>
      </c>
      <c r="AH515" s="332">
        <f t="shared" si="251"/>
        <v>-55.4487978732036</v>
      </c>
      <c r="AJ515" s="22">
        <f t="shared" si="252"/>
        <v>0</v>
      </c>
      <c r="AK515" s="22">
        <f t="shared" si="264"/>
        <v>0</v>
      </c>
      <c r="AM515" s="22" t="str">
        <f t="shared" si="256"/>
        <v>0.690795203692785+0.950995475247182i</v>
      </c>
      <c r="AN515" s="22" t="str">
        <f t="shared" si="257"/>
        <v>1.256439588462i</v>
      </c>
      <c r="AO515" s="22" t="str">
        <f t="shared" si="258"/>
        <v>0.75689709555498-0.549803755020473i</v>
      </c>
      <c r="AP515" s="22" t="str">
        <f t="shared" si="259"/>
        <v>0.0515341327178692-0.15849924587453i</v>
      </c>
      <c r="AQ515" s="22" t="str">
        <f t="shared" si="260"/>
        <v>0.948465867282131+0.15849924587453i</v>
      </c>
      <c r="AR515" s="22" t="str">
        <f t="shared" si="261"/>
        <v>0.854400281278578-0.142779835236135i</v>
      </c>
    </row>
    <row r="516" spans="7:44">
      <c r="G516" s="257">
        <v>70392</v>
      </c>
      <c r="H516" s="256">
        <f t="shared" si="253"/>
        <v>70.392</v>
      </c>
      <c r="I516" s="298">
        <f t="shared" si="233"/>
        <v>68.6844641128198</v>
      </c>
      <c r="J516" s="299">
        <f t="shared" si="234"/>
        <v>1.55623647915951</v>
      </c>
      <c r="K516" s="299">
        <f t="shared" si="235"/>
        <v>1.00072312979268</v>
      </c>
      <c r="L516" s="300">
        <f t="shared" si="236"/>
        <v>0.0380182665962156</v>
      </c>
      <c r="M516" s="299">
        <f t="shared" si="237"/>
        <v>1.03066825882029</v>
      </c>
      <c r="N516" s="300">
        <f t="shared" si="238"/>
        <v>-0.244558591888003</v>
      </c>
      <c r="O516" s="298">
        <f t="shared" si="239"/>
        <v>127378.362139554</v>
      </c>
      <c r="P516" s="301">
        <f t="shared" si="240"/>
        <v>1.57078847616797</v>
      </c>
      <c r="Q516" s="320">
        <f t="shared" si="262"/>
        <v>53.0837374728784</v>
      </c>
      <c r="R516" s="321">
        <f t="shared" si="263"/>
        <v>1.55195705128211</v>
      </c>
      <c r="S516" s="298">
        <f t="shared" si="241"/>
        <v>1.0607520012622</v>
      </c>
      <c r="T516" s="301">
        <f t="shared" si="242"/>
        <v>0.340081682146323</v>
      </c>
      <c r="U516" s="316">
        <f t="shared" si="254"/>
        <v>0.808747366354356</v>
      </c>
      <c r="V516" s="317">
        <f t="shared" si="255"/>
        <v>-0.797599405238818</v>
      </c>
      <c r="W516" s="318">
        <f t="shared" si="243"/>
        <v>-9.56305938473167</v>
      </c>
      <c r="X516" s="319">
        <f t="shared" si="244"/>
        <v>-167.262957216943</v>
      </c>
      <c r="Y516" s="332">
        <f t="shared" si="245"/>
        <v>12.7370427830567</v>
      </c>
      <c r="AA516" s="22">
        <f t="shared" si="246"/>
        <v>70392</v>
      </c>
      <c r="AB516" s="22">
        <f t="shared" si="247"/>
        <v>4955033664</v>
      </c>
      <c r="AD516" s="331">
        <f t="shared" si="248"/>
        <v>27.0934891197746</v>
      </c>
      <c r="AE516" s="332">
        <f t="shared" si="249"/>
        <v>-20.5642062683689</v>
      </c>
      <c r="AG516" s="331">
        <f t="shared" si="250"/>
        <v>-7.58112072543367</v>
      </c>
      <c r="AH516" s="332">
        <f t="shared" si="251"/>
        <v>-55.3005915194786</v>
      </c>
      <c r="AJ516" s="22">
        <f t="shared" si="252"/>
        <v>0</v>
      </c>
      <c r="AK516" s="22">
        <f t="shared" si="264"/>
        <v>0</v>
      </c>
      <c r="AM516" s="22" t="str">
        <f t="shared" si="256"/>
        <v>0.697683344554492+0.953207553390258i</v>
      </c>
      <c r="AN516" s="22" t="str">
        <f t="shared" si="257"/>
        <v>1.263674227536i</v>
      </c>
      <c r="AO516" s="22" t="str">
        <f t="shared" si="258"/>
        <v>0.754314310302022-0.55210696661503i</v>
      </c>
      <c r="AP516" s="22" t="str">
        <f t="shared" si="259"/>
        <v>0.050386109240918-0.158867925565043i</v>
      </c>
      <c r="AQ516" s="22" t="str">
        <f t="shared" si="260"/>
        <v>0.949613890759082+0.158867925565043i</v>
      </c>
      <c r="AR516" s="22" t="str">
        <f t="shared" si="261"/>
        <v>0.853315671162856-0.14275748475143i</v>
      </c>
    </row>
    <row r="517" spans="7:44">
      <c r="G517" s="257">
        <v>70795</v>
      </c>
      <c r="H517" s="256">
        <f t="shared" si="253"/>
        <v>70.795</v>
      </c>
      <c r="I517" s="298">
        <f t="shared" si="233"/>
        <v>69.077605212984</v>
      </c>
      <c r="J517" s="299">
        <f t="shared" si="234"/>
        <v>1.55631934936857</v>
      </c>
      <c r="K517" s="299">
        <f t="shared" si="235"/>
        <v>1.00073143041511</v>
      </c>
      <c r="L517" s="300">
        <f t="shared" si="236"/>
        <v>0.038235712830408</v>
      </c>
      <c r="M517" s="299">
        <f t="shared" si="237"/>
        <v>1.03101512285937</v>
      </c>
      <c r="N517" s="300">
        <f t="shared" si="238"/>
        <v>-0.245903095537666</v>
      </c>
      <c r="O517" s="298">
        <f t="shared" si="239"/>
        <v>128107.613758191</v>
      </c>
      <c r="P517" s="301">
        <f t="shared" si="240"/>
        <v>1.5707885208576</v>
      </c>
      <c r="Q517" s="320">
        <f t="shared" si="262"/>
        <v>53.3875387006185</v>
      </c>
      <c r="R517" s="321">
        <f t="shared" si="263"/>
        <v>1.55206426855805</v>
      </c>
      <c r="S517" s="298">
        <f t="shared" si="241"/>
        <v>1.06142941961426</v>
      </c>
      <c r="T517" s="301">
        <f t="shared" si="242"/>
        <v>0.341880843669461</v>
      </c>
      <c r="U517" s="316">
        <f t="shared" si="254"/>
        <v>0.807111288212867</v>
      </c>
      <c r="V517" s="317">
        <f t="shared" si="255"/>
        <v>-0.801388467695338</v>
      </c>
      <c r="W517" s="318">
        <f t="shared" si="243"/>
        <v>-9.63279171098037</v>
      </c>
      <c r="X517" s="319">
        <f t="shared" si="244"/>
        <v>-167.646322075916</v>
      </c>
      <c r="Y517" s="332">
        <f t="shared" si="245"/>
        <v>12.3536779240835</v>
      </c>
      <c r="AA517" s="22">
        <f t="shared" si="246"/>
        <v>70795</v>
      </c>
      <c r="AB517" s="22">
        <f t="shared" si="247"/>
        <v>5011932025</v>
      </c>
      <c r="AD517" s="331">
        <f t="shared" si="248"/>
        <v>27.0879264032259</v>
      </c>
      <c r="AE517" s="332">
        <f t="shared" si="249"/>
        <v>-20.6611500935432</v>
      </c>
      <c r="AG517" s="331">
        <f t="shared" si="250"/>
        <v>-7.61011201308856</v>
      </c>
      <c r="AH517" s="332">
        <f t="shared" si="251"/>
        <v>-55.1528179786416</v>
      </c>
      <c r="AJ517" s="22">
        <f t="shared" si="252"/>
        <v>0</v>
      </c>
      <c r="AK517" s="22">
        <f t="shared" si="264"/>
        <v>0</v>
      </c>
      <c r="AM517" s="22" t="str">
        <f t="shared" si="256"/>
        <v>0.704587308601694+0.955369740865184i</v>
      </c>
      <c r="AN517" s="22" t="str">
        <f t="shared" si="257"/>
        <v>1.27090886661i</v>
      </c>
      <c r="AO517" s="22" t="str">
        <f t="shared" si="258"/>
        <v>0.751721674122489-0.55439640647177i</v>
      </c>
      <c r="AP517" s="22" t="str">
        <f t="shared" si="259"/>
        <v>0.0492354485663843-0.159228290144197i</v>
      </c>
      <c r="AQ517" s="22" t="str">
        <f t="shared" si="260"/>
        <v>0.950764551433616+0.159228290144197i</v>
      </c>
      <c r="AR517" s="22" t="str">
        <f t="shared" si="261"/>
        <v>0.852233947514198-0.142726981207818i</v>
      </c>
    </row>
    <row r="518" spans="7:44">
      <c r="G518" s="257">
        <v>71207.25</v>
      </c>
      <c r="H518" s="256">
        <f t="shared" si="253"/>
        <v>71.20725</v>
      </c>
      <c r="I518" s="298">
        <f t="shared" si="233"/>
        <v>69.4797705084914</v>
      </c>
      <c r="J518" s="299">
        <f t="shared" si="234"/>
        <v>1.55640315133151</v>
      </c>
      <c r="K518" s="299">
        <f t="shared" si="235"/>
        <v>1.00073997051872</v>
      </c>
      <c r="L518" s="300">
        <f t="shared" si="236"/>
        <v>0.0384581463330258</v>
      </c>
      <c r="M518" s="299">
        <f t="shared" si="237"/>
        <v>1.03137187551837</v>
      </c>
      <c r="N518" s="300">
        <f t="shared" si="238"/>
        <v>-0.247277521108441</v>
      </c>
      <c r="O518" s="298">
        <f t="shared" si="239"/>
        <v>128853.603782467</v>
      </c>
      <c r="P518" s="301">
        <f t="shared" si="240"/>
        <v>1.5707885660496</v>
      </c>
      <c r="Q518" s="320">
        <f t="shared" si="262"/>
        <v>53.6983136612046</v>
      </c>
      <c r="R518" s="321">
        <f t="shared" si="263"/>
        <v>1.55217269151129</v>
      </c>
      <c r="S518" s="298">
        <f t="shared" si="241"/>
        <v>1.06212593708315</v>
      </c>
      <c r="T518" s="301">
        <f t="shared" si="242"/>
        <v>0.343718920363778</v>
      </c>
      <c r="U518" s="316">
        <f t="shared" si="254"/>
        <v>0.805437384014396</v>
      </c>
      <c r="V518" s="317">
        <f t="shared" si="255"/>
        <v>-0.805254792574074</v>
      </c>
      <c r="W518" s="318">
        <f t="shared" si="243"/>
        <v>-9.70388288017759</v>
      </c>
      <c r="X518" s="319">
        <f t="shared" si="244"/>
        <v>-168.037756405165</v>
      </c>
      <c r="Y518" s="332">
        <f t="shared" si="245"/>
        <v>11.9622435948353</v>
      </c>
      <c r="AA518" s="22">
        <f t="shared" si="246"/>
        <v>71207.25</v>
      </c>
      <c r="AB518" s="22">
        <f t="shared" si="247"/>
        <v>5070472452.5625</v>
      </c>
      <c r="AD518" s="331">
        <f t="shared" si="248"/>
        <v>27.0822109385909</v>
      </c>
      <c r="AE518" s="332">
        <f t="shared" si="249"/>
        <v>-20.7602545423499</v>
      </c>
      <c r="AG518" s="331">
        <f t="shared" si="250"/>
        <v>-7.63942219577156</v>
      </c>
      <c r="AH518" s="332">
        <f t="shared" si="251"/>
        <v>-55.0020996630207</v>
      </c>
      <c r="AJ518" s="22">
        <f t="shared" si="252"/>
        <v>0</v>
      </c>
      <c r="AK518" s="22">
        <f t="shared" si="264"/>
        <v>0</v>
      </c>
      <c r="AM518" s="22" t="str">
        <f t="shared" si="256"/>
        <v>0.711665733705739+0.957529817227929i</v>
      </c>
      <c r="AN518" s="22" t="str">
        <f t="shared" si="257"/>
        <v>1.2783095612955i</v>
      </c>
      <c r="AO518" s="22" t="str">
        <f t="shared" si="258"/>
        <v>0.749059418954453-0.556724095049796i</v>
      </c>
      <c r="AP518" s="22" t="str">
        <f t="shared" si="259"/>
        <v>0.0480557110490435-0.159588302871322i</v>
      </c>
      <c r="AQ518" s="22" t="str">
        <f t="shared" si="260"/>
        <v>0.951944288950957+0.159588302871322i</v>
      </c>
      <c r="AR518" s="22" t="str">
        <f t="shared" si="261"/>
        <v>0.851130437266505-0.142687406796855i</v>
      </c>
    </row>
    <row r="519" spans="7:44">
      <c r="G519" s="257">
        <v>71619.5</v>
      </c>
      <c r="H519" s="256">
        <f t="shared" si="253"/>
        <v>71.6195</v>
      </c>
      <c r="I519" s="298">
        <f t="shared" si="233"/>
        <v>69.881936286323</v>
      </c>
      <c r="J519" s="299">
        <f t="shared" si="234"/>
        <v>1.55648598874587</v>
      </c>
      <c r="K519" s="299">
        <f t="shared" si="235"/>
        <v>1.00074856013475</v>
      </c>
      <c r="L519" s="300">
        <f t="shared" si="236"/>
        <v>0.03868057602827</v>
      </c>
      <c r="M519" s="299">
        <f t="shared" si="237"/>
        <v>1.03173057513641</v>
      </c>
      <c r="N519" s="300">
        <f t="shared" si="238"/>
        <v>-0.248650993584923</v>
      </c>
      <c r="O519" s="298">
        <f t="shared" si="239"/>
        <v>129599.593806743</v>
      </c>
      <c r="P519" s="301">
        <f t="shared" si="240"/>
        <v>1.57078861072133</v>
      </c>
      <c r="Q519" s="320">
        <f t="shared" si="262"/>
        <v>54.0090892457785</v>
      </c>
      <c r="R519" s="321">
        <f t="shared" si="263"/>
        <v>1.55227986670518</v>
      </c>
      <c r="S519" s="298">
        <f t="shared" si="241"/>
        <v>1.06282603826169</v>
      </c>
      <c r="T519" s="301">
        <f t="shared" si="242"/>
        <v>0.345554581709788</v>
      </c>
      <c r="U519" s="316">
        <f t="shared" si="254"/>
        <v>0.803763275146892</v>
      </c>
      <c r="V519" s="317">
        <f t="shared" si="255"/>
        <v>-0.809111327312023</v>
      </c>
      <c r="W519" s="318">
        <f t="shared" si="243"/>
        <v>-9.77473229141238</v>
      </c>
      <c r="X519" s="319">
        <f t="shared" si="244"/>
        <v>-168.428453218239</v>
      </c>
      <c r="Y519" s="332">
        <f t="shared" si="245"/>
        <v>11.5715467817614</v>
      </c>
      <c r="AA519" s="22">
        <f t="shared" si="246"/>
        <v>71619.5</v>
      </c>
      <c r="AB519" s="22">
        <f t="shared" si="247"/>
        <v>5129352780.25</v>
      </c>
      <c r="AD519" s="331">
        <f t="shared" si="248"/>
        <v>27.076470224375</v>
      </c>
      <c r="AE519" s="332">
        <f t="shared" si="249"/>
        <v>-20.8592920634282</v>
      </c>
      <c r="AG519" s="331">
        <f t="shared" si="250"/>
        <v>-7.66838591601975</v>
      </c>
      <c r="AH519" s="332">
        <f t="shared" si="251"/>
        <v>-54.8518326264514</v>
      </c>
      <c r="AJ519" s="22">
        <f t="shared" si="252"/>
        <v>0</v>
      </c>
      <c r="AK519" s="22">
        <f t="shared" si="264"/>
        <v>0</v>
      </c>
      <c r="AM519" s="22" t="str">
        <f t="shared" si="256"/>
        <v>0.718759950886732+0.959637449652089i</v>
      </c>
      <c r="AN519" s="22" t="str">
        <f t="shared" si="257"/>
        <v>1.285710255981i</v>
      </c>
      <c r="AO519" s="22" t="str">
        <f t="shared" si="258"/>
        <v>0.746387022416558-0.559037269511642i</v>
      </c>
      <c r="AP519" s="22" t="str">
        <f t="shared" si="259"/>
        <v>0.046873341518878-0.159939574942015i</v>
      </c>
      <c r="AQ519" s="22" t="str">
        <f t="shared" si="260"/>
        <v>0.953126658481122+0.159939574942015i</v>
      </c>
      <c r="AR519" s="22" t="str">
        <f t="shared" si="261"/>
        <v>0.8500300589412-0.142639433180521i</v>
      </c>
    </row>
    <row r="520" spans="7:44">
      <c r="G520" s="257">
        <v>72031.75</v>
      </c>
      <c r="H520" s="256">
        <f t="shared" si="253"/>
        <v>72.03175</v>
      </c>
      <c r="I520" s="298">
        <f t="shared" si="233"/>
        <v>70.2841025381993</v>
      </c>
      <c r="J520" s="299">
        <f t="shared" si="234"/>
        <v>1.55656787816796</v>
      </c>
      <c r="K520" s="299">
        <f t="shared" si="235"/>
        <v>1.00075719926194</v>
      </c>
      <c r="L520" s="300">
        <f t="shared" si="236"/>
        <v>0.0389030018942296</v>
      </c>
      <c r="M520" s="299">
        <f t="shared" si="237"/>
        <v>1.03209121968351</v>
      </c>
      <c r="N520" s="300">
        <f t="shared" si="238"/>
        <v>-0.250023508781647</v>
      </c>
      <c r="O520" s="298">
        <f t="shared" si="239"/>
        <v>130345.583831019</v>
      </c>
      <c r="P520" s="301">
        <f t="shared" si="240"/>
        <v>1.57078865488174</v>
      </c>
      <c r="Q520" s="320">
        <f t="shared" si="262"/>
        <v>54.3198654436303</v>
      </c>
      <c r="R520" s="321">
        <f t="shared" si="263"/>
        <v>1.55238581555337</v>
      </c>
      <c r="S520" s="298">
        <f t="shared" si="241"/>
        <v>1.06352971607262</v>
      </c>
      <c r="T520" s="301">
        <f t="shared" si="242"/>
        <v>0.347387820118592</v>
      </c>
      <c r="U520" s="316">
        <f t="shared" si="254"/>
        <v>0.802089032979806</v>
      </c>
      <c r="V520" s="317">
        <f t="shared" si="255"/>
        <v>-0.812958099977965</v>
      </c>
      <c r="W520" s="318">
        <f t="shared" si="243"/>
        <v>-9.84534260962664</v>
      </c>
      <c r="X520" s="319">
        <f t="shared" si="244"/>
        <v>-168.818413172203</v>
      </c>
      <c r="Y520" s="332">
        <f t="shared" si="245"/>
        <v>11.1815868277974</v>
      </c>
      <c r="AA520" s="22">
        <f t="shared" si="246"/>
        <v>72031.75</v>
      </c>
      <c r="AB520" s="22">
        <f t="shared" si="247"/>
        <v>5188573008.0625</v>
      </c>
      <c r="AD520" s="331">
        <f t="shared" si="248"/>
        <v>27.0707043644122</v>
      </c>
      <c r="AE520" s="332">
        <f t="shared" si="249"/>
        <v>-20.958260995566</v>
      </c>
      <c r="AG520" s="331">
        <f t="shared" si="250"/>
        <v>-7.69700714779834</v>
      </c>
      <c r="AH520" s="332">
        <f t="shared" si="251"/>
        <v>-54.7020159707638</v>
      </c>
      <c r="AJ520" s="22">
        <f t="shared" si="252"/>
        <v>0</v>
      </c>
      <c r="AK520" s="22">
        <f t="shared" si="264"/>
        <v>0</v>
      </c>
      <c r="AM520" s="22" t="str">
        <f t="shared" si="256"/>
        <v>0.72586957159417+0.961692522702572i</v>
      </c>
      <c r="AN520" s="22" t="str">
        <f t="shared" si="257"/>
        <v>1.2931109506665i</v>
      </c>
      <c r="AO520" s="22" t="str">
        <f t="shared" si="258"/>
        <v>0.743704569361889-0.561335878580287i</v>
      </c>
      <c r="AP520" s="22" t="str">
        <f t="shared" si="259"/>
        <v>0.045688404734305-0.160282087117095i</v>
      </c>
      <c r="AQ520" s="22" t="str">
        <f t="shared" si="260"/>
        <v>0.954311595265695+0.160282087117095i</v>
      </c>
      <c r="AR520" s="22" t="str">
        <f t="shared" si="261"/>
        <v>0.848932867179459-0.142583127407081i</v>
      </c>
    </row>
    <row r="521" spans="7:44">
      <c r="G521" s="257">
        <v>72444</v>
      </c>
      <c r="H521" s="256">
        <f t="shared" si="253"/>
        <v>72.444</v>
      </c>
      <c r="I521" s="298">
        <f t="shared" si="233"/>
        <v>70.6862692560292</v>
      </c>
      <c r="J521" s="299">
        <f t="shared" si="234"/>
        <v>1.55664883577736</v>
      </c>
      <c r="K521" s="299">
        <f t="shared" si="235"/>
        <v>1.000765887899</v>
      </c>
      <c r="L521" s="300">
        <f t="shared" si="236"/>
        <v>0.0391254239089957</v>
      </c>
      <c r="M521" s="299">
        <f t="shared" si="237"/>
        <v>1.03245380712152</v>
      </c>
      <c r="N521" s="300">
        <f t="shared" si="238"/>
        <v>-0.251395062533408</v>
      </c>
      <c r="O521" s="298">
        <f t="shared" si="239"/>
        <v>131091.573855296</v>
      </c>
      <c r="P521" s="301">
        <f t="shared" si="240"/>
        <v>1.57078869853954</v>
      </c>
      <c r="Q521" s="320">
        <f t="shared" si="262"/>
        <v>54.630642244294</v>
      </c>
      <c r="R521" s="321">
        <f t="shared" si="263"/>
        <v>1.55249055898238</v>
      </c>
      <c r="S521" s="298">
        <f t="shared" si="241"/>
        <v>1.0642369634213</v>
      </c>
      <c r="T521" s="301">
        <f t="shared" si="242"/>
        <v>0.349218628086456</v>
      </c>
      <c r="U521" s="316">
        <f t="shared" si="254"/>
        <v>0.800414727881727</v>
      </c>
      <c r="V521" s="317">
        <f t="shared" si="255"/>
        <v>-0.8167951391211</v>
      </c>
      <c r="W521" s="318">
        <f t="shared" si="243"/>
        <v>-9.9157164479311</v>
      </c>
      <c r="X521" s="319">
        <f t="shared" si="244"/>
        <v>-169.207636963999</v>
      </c>
      <c r="Y521" s="332">
        <f t="shared" si="245"/>
        <v>10.7923630360009</v>
      </c>
      <c r="AA521" s="22">
        <f t="shared" si="246"/>
        <v>72444</v>
      </c>
      <c r="AB521" s="22">
        <f t="shared" si="247"/>
        <v>5248133136</v>
      </c>
      <c r="AD521" s="331">
        <f t="shared" si="248"/>
        <v>27.0649134628736</v>
      </c>
      <c r="AE521" s="332">
        <f t="shared" si="249"/>
        <v>-21.0571597103309</v>
      </c>
      <c r="AG521" s="331">
        <f t="shared" si="250"/>
        <v>-7.7252898025947</v>
      </c>
      <c r="AH521" s="332">
        <f t="shared" si="251"/>
        <v>-54.5526487498375</v>
      </c>
      <c r="AJ521" s="22">
        <f t="shared" si="252"/>
        <v>0</v>
      </c>
      <c r="AK521" s="22">
        <f t="shared" si="264"/>
        <v>0</v>
      </c>
      <c r="AM521" s="22" t="str">
        <f t="shared" si="256"/>
        <v>0.732994206433903+0.963694923822959i</v>
      </c>
      <c r="AN521" s="22" t="str">
        <f t="shared" si="257"/>
        <v>1.300511645352i</v>
      </c>
      <c r="AO521" s="22" t="str">
        <f t="shared" si="258"/>
        <v>0.741012144925563-0.563619871497197i</v>
      </c>
      <c r="AP521" s="22" t="str">
        <f t="shared" si="259"/>
        <v>0.0445009655943495-0.16061582063716i</v>
      </c>
      <c r="AQ521" s="22" t="str">
        <f t="shared" si="260"/>
        <v>0.955499034405651+0.16061582063716i</v>
      </c>
      <c r="AR521" s="22" t="str">
        <f t="shared" si="261"/>
        <v>0.84783891548959-0.142518556561584i</v>
      </c>
    </row>
    <row r="522" spans="7:44">
      <c r="G522" s="257">
        <v>72865.75</v>
      </c>
      <c r="H522" s="256">
        <f t="shared" si="253"/>
        <v>72.86575</v>
      </c>
      <c r="I522" s="298">
        <f t="shared" si="233"/>
        <v>71.097704085928</v>
      </c>
      <c r="J522" s="299">
        <f t="shared" si="234"/>
        <v>1.55673071121408</v>
      </c>
      <c r="K522" s="299">
        <f t="shared" si="235"/>
        <v>1.0007748279924</v>
      </c>
      <c r="L522" s="300">
        <f t="shared" si="236"/>
        <v>0.0393529674683765</v>
      </c>
      <c r="M522" s="299">
        <f t="shared" si="237"/>
        <v>1.03282675855379</v>
      </c>
      <c r="N522" s="300">
        <f t="shared" si="238"/>
        <v>-0.252797223483076</v>
      </c>
      <c r="O522" s="298">
        <f t="shared" si="239"/>
        <v>131854.754674553</v>
      </c>
      <c r="P522" s="301">
        <f t="shared" si="240"/>
        <v>1.5707887426922</v>
      </c>
      <c r="Q522" s="320">
        <f t="shared" si="262"/>
        <v>54.9485812823732</v>
      </c>
      <c r="R522" s="321">
        <f t="shared" si="263"/>
        <v>1.55259649006626</v>
      </c>
      <c r="S522" s="298">
        <f t="shared" si="241"/>
        <v>1.06496419522381</v>
      </c>
      <c r="T522" s="301">
        <f t="shared" si="242"/>
        <v>0.351089102852664</v>
      </c>
      <c r="U522" s="316">
        <f t="shared" si="254"/>
        <v>0.798701846857432</v>
      </c>
      <c r="V522" s="317">
        <f t="shared" si="255"/>
        <v>-0.820710557731109</v>
      </c>
      <c r="W522" s="318">
        <f t="shared" si="243"/>
        <v>-9.9874699548749</v>
      </c>
      <c r="X522" s="319">
        <f t="shared" si="244"/>
        <v>-169.605069097335</v>
      </c>
      <c r="Y522" s="332">
        <f t="shared" si="245"/>
        <v>10.3949309026653</v>
      </c>
      <c r="AA522" s="22">
        <f t="shared" si="246"/>
        <v>72865.75</v>
      </c>
      <c r="AB522" s="22">
        <f t="shared" si="247"/>
        <v>5309417523.0625</v>
      </c>
      <c r="AD522" s="331">
        <f t="shared" si="248"/>
        <v>27.0589633093872</v>
      </c>
      <c r="AE522" s="332">
        <f t="shared" si="249"/>
        <v>-21.1582631459715</v>
      </c>
      <c r="AG522" s="331">
        <f t="shared" si="250"/>
        <v>-7.7538778548909</v>
      </c>
      <c r="AH522" s="332">
        <f t="shared" si="251"/>
        <v>-54.4003035242589</v>
      </c>
      <c r="AJ522" s="22">
        <f t="shared" si="252"/>
        <v>0</v>
      </c>
      <c r="AK522" s="22">
        <f t="shared" si="264"/>
        <v>0</v>
      </c>
      <c r="AM522" s="22" t="str">
        <f t="shared" si="256"/>
        <v>0.740298153465487+0.965688847873146i</v>
      </c>
      <c r="AN522" s="22" t="str">
        <f t="shared" si="257"/>
        <v>1.3080828836385i</v>
      </c>
      <c r="AO522" s="22" t="str">
        <f t="shared" si="258"/>
        <v>0.738247445901159-0.56594131971692i</v>
      </c>
      <c r="AP522" s="22" t="str">
        <f t="shared" si="259"/>
        <v>0.0432836410890855-0.160948141312191i</v>
      </c>
      <c r="AQ522" s="22" t="str">
        <f t="shared" si="260"/>
        <v>0.956716358910914+0.160948141312191i</v>
      </c>
      <c r="AR522" s="22" t="str">
        <f t="shared" si="261"/>
        <v>0.846723162033049-0.142444014744698i</v>
      </c>
    </row>
    <row r="523" spans="7:44">
      <c r="G523" s="257">
        <v>73287.5</v>
      </c>
      <c r="H523" s="256">
        <f t="shared" si="253"/>
        <v>73.2875</v>
      </c>
      <c r="I523" s="298">
        <f t="shared" si="233"/>
        <v>71.5091393869519</v>
      </c>
      <c r="J523" s="299">
        <f t="shared" si="234"/>
        <v>1.55681164449358</v>
      </c>
      <c r="K523" s="299">
        <f t="shared" si="235"/>
        <v>1.00078381990106</v>
      </c>
      <c r="L523" s="300">
        <f t="shared" si="236"/>
        <v>0.0395805069506414</v>
      </c>
      <c r="M523" s="299">
        <f t="shared" si="237"/>
        <v>1.03320173911233</v>
      </c>
      <c r="N523" s="300">
        <f t="shared" si="238"/>
        <v>-0.254198369411498</v>
      </c>
      <c r="O523" s="298">
        <f t="shared" si="239"/>
        <v>132617.93549381</v>
      </c>
      <c r="P523" s="301">
        <f t="shared" si="240"/>
        <v>1.57078878633669</v>
      </c>
      <c r="Q523" s="320">
        <f t="shared" si="262"/>
        <v>55.2665209299578</v>
      </c>
      <c r="R523" s="321">
        <f t="shared" si="263"/>
        <v>1.5527012023414</v>
      </c>
      <c r="S523" s="298">
        <f t="shared" si="241"/>
        <v>1.06569514789803</v>
      </c>
      <c r="T523" s="301">
        <f t="shared" si="242"/>
        <v>0.352957018256142</v>
      </c>
      <c r="U523" s="316">
        <f t="shared" si="254"/>
        <v>0.796989045776931</v>
      </c>
      <c r="V523" s="317">
        <f t="shared" si="255"/>
        <v>-0.824615850990929</v>
      </c>
      <c r="W523" s="318">
        <f t="shared" si="243"/>
        <v>-10.0589813297057</v>
      </c>
      <c r="X523" s="319">
        <f t="shared" si="244"/>
        <v>-170.001732349171</v>
      </c>
      <c r="Y523" s="332">
        <f t="shared" si="245"/>
        <v>9.99826765082875</v>
      </c>
      <c r="AA523" s="22">
        <f t="shared" si="246"/>
        <v>73287.5</v>
      </c>
      <c r="AB523" s="22">
        <f t="shared" si="247"/>
        <v>5371057656.25</v>
      </c>
      <c r="AD523" s="331">
        <f t="shared" si="248"/>
        <v>27.0529871684925</v>
      </c>
      <c r="AE523" s="332">
        <f t="shared" si="249"/>
        <v>-21.2592897444099</v>
      </c>
      <c r="AG523" s="331">
        <f t="shared" si="250"/>
        <v>-7.78211963320968</v>
      </c>
      <c r="AH523" s="332">
        <f t="shared" si="251"/>
        <v>-54.2484265340484</v>
      </c>
      <c r="AJ523" s="22">
        <f t="shared" si="252"/>
        <v>0</v>
      </c>
      <c r="AK523" s="22">
        <f t="shared" si="264"/>
        <v>0</v>
      </c>
      <c r="AM523" s="22" t="str">
        <f t="shared" si="256"/>
        <v>0.7476169874835+0.967627415379027i</v>
      </c>
      <c r="AN523" s="22" t="str">
        <f t="shared" si="257"/>
        <v>1.315654121925i</v>
      </c>
      <c r="AO523" s="22" t="str">
        <f t="shared" si="258"/>
        <v>0.735472491784727-0.568247364580612i</v>
      </c>
      <c r="AP523" s="22" t="str">
        <f t="shared" si="259"/>
        <v>0.0420638354194167-0.161271235896504i</v>
      </c>
      <c r="AQ523" s="22" t="str">
        <f t="shared" si="260"/>
        <v>0.957936164580583+0.161271235896504i</v>
      </c>
      <c r="AR523" s="22" t="str">
        <f t="shared" si="261"/>
        <v>0.84561090941227-0.142360964635041i</v>
      </c>
    </row>
    <row r="524" spans="7:44">
      <c r="G524" s="257">
        <v>73709.25</v>
      </c>
      <c r="H524" s="256">
        <f t="shared" si="253"/>
        <v>73.70925</v>
      </c>
      <c r="I524" s="298">
        <f t="shared" si="233"/>
        <v>71.9205751510157</v>
      </c>
      <c r="J524" s="299">
        <f t="shared" si="234"/>
        <v>1.55689165178419</v>
      </c>
      <c r="K524" s="299">
        <f t="shared" si="235"/>
        <v>1.00079286362358</v>
      </c>
      <c r="L524" s="300">
        <f t="shared" si="236"/>
        <v>0.0398080423323392</v>
      </c>
      <c r="M524" s="299">
        <f t="shared" si="237"/>
        <v>1.03357874658865</v>
      </c>
      <c r="N524" s="300">
        <f t="shared" si="238"/>
        <v>-0.255598495924935</v>
      </c>
      <c r="O524" s="298">
        <f t="shared" si="239"/>
        <v>133381.116313068</v>
      </c>
      <c r="P524" s="301">
        <f t="shared" si="240"/>
        <v>1.57078882948173</v>
      </c>
      <c r="Q524" s="320">
        <f t="shared" si="262"/>
        <v>55.5844611765886</v>
      </c>
      <c r="R524" s="321">
        <f t="shared" si="263"/>
        <v>1.55280471672005</v>
      </c>
      <c r="S524" s="298">
        <f t="shared" si="241"/>
        <v>1.06642981379287</v>
      </c>
      <c r="T524" s="301">
        <f t="shared" si="242"/>
        <v>0.35482236653833</v>
      </c>
      <c r="U524" s="316">
        <f t="shared" si="254"/>
        <v>0.795276396766081</v>
      </c>
      <c r="V524" s="317">
        <f t="shared" si="255"/>
        <v>-0.828511050964964</v>
      </c>
      <c r="W524" s="318">
        <f t="shared" si="243"/>
        <v>-10.1302532103926</v>
      </c>
      <c r="X524" s="319">
        <f t="shared" si="244"/>
        <v>-170.397627590425</v>
      </c>
      <c r="Y524" s="332">
        <f t="shared" si="245"/>
        <v>9.60237240957488</v>
      </c>
      <c r="AA524" s="22">
        <f t="shared" si="246"/>
        <v>73709.25</v>
      </c>
      <c r="AB524" s="22">
        <f t="shared" si="247"/>
        <v>5433053535.5625</v>
      </c>
      <c r="AD524" s="331">
        <f t="shared" si="248"/>
        <v>27.0469851527451</v>
      </c>
      <c r="AE524" s="332">
        <f t="shared" si="249"/>
        <v>-21.3602378634293</v>
      </c>
      <c r="AG524" s="331">
        <f t="shared" si="250"/>
        <v>-7.81001913103242</v>
      </c>
      <c r="AH524" s="332">
        <f t="shared" si="251"/>
        <v>-54.0970166180291</v>
      </c>
      <c r="AJ524" s="22">
        <f t="shared" si="252"/>
        <v>0</v>
      </c>
      <c r="AK524" s="22">
        <f t="shared" si="264"/>
        <v>0</v>
      </c>
      <c r="AM524" s="22" t="str">
        <f t="shared" si="256"/>
        <v>0.754950288947674+0.96951051521537i</v>
      </c>
      <c r="AN524" s="22" t="str">
        <f t="shared" si="257"/>
        <v>1.3232253602115i</v>
      </c>
      <c r="AO524" s="22" t="str">
        <f t="shared" si="258"/>
        <v>0.732687374628617-0.570537953434482i</v>
      </c>
      <c r="AP524" s="22" t="str">
        <f t="shared" si="259"/>
        <v>0.040841618508721-0.161585085869228i</v>
      </c>
      <c r="AQ524" s="22" t="str">
        <f t="shared" si="260"/>
        <v>0.959158381491279+0.161585085869228i</v>
      </c>
      <c r="AR524" s="22" t="str">
        <f t="shared" si="261"/>
        <v>0.844502211311916-0.1422694780808i</v>
      </c>
    </row>
    <row r="525" spans="7:44">
      <c r="G525" s="257">
        <v>74131</v>
      </c>
      <c r="H525" s="256">
        <f t="shared" si="253"/>
        <v>74.131</v>
      </c>
      <c r="I525" s="298">
        <f t="shared" ref="I525:I588" si="265">SQRT(1+(G525/pole1)^2)</f>
        <v>72.3320113702176</v>
      </c>
      <c r="J525" s="299">
        <f t="shared" ref="J525:J588" si="266">ATAN(G525/pole1)</f>
        <v>1.55697074888639</v>
      </c>
      <c r="K525" s="299">
        <f t="shared" ref="K525:K588" si="267">SQRT(1+(G525/Zero1)^2)</f>
        <v>1.00080195915857</v>
      </c>
      <c r="L525" s="300">
        <f t="shared" ref="L525:L588" si="268">ATAN(G525/Zero1)</f>
        <v>0.0400355735900214</v>
      </c>
      <c r="M525" s="299">
        <f t="shared" ref="M525:M588" si="269">SQRT(1+(G525/z_RHP)^2)</f>
        <v>1.03395777876556</v>
      </c>
      <c r="N525" s="300">
        <f t="shared" ref="N525:N588" si="270">-ATAN(G525/z_RHP)</f>
        <v>-0.256997598652028</v>
      </c>
      <c r="O525" s="298">
        <f t="shared" ref="O525:O588" si="271">SQRT(1+(G525/Pole2)^2)</f>
        <v>134144.297132326</v>
      </c>
      <c r="P525" s="301">
        <f t="shared" ref="P525:P588" si="272">ATAN(G525/Pole2)</f>
        <v>1.57078887213584</v>
      </c>
      <c r="Q525" s="320">
        <f t="shared" si="262"/>
        <v>55.9024020120448</v>
      </c>
      <c r="R525" s="321">
        <f t="shared" si="263"/>
        <v>1.55290705363883</v>
      </c>
      <c r="S525" s="298">
        <f t="shared" ref="S525:S588" si="273">SQRT(1+(G525/pole4)^2)</f>
        <v>1.06716818523951</v>
      </c>
      <c r="T525" s="301">
        <f t="shared" ref="T525:T588" si="274">ATAN(G525/pole4)</f>
        <v>0.35668514003344</v>
      </c>
      <c r="U525" s="316">
        <f t="shared" si="254"/>
        <v>0.793563970876314</v>
      </c>
      <c r="V525" s="317">
        <f t="shared" si="255"/>
        <v>-0.832396190200135</v>
      </c>
      <c r="W525" s="318">
        <f t="shared" ref="W525:W588" si="275">20*LOG10(((K525*Q525*M525*U525)/(I525*O525*S525))*Adc)</f>
        <v>-10.2012881836809</v>
      </c>
      <c r="X525" s="319">
        <f t="shared" ref="X525:X588" si="276">((L525+R525+N525+V525)-(J525+P525+T525))*radconv</f>
        <v>-170.79275573242</v>
      </c>
      <c r="Y525" s="332">
        <f t="shared" ref="Y525:Y588" si="277">IF(X525&gt;0,X525,X525+180)</f>
        <v>9.2072442675798</v>
      </c>
      <c r="AA525" s="22">
        <f t="shared" ref="AA525:AA588" si="278">IF(W525&lt;0,G525,1000000000)</f>
        <v>74131</v>
      </c>
      <c r="AB525" s="22">
        <f t="shared" ref="AB525:AB588" si="279">G525^2</f>
        <v>5495405161</v>
      </c>
      <c r="AD525" s="331">
        <f t="shared" ref="AD525:AD588" si="280">20*LOG10((Q525/(O525*S525))*Aea)</f>
        <v>27.0409573750166</v>
      </c>
      <c r="AE525" s="332">
        <f t="shared" ref="AE525:AE588" si="281">(R525-(P525+T525))*radconv</f>
        <v>-21.4611058933693</v>
      </c>
      <c r="AG525" s="331">
        <f t="shared" ref="AG525:AG588" si="282">20*LOG10((K525*M525/(I525*U525))*Acs*Am)</f>
        <v>-7.83758027888584</v>
      </c>
      <c r="AH525" s="332">
        <f t="shared" ref="AH525:AH588" si="283">(L525+N525-(J525+V525))*radconv</f>
        <v>-53.9460725675835</v>
      </c>
      <c r="AJ525" s="22">
        <f t="shared" ref="AJ525:AJ588" si="284">SUM((W526&lt;0)*(W525&gt;0))*G525</f>
        <v>0</v>
      </c>
      <c r="AK525" s="22">
        <f t="shared" si="264"/>
        <v>0</v>
      </c>
      <c r="AM525" s="22" t="str">
        <f t="shared" si="256"/>
        <v>0.762297637488416+0.971338039436535i</v>
      </c>
      <c r="AN525" s="22" t="str">
        <f t="shared" si="257"/>
        <v>1.330796598498i</v>
      </c>
      <c r="AO525" s="22" t="str">
        <f t="shared" si="258"/>
        <v>0.729892186779582-0.572813034199803i</v>
      </c>
      <c r="AP525" s="22" t="str">
        <f t="shared" si="259"/>
        <v>0.0396170604185973-0.161889673239422i</v>
      </c>
      <c r="AQ525" s="22" t="str">
        <f t="shared" si="260"/>
        <v>0.960382939581403+0.161889673239422i</v>
      </c>
      <c r="AR525" s="22" t="str">
        <f t="shared" si="261"/>
        <v>0.843397120224926-0.142169626902988i</v>
      </c>
    </row>
    <row r="526" spans="7:44">
      <c r="G526" s="257">
        <v>74562.75</v>
      </c>
      <c r="H526" s="256">
        <f t="shared" ref="H526:H589" si="285">G526/1000</f>
        <v>74.56275</v>
      </c>
      <c r="I526" s="298">
        <f t="shared" si="265"/>
        <v>72.7532035055488</v>
      </c>
      <c r="J526" s="299">
        <f t="shared" si="266"/>
        <v>1.55705079474338</v>
      </c>
      <c r="K526" s="299">
        <f t="shared" si="267"/>
        <v>1.00081132402364</v>
      </c>
      <c r="L526" s="300">
        <f t="shared" si="268"/>
        <v>0.0402684954833889</v>
      </c>
      <c r="M526" s="299">
        <f t="shared" si="269"/>
        <v>1.03434789302823</v>
      </c>
      <c r="N526" s="300">
        <f t="shared" si="270"/>
        <v>-0.258428810098361</v>
      </c>
      <c r="O526" s="298">
        <f t="shared" si="271"/>
        <v>134925.573525247</v>
      </c>
      <c r="P526" s="301">
        <f t="shared" si="272"/>
        <v>1.57078891530148</v>
      </c>
      <c r="Q526" s="320">
        <f t="shared" si="262"/>
        <v>56.2278820560264</v>
      </c>
      <c r="R526" s="321">
        <f t="shared" si="263"/>
        <v>1.55301061822323</v>
      </c>
      <c r="S526" s="298">
        <f t="shared" si="273"/>
        <v>1.06792789437212</v>
      </c>
      <c r="T526" s="301">
        <f t="shared" si="274"/>
        <v>0.358589406254233</v>
      </c>
      <c r="U526" s="316">
        <f t="shared" ref="U526:U589" si="286">IMABS(IMPRODUCT(AO526,AR526))</f>
        <v>0.791811246297578</v>
      </c>
      <c r="V526" s="317">
        <f t="shared" ref="V526:V589" si="287">IMARGUMENT(IMPRODUCT(AO526,AR526))</f>
        <v>-0.83636306200662</v>
      </c>
      <c r="W526" s="318">
        <f t="shared" si="275"/>
        <v>-10.2737646963444</v>
      </c>
      <c r="X526" s="319">
        <f t="shared" si="276"/>
        <v>-171.196459046192</v>
      </c>
      <c r="Y526" s="332">
        <f t="shared" si="277"/>
        <v>8.80354095380824</v>
      </c>
      <c r="AA526" s="22">
        <f t="shared" si="278"/>
        <v>74562.75</v>
      </c>
      <c r="AB526" s="22">
        <f t="shared" si="279"/>
        <v>5559603687.5625</v>
      </c>
      <c r="AD526" s="331">
        <f t="shared" si="280"/>
        <v>27.0347601069681</v>
      </c>
      <c r="AE526" s="332">
        <f t="shared" si="281"/>
        <v>-21.564280970624</v>
      </c>
      <c r="AG526" s="331">
        <f t="shared" si="282"/>
        <v>-7.8654484816365</v>
      </c>
      <c r="AH526" s="332">
        <f t="shared" si="283"/>
        <v>-53.7920307788191</v>
      </c>
      <c r="AJ526" s="22">
        <f t="shared" si="284"/>
        <v>0</v>
      </c>
      <c r="AK526" s="22">
        <f t="shared" si="264"/>
        <v>0</v>
      </c>
      <c r="AM526" s="22" t="str">
        <f t="shared" ref="AM526:AM589" si="288">IMSUB(1,IMEXP(COMPLEX(0,-2*Pi*G526*Tsw)))</f>
        <v>0.769833307919149+0.973151218391345i</v>
      </c>
      <c r="AN526" s="22" t="str">
        <f t="shared" ref="AN526:AN589" si="289">COMPLEX(0,2*Pi*G526*Tsw)</f>
        <v>1.3385473563645i</v>
      </c>
      <c r="AO526" s="22" t="str">
        <f t="shared" ref="AO526:AO589" si="290">IMDIV(AM526,AN526)</f>
        <v>0.727020388008107-0.575125941012666i</v>
      </c>
      <c r="AP526" s="22" t="str">
        <f t="shared" ref="AP526:AP589" si="291">IMDIV(IMEXP(COMPLEX(0,-2*Pi*G526*Tsw)),6)</f>
        <v>0.0383611153468085-0.162191869731891i</v>
      </c>
      <c r="AQ526" s="22" t="str">
        <f t="shared" ref="AQ526:AQ589" si="292">IMSUB(1,AP526)</f>
        <v>0.961638884653191+0.162191869731891i</v>
      </c>
      <c r="AR526" s="22" t="str">
        <f t="shared" ref="AR526:AR589" si="293">IMDIV(0.833,AQ526)</f>
        <v>0.842269616503507-0.142058818647224i</v>
      </c>
    </row>
    <row r="527" spans="7:44">
      <c r="G527" s="257">
        <v>74994.5</v>
      </c>
      <c r="H527" s="256">
        <f t="shared" si="285"/>
        <v>74.9945</v>
      </c>
      <c r="I527" s="298">
        <f t="shared" si="265"/>
        <v>73.1743961016682</v>
      </c>
      <c r="J527" s="299">
        <f t="shared" si="266"/>
        <v>1.55712991911128</v>
      </c>
      <c r="K527" s="299">
        <f t="shared" si="267"/>
        <v>1.00082074318431</v>
      </c>
      <c r="L527" s="300">
        <f t="shared" si="268"/>
        <v>0.0405014130051334</v>
      </c>
      <c r="M527" s="299">
        <f t="shared" si="269"/>
        <v>1.03474012441405</v>
      </c>
      <c r="N527" s="300">
        <f t="shared" si="270"/>
        <v>-0.259858939434526</v>
      </c>
      <c r="O527" s="298">
        <f t="shared" si="271"/>
        <v>135706.849918169</v>
      </c>
      <c r="P527" s="301">
        <f t="shared" si="272"/>
        <v>1.57078895797011</v>
      </c>
      <c r="Q527" s="320">
        <f t="shared" si="262"/>
        <v>56.5533626961453</v>
      </c>
      <c r="R527" s="321">
        <f t="shared" si="263"/>
        <v>1.55311299072161</v>
      </c>
      <c r="S527" s="298">
        <f t="shared" si="273"/>
        <v>1.06869147054271</v>
      </c>
      <c r="T527" s="301">
        <f t="shared" si="274"/>
        <v>0.360490958179717</v>
      </c>
      <c r="U527" s="316">
        <f t="shared" si="286"/>
        <v>0.790058902809656</v>
      </c>
      <c r="V527" s="317">
        <f t="shared" si="287"/>
        <v>-0.840319460852048</v>
      </c>
      <c r="W527" s="318">
        <f t="shared" si="275"/>
        <v>-10.3459982610621</v>
      </c>
      <c r="X527" s="319">
        <f t="shared" si="276"/>
        <v>-171.599360511545</v>
      </c>
      <c r="Y527" s="332">
        <f t="shared" si="277"/>
        <v>8.4006394884554</v>
      </c>
      <c r="AA527" s="22">
        <f t="shared" si="278"/>
        <v>74994.5</v>
      </c>
      <c r="AB527" s="22">
        <f t="shared" si="279"/>
        <v>5624175030.25</v>
      </c>
      <c r="AD527" s="331">
        <f t="shared" si="280"/>
        <v>27.0285360811254</v>
      </c>
      <c r="AE527" s="332">
        <f t="shared" si="281"/>
        <v>-21.6673688032338</v>
      </c>
      <c r="AG527" s="331">
        <f t="shared" si="282"/>
        <v>-7.89297023849308</v>
      </c>
      <c r="AH527" s="332">
        <f t="shared" si="283"/>
        <v>-53.638474499217</v>
      </c>
      <c r="AJ527" s="22">
        <f t="shared" si="284"/>
        <v>0</v>
      </c>
      <c r="AK527" s="22">
        <f t="shared" si="264"/>
        <v>0</v>
      </c>
      <c r="AM527" s="22" t="str">
        <f t="shared" si="288"/>
        <v>0.777382805371488+0.974905936311669i</v>
      </c>
      <c r="AN527" s="22" t="str">
        <f t="shared" si="289"/>
        <v>1.346298114231i</v>
      </c>
      <c r="AO527" s="22" t="str">
        <f t="shared" si="290"/>
        <v>0.724138232094703-0.577422487006547i</v>
      </c>
      <c r="AP527" s="22" t="str">
        <f t="shared" si="291"/>
        <v>0.0371028657714187-0.162484322718611i</v>
      </c>
      <c r="AQ527" s="22" t="str">
        <f t="shared" si="292"/>
        <v>0.962897134228581+0.162484322718611i</v>
      </c>
      <c r="AR527" s="22" t="str">
        <f t="shared" si="293"/>
        <v>0.841146000430039-0.1419393965658i</v>
      </c>
    </row>
    <row r="528" spans="7:44">
      <c r="G528" s="257">
        <v>75426.25</v>
      </c>
      <c r="H528" s="256">
        <f t="shared" si="285"/>
        <v>75.42625</v>
      </c>
      <c r="I528" s="298">
        <f t="shared" si="265"/>
        <v>73.5955891506642</v>
      </c>
      <c r="J528" s="299">
        <f t="shared" si="266"/>
        <v>1.55720813781033</v>
      </c>
      <c r="K528" s="299">
        <f t="shared" si="267"/>
        <v>1.00083021663906</v>
      </c>
      <c r="L528" s="300">
        <f t="shared" si="268"/>
        <v>0.040734326130107</v>
      </c>
      <c r="M528" s="299">
        <f t="shared" si="269"/>
        <v>1.03513447051637</v>
      </c>
      <c r="N528" s="300">
        <f t="shared" si="270"/>
        <v>-0.261287982043953</v>
      </c>
      <c r="O528" s="298">
        <f t="shared" si="271"/>
        <v>136488.126311091</v>
      </c>
      <c r="P528" s="301">
        <f t="shared" si="272"/>
        <v>1.57078900015025</v>
      </c>
      <c r="Q528" s="320">
        <f t="shared" si="262"/>
        <v>56.8788439221675</v>
      </c>
      <c r="R528" s="321">
        <f t="shared" si="263"/>
        <v>1.55321419159644</v>
      </c>
      <c r="S528" s="298">
        <f t="shared" si="273"/>
        <v>1.06945890546829</v>
      </c>
      <c r="T528" s="301">
        <f t="shared" si="274"/>
        <v>0.362389787886904</v>
      </c>
      <c r="U528" s="316">
        <f t="shared" si="286"/>
        <v>0.788307013180009</v>
      </c>
      <c r="V528" s="317">
        <f t="shared" si="287"/>
        <v>-0.844265423154867</v>
      </c>
      <c r="W528" s="318">
        <f t="shared" si="275"/>
        <v>-10.4179914945672</v>
      </c>
      <c r="X528" s="319">
        <f t="shared" si="276"/>
        <v>-172.001461232587</v>
      </c>
      <c r="Y528" s="332">
        <f t="shared" si="277"/>
        <v>7.9985387674127</v>
      </c>
      <c r="AA528" s="22">
        <f t="shared" si="278"/>
        <v>75426.25</v>
      </c>
      <c r="AB528" s="22">
        <f t="shared" si="279"/>
        <v>5689119189.0625</v>
      </c>
      <c r="AD528" s="331">
        <f t="shared" si="280"/>
        <v>27.0222854195284</v>
      </c>
      <c r="AE528" s="332">
        <f t="shared" si="281"/>
        <v>-21.7703677653205</v>
      </c>
      <c r="AG528" s="331">
        <f t="shared" si="282"/>
        <v>-7.9201495695814</v>
      </c>
      <c r="AH528" s="332">
        <f t="shared" si="283"/>
        <v>-53.4854022855177</v>
      </c>
      <c r="AJ528" s="22">
        <f t="shared" si="284"/>
        <v>0</v>
      </c>
      <c r="AK528" s="22">
        <f t="shared" si="264"/>
        <v>0</v>
      </c>
      <c r="AM528" s="22" t="str">
        <f t="shared" si="288"/>
        <v>0.784945676317325+0.976602087784676i</v>
      </c>
      <c r="AN528" s="22" t="str">
        <f t="shared" si="289"/>
        <v>1.3540488720975i</v>
      </c>
      <c r="AO528" s="22" t="str">
        <f t="shared" si="290"/>
        <v>0.721245819046297-0.579702618193831i</v>
      </c>
      <c r="AP528" s="22" t="str">
        <f t="shared" si="291"/>
        <v>0.0358423872804458-0.162767014630779i</v>
      </c>
      <c r="AQ528" s="22" t="str">
        <f t="shared" si="292"/>
        <v>0.964157612719554+0.162767014630779i</v>
      </c>
      <c r="AR528" s="22" t="str">
        <f t="shared" si="293"/>
        <v>0.840026324523995-0.141811437518367i</v>
      </c>
    </row>
    <row r="529" spans="7:44">
      <c r="G529" s="257">
        <v>75858</v>
      </c>
      <c r="H529" s="256">
        <f t="shared" si="285"/>
        <v>75.858</v>
      </c>
      <c r="I529" s="298">
        <f t="shared" si="265"/>
        <v>74.0167826448057</v>
      </c>
      <c r="J529" s="299">
        <f t="shared" si="266"/>
        <v>1.55728546630075</v>
      </c>
      <c r="K529" s="299">
        <f t="shared" si="267"/>
        <v>1.00083974438635</v>
      </c>
      <c r="L529" s="300">
        <f t="shared" si="268"/>
        <v>0.0409672348331644</v>
      </c>
      <c r="M529" s="299">
        <f t="shared" si="269"/>
        <v>1.03553092891924</v>
      </c>
      <c r="N529" s="300">
        <f t="shared" si="270"/>
        <v>-0.262715933334839</v>
      </c>
      <c r="O529" s="298">
        <f t="shared" si="271"/>
        <v>137269.402704014</v>
      </c>
      <c r="P529" s="301">
        <f t="shared" si="272"/>
        <v>1.57078904185025</v>
      </c>
      <c r="Q529" s="320">
        <f t="shared" si="262"/>
        <v>57.2043257240922</v>
      </c>
      <c r="R529" s="321">
        <f t="shared" si="263"/>
        <v>1.55331424084459</v>
      </c>
      <c r="S529" s="298">
        <f t="shared" si="273"/>
        <v>1.07023019084781</v>
      </c>
      <c r="T529" s="301">
        <f t="shared" si="274"/>
        <v>0.364285887553998</v>
      </c>
      <c r="U529" s="316">
        <f t="shared" si="286"/>
        <v>0.786555649023875</v>
      </c>
      <c r="V529" s="317">
        <f t="shared" si="287"/>
        <v>-0.848200985816362</v>
      </c>
      <c r="W529" s="318">
        <f t="shared" si="275"/>
        <v>-10.4897469628788</v>
      </c>
      <c r="X529" s="319">
        <f t="shared" si="276"/>
        <v>-172.402762354349</v>
      </c>
      <c r="Y529" s="332">
        <f t="shared" si="277"/>
        <v>7.59723764565081</v>
      </c>
      <c r="AA529" s="22">
        <f t="shared" si="278"/>
        <v>75858</v>
      </c>
      <c r="AB529" s="22">
        <f t="shared" si="279"/>
        <v>5754436164</v>
      </c>
      <c r="AD529" s="331">
        <f t="shared" si="280"/>
        <v>27.01600824451</v>
      </c>
      <c r="AE529" s="332">
        <f t="shared" si="281"/>
        <v>-21.8732762634706</v>
      </c>
      <c r="AG529" s="331">
        <f t="shared" si="282"/>
        <v>-7.94699043140241</v>
      </c>
      <c r="AH529" s="332">
        <f t="shared" si="283"/>
        <v>-53.3328126475886</v>
      </c>
      <c r="AJ529" s="22">
        <f t="shared" si="284"/>
        <v>0</v>
      </c>
      <c r="AK529" s="22">
        <f t="shared" si="264"/>
        <v>0</v>
      </c>
      <c r="AM529" s="22" t="str">
        <f t="shared" si="288"/>
        <v>0.792521466425155+0.978239570915853i</v>
      </c>
      <c r="AN529" s="22" t="str">
        <f t="shared" si="289"/>
        <v>1.361799629964i</v>
      </c>
      <c r="AO529" s="22" t="str">
        <f t="shared" si="290"/>
        <v>0.718343249176616-0.581966281226046i</v>
      </c>
      <c r="AP529" s="22" t="str">
        <f t="shared" si="291"/>
        <v>0.0345797555958075-0.163039928485976i</v>
      </c>
      <c r="AQ529" s="22" t="str">
        <f t="shared" si="292"/>
        <v>0.965420244404192+0.163039928485976i</v>
      </c>
      <c r="AR529" s="22" t="str">
        <f t="shared" si="293"/>
        <v>0.838910640053415-0.141675018266107i</v>
      </c>
    </row>
    <row r="530" spans="7:44">
      <c r="G530" s="257">
        <v>76299.75</v>
      </c>
      <c r="H530" s="256">
        <f t="shared" si="285"/>
        <v>76.29975</v>
      </c>
      <c r="I530" s="298">
        <f t="shared" si="265"/>
        <v>74.4477320867396</v>
      </c>
      <c r="J530" s="299">
        <f t="shared" si="266"/>
        <v>1.55736368022168</v>
      </c>
      <c r="K530" s="299">
        <f t="shared" si="267"/>
        <v>1.00084954900277</v>
      </c>
      <c r="L530" s="300">
        <f t="shared" si="268"/>
        <v>0.0412055334602646</v>
      </c>
      <c r="M530" s="299">
        <f t="shared" si="269"/>
        <v>1.0359387536378</v>
      </c>
      <c r="N530" s="300">
        <f t="shared" si="270"/>
        <v>-0.264175823904114</v>
      </c>
      <c r="O530" s="298">
        <f t="shared" si="271"/>
        <v>138068.7746706</v>
      </c>
      <c r="P530" s="301">
        <f t="shared" si="272"/>
        <v>1.57078908402764</v>
      </c>
      <c r="Q530" s="320">
        <f t="shared" si="262"/>
        <v>57.5373467755112</v>
      </c>
      <c r="R530" s="321">
        <f t="shared" si="263"/>
        <v>1.55341543582499</v>
      </c>
      <c r="S530" s="298">
        <f t="shared" si="273"/>
        <v>1.07102331697754</v>
      </c>
      <c r="T530" s="301">
        <f t="shared" si="274"/>
        <v>0.36622307015928</v>
      </c>
      <c r="U530" s="316">
        <f t="shared" si="286"/>
        <v>0.784764337920657</v>
      </c>
      <c r="V530" s="317">
        <f t="shared" si="287"/>
        <v>-0.85221697746025</v>
      </c>
      <c r="W530" s="318">
        <f t="shared" si="275"/>
        <v>-10.5629209342349</v>
      </c>
      <c r="X530" s="319">
        <f t="shared" si="276"/>
        <v>-172.812531875445</v>
      </c>
      <c r="Y530" s="332">
        <f t="shared" si="277"/>
        <v>7.18746812455532</v>
      </c>
      <c r="AA530" s="22">
        <f t="shared" si="278"/>
        <v>76299.75</v>
      </c>
      <c r="AB530" s="22">
        <f t="shared" si="279"/>
        <v>5821651850.0625</v>
      </c>
      <c r="AD530" s="331">
        <f t="shared" si="280"/>
        <v>27.0095583665926</v>
      </c>
      <c r="AE530" s="332">
        <f t="shared" si="281"/>
        <v>-21.9784730223214</v>
      </c>
      <c r="AG530" s="331">
        <f t="shared" si="282"/>
        <v>-7.97410671123334</v>
      </c>
      <c r="AH530" s="332">
        <f t="shared" si="283"/>
        <v>-53.1771866657984</v>
      </c>
      <c r="AJ530" s="22">
        <f t="shared" si="284"/>
        <v>0</v>
      </c>
      <c r="AK530" s="22">
        <f t="shared" si="264"/>
        <v>0</v>
      </c>
      <c r="AM530" s="22" t="str">
        <f t="shared" si="288"/>
        <v>0.800285620374799+0.9798541557655i</v>
      </c>
      <c r="AN530" s="22" t="str">
        <f t="shared" si="289"/>
        <v>1.3697299074105i</v>
      </c>
      <c r="AO530" s="22" t="str">
        <f t="shared" si="290"/>
        <v>0.715363043811997-0.584265274522445i</v>
      </c>
      <c r="AP530" s="22" t="str">
        <f t="shared" si="291"/>
        <v>0.0332857299375335-0.163309025960917i</v>
      </c>
      <c r="AQ530" s="22" t="str">
        <f t="shared" si="292"/>
        <v>0.966714270062466+0.163309025960917i</v>
      </c>
      <c r="AR530" s="22" t="str">
        <f t="shared" si="293"/>
        <v>0.837773297952398-0.141526762872581i</v>
      </c>
    </row>
    <row r="531" spans="7:44">
      <c r="G531" s="257">
        <v>76741.5</v>
      </c>
      <c r="H531" s="256">
        <f t="shared" si="285"/>
        <v>76.7415</v>
      </c>
      <c r="I531" s="298">
        <f t="shared" si="265"/>
        <v>74.8786819788591</v>
      </c>
      <c r="J531" s="299">
        <f t="shared" si="266"/>
        <v>1.55744099385264</v>
      </c>
      <c r="K531" s="299">
        <f t="shared" si="267"/>
        <v>1.00085941045255</v>
      </c>
      <c r="L531" s="300">
        <f t="shared" si="268"/>
        <v>0.0414438274049923</v>
      </c>
      <c r="M531" s="299">
        <f t="shared" si="269"/>
        <v>1.03634878449196</v>
      </c>
      <c r="N531" s="300">
        <f t="shared" si="270"/>
        <v>-0.265634562370447</v>
      </c>
      <c r="O531" s="298">
        <f t="shared" si="271"/>
        <v>138868.146637186</v>
      </c>
      <c r="P531" s="301">
        <f t="shared" si="272"/>
        <v>1.57078912571946</v>
      </c>
      <c r="Q531" s="320">
        <f t="shared" si="262"/>
        <v>57.8703684093557</v>
      </c>
      <c r="R531" s="321">
        <f t="shared" si="263"/>
        <v>1.55351546613029</v>
      </c>
      <c r="S531" s="298">
        <f t="shared" si="273"/>
        <v>1.07182045635419</v>
      </c>
      <c r="T531" s="301">
        <f t="shared" si="274"/>
        <v>0.36815737855321</v>
      </c>
      <c r="U531" s="316">
        <f t="shared" si="286"/>
        <v>0.782973724931914</v>
      </c>
      <c r="V531" s="317">
        <f t="shared" si="287"/>
        <v>-0.856222161793942</v>
      </c>
      <c r="W531" s="318">
        <f t="shared" si="275"/>
        <v>-10.6358512765589</v>
      </c>
      <c r="X531" s="319">
        <f t="shared" si="276"/>
        <v>-173.221466881072</v>
      </c>
      <c r="Y531" s="332">
        <f t="shared" si="277"/>
        <v>6.77853311892775</v>
      </c>
      <c r="AA531" s="22">
        <f t="shared" si="278"/>
        <v>76741.5</v>
      </c>
      <c r="AB531" s="22">
        <f t="shared" si="279"/>
        <v>5889257822.25</v>
      </c>
      <c r="AD531" s="331">
        <f t="shared" si="280"/>
        <v>27.0030809928258</v>
      </c>
      <c r="AE531" s="332">
        <f t="shared" si="281"/>
        <v>-22.0835718041384</v>
      </c>
      <c r="AG531" s="331">
        <f t="shared" si="282"/>
        <v>-8.00087684262177</v>
      </c>
      <c r="AH531" s="332">
        <f t="shared" si="283"/>
        <v>-53.0220625720994</v>
      </c>
      <c r="AJ531" s="22">
        <f t="shared" si="284"/>
        <v>0</v>
      </c>
      <c r="AK531" s="22">
        <f t="shared" si="264"/>
        <v>0</v>
      </c>
      <c r="AM531" s="22" t="str">
        <f t="shared" si="288"/>
        <v>0.80806233415623+0.981407118595767i</v>
      </c>
      <c r="AN531" s="22" t="str">
        <f t="shared" si="289"/>
        <v>1.377660184857i</v>
      </c>
      <c r="AO531" s="22" t="str">
        <f t="shared" si="290"/>
        <v>0.712372419108299-0.58654691703971i</v>
      </c>
      <c r="AP531" s="22" t="str">
        <f t="shared" si="291"/>
        <v>0.0319896109739617-0.163567853099295i</v>
      </c>
      <c r="AQ531" s="22" t="str">
        <f t="shared" si="292"/>
        <v>0.968010389026038+0.163567853099295i</v>
      </c>
      <c r="AR531" s="22" t="str">
        <f t="shared" si="293"/>
        <v>0.836640238959894-0.141369813025292i</v>
      </c>
    </row>
    <row r="532" spans="7:44">
      <c r="G532" s="257">
        <v>77183.25</v>
      </c>
      <c r="H532" s="256">
        <f t="shared" si="285"/>
        <v>77.18325</v>
      </c>
      <c r="I532" s="298">
        <f t="shared" si="265"/>
        <v>75.3096323134359</v>
      </c>
      <c r="J532" s="299">
        <f t="shared" si="266"/>
        <v>1.5575174226481</v>
      </c>
      <c r="K532" s="299">
        <f t="shared" si="267"/>
        <v>1.00086932873402</v>
      </c>
      <c r="L532" s="300">
        <f t="shared" si="268"/>
        <v>0.0416821166404235</v>
      </c>
      <c r="M532" s="299">
        <f t="shared" si="269"/>
        <v>1.0367610188642</v>
      </c>
      <c r="N532" s="300">
        <f t="shared" si="270"/>
        <v>-0.267092143896324</v>
      </c>
      <c r="O532" s="298">
        <f t="shared" si="271"/>
        <v>139667.518603773</v>
      </c>
      <c r="P532" s="301">
        <f t="shared" si="272"/>
        <v>1.57078916693404</v>
      </c>
      <c r="Q532" s="320">
        <f t="shared" si="262"/>
        <v>58.2033906156284</v>
      </c>
      <c r="R532" s="321">
        <f t="shared" si="263"/>
        <v>1.55361435175023</v>
      </c>
      <c r="S532" s="298">
        <f t="shared" si="273"/>
        <v>1.0726216000302</v>
      </c>
      <c r="T532" s="301">
        <f t="shared" si="274"/>
        <v>0.370088804685426</v>
      </c>
      <c r="U532" s="316">
        <f t="shared" si="286"/>
        <v>0.781183883069654</v>
      </c>
      <c r="V532" s="317">
        <f t="shared" si="287"/>
        <v>-0.860216579836769</v>
      </c>
      <c r="W532" s="318">
        <f t="shared" si="275"/>
        <v>-10.7085405818541</v>
      </c>
      <c r="X532" s="319">
        <f t="shared" si="276"/>
        <v>-173.629568725214</v>
      </c>
      <c r="Y532" s="332">
        <f t="shared" si="277"/>
        <v>6.37043127478643</v>
      </c>
      <c r="AA532" s="22">
        <f t="shared" si="278"/>
        <v>77183.25</v>
      </c>
      <c r="AB532" s="22">
        <f t="shared" si="279"/>
        <v>5957254080.5625</v>
      </c>
      <c r="AD532" s="331">
        <f t="shared" si="280"/>
        <v>26.9965762551083</v>
      </c>
      <c r="AE532" s="332">
        <f t="shared" si="281"/>
        <v>-22.1885710028195</v>
      </c>
      <c r="AG532" s="331">
        <f t="shared" si="282"/>
        <v>-8.02730486497395</v>
      </c>
      <c r="AH532" s="332">
        <f t="shared" si="283"/>
        <v>-52.8674386261063</v>
      </c>
      <c r="AJ532" s="22">
        <f t="shared" si="284"/>
        <v>0</v>
      </c>
      <c r="AK532" s="22">
        <f t="shared" si="264"/>
        <v>0</v>
      </c>
      <c r="AM532" s="22" t="str">
        <f t="shared" si="288"/>
        <v>0.815851118699921+0.982898361742418i</v>
      </c>
      <c r="AN532" s="22" t="str">
        <f t="shared" si="289"/>
        <v>1.3855904623035i</v>
      </c>
      <c r="AO532" s="22" t="str">
        <f t="shared" si="290"/>
        <v>0.709371483481765-0.588811153725463i</v>
      </c>
      <c r="AP532" s="22" t="str">
        <f t="shared" si="291"/>
        <v>0.0306914802166798-0.163816393623736i</v>
      </c>
      <c r="AQ532" s="22" t="str">
        <f t="shared" si="292"/>
        <v>0.96930851978332+0.163816393623736i</v>
      </c>
      <c r="AR532" s="22" t="str">
        <f t="shared" si="293"/>
        <v>0.835511514018955-0.141204250519008i</v>
      </c>
    </row>
    <row r="533" spans="7:44">
      <c r="G533" s="257">
        <v>77625</v>
      </c>
      <c r="H533" s="256">
        <f t="shared" si="285"/>
        <v>77.625</v>
      </c>
      <c r="I533" s="298">
        <f t="shared" si="265"/>
        <v>75.7405830829173</v>
      </c>
      <c r="J533" s="299">
        <f t="shared" si="266"/>
        <v>1.55759298171084</v>
      </c>
      <c r="K533" s="299">
        <f t="shared" si="267"/>
        <v>1.00087930384548</v>
      </c>
      <c r="L533" s="300">
        <f t="shared" si="268"/>
        <v>0.0419204011396379</v>
      </c>
      <c r="M533" s="299">
        <f t="shared" si="269"/>
        <v>1.03717545412709</v>
      </c>
      <c r="N533" s="300">
        <f t="shared" si="270"/>
        <v>-0.268548563671568</v>
      </c>
      <c r="O533" s="298">
        <f t="shared" si="271"/>
        <v>140466.89057036</v>
      </c>
      <c r="P533" s="301">
        <f t="shared" si="272"/>
        <v>1.57078920767952</v>
      </c>
      <c r="Q533" s="320">
        <f t="shared" si="262"/>
        <v>58.5364133845593</v>
      </c>
      <c r="R533" s="321">
        <f t="shared" si="263"/>
        <v>1.55371211221975</v>
      </c>
      <c r="S533" s="298">
        <f t="shared" si="273"/>
        <v>1.07342673903983</v>
      </c>
      <c r="T533" s="301">
        <f t="shared" si="274"/>
        <v>0.372017340615553</v>
      </c>
      <c r="U533" s="316">
        <f t="shared" si="286"/>
        <v>0.779394884117364</v>
      </c>
      <c r="V533" s="317">
        <f t="shared" si="287"/>
        <v>-0.86420027308682</v>
      </c>
      <c r="W533" s="318">
        <f t="shared" si="275"/>
        <v>-10.780991392063</v>
      </c>
      <c r="X533" s="319">
        <f t="shared" si="276"/>
        <v>-174.036838803046</v>
      </c>
      <c r="Y533" s="332">
        <f t="shared" si="277"/>
        <v>5.96316119695391</v>
      </c>
      <c r="AA533" s="22">
        <f t="shared" si="278"/>
        <v>77625</v>
      </c>
      <c r="AB533" s="22">
        <f t="shared" si="279"/>
        <v>6025640625</v>
      </c>
      <c r="AD533" s="331">
        <f t="shared" si="280"/>
        <v>26.9900442856037</v>
      </c>
      <c r="AE533" s="332">
        <f t="shared" si="281"/>
        <v>-22.2934690446129</v>
      </c>
      <c r="AG533" s="331">
        <f t="shared" si="282"/>
        <v>-8.05339475350769</v>
      </c>
      <c r="AH533" s="332">
        <f t="shared" si="283"/>
        <v>-52.713313041419</v>
      </c>
      <c r="AJ533" s="22">
        <f t="shared" si="284"/>
        <v>0</v>
      </c>
      <c r="AK533" s="22">
        <f t="shared" si="264"/>
        <v>0</v>
      </c>
      <c r="AM533" s="22" t="str">
        <f t="shared" si="288"/>
        <v>0.82365148417723+0.984327791422708i</v>
      </c>
      <c r="AN533" s="22" t="str">
        <f t="shared" si="289"/>
        <v>1.39352073975i</v>
      </c>
      <c r="AO533" s="22" t="str">
        <f t="shared" si="290"/>
        <v>0.706360345666113-0.591057930235753i</v>
      </c>
      <c r="AP533" s="22" t="str">
        <f t="shared" si="291"/>
        <v>0.029391419303795-0.164054631903785i</v>
      </c>
      <c r="AQ533" s="22" t="str">
        <f t="shared" si="292"/>
        <v>0.970608580696205+0.164054631903785i</v>
      </c>
      <c r="AR533" s="22" t="str">
        <f t="shared" si="293"/>
        <v>0.834387172767201-0.141030156971595i</v>
      </c>
    </row>
    <row r="534" spans="7:44">
      <c r="G534" s="257">
        <v>78077</v>
      </c>
      <c r="H534" s="256">
        <f t="shared" si="285"/>
        <v>78.077</v>
      </c>
      <c r="I534" s="298">
        <f t="shared" si="265"/>
        <v>76.1815337184856</v>
      </c>
      <c r="J534" s="299">
        <f t="shared" si="266"/>
        <v>1.55766940914054</v>
      </c>
      <c r="K534" s="299">
        <f t="shared" si="267"/>
        <v>1.00088956923261</v>
      </c>
      <c r="L534" s="300">
        <f t="shared" si="268"/>
        <v>0.0421642096639968</v>
      </c>
      <c r="M534" s="299">
        <f t="shared" si="269"/>
        <v>1.03760178093518</v>
      </c>
      <c r="N534" s="300">
        <f t="shared" si="270"/>
        <v>-0.270037569514814</v>
      </c>
      <c r="O534" s="298">
        <f t="shared" si="271"/>
        <v>141284.810499952</v>
      </c>
      <c r="P534" s="301">
        <f t="shared" si="272"/>
        <v>1.5707892488932</v>
      </c>
      <c r="Q534" s="320">
        <f t="shared" si="262"/>
        <v>58.8771639095837</v>
      </c>
      <c r="R534" s="321">
        <f t="shared" si="263"/>
        <v>1.55381099634098</v>
      </c>
      <c r="S534" s="298">
        <f t="shared" si="273"/>
        <v>1.07425468592128</v>
      </c>
      <c r="T534" s="301">
        <f t="shared" si="274"/>
        <v>0.373987624951003</v>
      </c>
      <c r="U534" s="316">
        <f t="shared" si="286"/>
        <v>0.777565320790392</v>
      </c>
      <c r="V534" s="317">
        <f t="shared" si="287"/>
        <v>-0.868265343466931</v>
      </c>
      <c r="W534" s="318">
        <f t="shared" si="275"/>
        <v>-10.8548790309223</v>
      </c>
      <c r="X534" s="319">
        <f t="shared" si="276"/>
        <v>-174.452699395344</v>
      </c>
      <c r="Y534" s="332">
        <f t="shared" si="277"/>
        <v>5.54730060465599</v>
      </c>
      <c r="AA534" s="22">
        <f t="shared" si="278"/>
        <v>78077</v>
      </c>
      <c r="AB534" s="22">
        <f t="shared" si="279"/>
        <v>6096017929</v>
      </c>
      <c r="AD534" s="331">
        <f t="shared" si="280"/>
        <v>26.9833327049129</v>
      </c>
      <c r="AE534" s="332">
        <f t="shared" si="281"/>
        <v>-22.4006947401598</v>
      </c>
      <c r="AG534" s="331">
        <f t="shared" si="282"/>
        <v>-8.07974409713773</v>
      </c>
      <c r="AH534" s="332">
        <f t="shared" si="283"/>
        <v>-52.5561251852295</v>
      </c>
      <c r="AJ534" s="22">
        <f t="shared" si="284"/>
        <v>0</v>
      </c>
      <c r="AK534" s="22">
        <f t="shared" si="264"/>
        <v>0</v>
      </c>
      <c r="AM534" s="22" t="str">
        <f t="shared" si="288"/>
        <v>0.831644318283091+0.985726313148652i</v>
      </c>
      <c r="AN534" s="22" t="str">
        <f t="shared" si="289"/>
        <v>1.401635024766i</v>
      </c>
      <c r="AO534" s="22" t="str">
        <f t="shared" si="290"/>
        <v>0.703268893636-0.59333871056906i</v>
      </c>
      <c r="AP534" s="22" t="str">
        <f t="shared" si="291"/>
        <v>0.0280592802861515-0.164287718858109i</v>
      </c>
      <c r="AQ534" s="22" t="str">
        <f t="shared" si="292"/>
        <v>0.971940719713849+0.164287718858109i</v>
      </c>
      <c r="AR534" s="22" t="str">
        <f t="shared" si="293"/>
        <v>0.833241331101813-0.140843278574967i</v>
      </c>
    </row>
    <row r="535" spans="7:44">
      <c r="G535" s="257">
        <v>78529</v>
      </c>
      <c r="H535" s="256">
        <f t="shared" si="285"/>
        <v>78.529</v>
      </c>
      <c r="I535" s="298">
        <f t="shared" si="265"/>
        <v>76.6224847939201</v>
      </c>
      <c r="J535" s="299">
        <f t="shared" si="266"/>
        <v>1.55774495691355</v>
      </c>
      <c r="K535" s="299">
        <f t="shared" si="267"/>
        <v>1.000899894114</v>
      </c>
      <c r="L535" s="300">
        <f t="shared" si="268"/>
        <v>0.0424080131727862</v>
      </c>
      <c r="M535" s="299">
        <f t="shared" si="269"/>
        <v>1.03803040635738</v>
      </c>
      <c r="N535" s="300">
        <f t="shared" si="270"/>
        <v>-0.271525348968354</v>
      </c>
      <c r="O535" s="298">
        <f t="shared" si="271"/>
        <v>142102.730429544</v>
      </c>
      <c r="P535" s="301">
        <f t="shared" si="272"/>
        <v>1.57078928963244</v>
      </c>
      <c r="Q535" s="320">
        <f t="shared" ref="Q535:Q598" si="294">SQRT(1+(G535/Zero2)^2)</f>
        <v>59.2179150036877</v>
      </c>
      <c r="R535" s="321">
        <f t="shared" ref="R535:R598" si="295">ATAN(G535/Zero2)</f>
        <v>1.55390874246725</v>
      </c>
      <c r="S535" s="298">
        <f t="shared" si="273"/>
        <v>1.07508679664861</v>
      </c>
      <c r="T535" s="301">
        <f t="shared" si="274"/>
        <v>0.375954866937003</v>
      </c>
      <c r="U535" s="316">
        <f t="shared" si="286"/>
        <v>0.775736788094726</v>
      </c>
      <c r="V535" s="317">
        <f t="shared" si="287"/>
        <v>-0.872319274964188</v>
      </c>
      <c r="W535" s="318">
        <f t="shared" si="275"/>
        <v>-10.9285222079437</v>
      </c>
      <c r="X535" s="319">
        <f t="shared" si="276"/>
        <v>-174.867692257807</v>
      </c>
      <c r="Y535" s="332">
        <f t="shared" si="277"/>
        <v>5.13230774219255</v>
      </c>
      <c r="AA535" s="22">
        <f t="shared" si="278"/>
        <v>78529</v>
      </c>
      <c r="AB535" s="22">
        <f t="shared" si="279"/>
        <v>6166803841</v>
      </c>
      <c r="AD535" s="331">
        <f t="shared" si="280"/>
        <v>26.9765928947845</v>
      </c>
      <c r="AE535" s="332">
        <f t="shared" si="281"/>
        <v>-22.5078112970485</v>
      </c>
      <c r="AG535" s="331">
        <f t="shared" si="282"/>
        <v>-8.10574765338923</v>
      </c>
      <c r="AH535" s="332">
        <f t="shared" si="283"/>
        <v>-52.3994551598175</v>
      </c>
      <c r="AJ535" s="22">
        <f t="shared" si="284"/>
        <v>0</v>
      </c>
      <c r="AK535" s="22">
        <f t="shared" si="264"/>
        <v>0</v>
      </c>
      <c r="AM535" s="22" t="str">
        <f t="shared" si="288"/>
        <v>0.839648237139174+0.987059933412063i</v>
      </c>
      <c r="AN535" s="22" t="str">
        <f t="shared" si="289"/>
        <v>1.409749309782i</v>
      </c>
      <c r="AO535" s="22" t="str">
        <f t="shared" si="290"/>
        <v>0.700166991792817-0.595601098232859i</v>
      </c>
      <c r="AP535" s="22" t="str">
        <f t="shared" si="291"/>
        <v>0.0267252938101377-0.16450998890201i</v>
      </c>
      <c r="AQ535" s="22" t="str">
        <f t="shared" si="292"/>
        <v>0.973274706189862+0.16450998890201i</v>
      </c>
      <c r="AR535" s="22" t="str">
        <f t="shared" si="293"/>
        <v>0.832100179945813-0.140647640894864i</v>
      </c>
    </row>
    <row r="536" spans="7:44">
      <c r="G536" s="257">
        <v>78981</v>
      </c>
      <c r="H536" s="256">
        <f t="shared" si="285"/>
        <v>78.981</v>
      </c>
      <c r="I536" s="298">
        <f t="shared" si="265"/>
        <v>77.0634363016703</v>
      </c>
      <c r="J536" s="299">
        <f t="shared" si="266"/>
        <v>1.557819640129</v>
      </c>
      <c r="K536" s="299">
        <f t="shared" si="267"/>
        <v>1.0009102784878</v>
      </c>
      <c r="L536" s="300">
        <f t="shared" si="268"/>
        <v>0.0426518116371781</v>
      </c>
      <c r="M536" s="299">
        <f t="shared" si="269"/>
        <v>1.03846132754743</v>
      </c>
      <c r="N536" s="300">
        <f t="shared" si="270"/>
        <v>-0.273011896968494</v>
      </c>
      <c r="O536" s="298">
        <f t="shared" si="271"/>
        <v>142920.650359137</v>
      </c>
      <c r="P536" s="301">
        <f t="shared" si="272"/>
        <v>1.57078932990538</v>
      </c>
      <c r="Q536" s="320">
        <f t="shared" si="294"/>
        <v>59.5586666571036</v>
      </c>
      <c r="R536" s="321">
        <f t="shared" si="295"/>
        <v>1.55400537012902</v>
      </c>
      <c r="S536" s="298">
        <f t="shared" si="273"/>
        <v>1.07592306156098</v>
      </c>
      <c r="T536" s="301">
        <f t="shared" si="274"/>
        <v>0.377919058423438</v>
      </c>
      <c r="U536" s="316">
        <f t="shared" si="286"/>
        <v>0.773909358993823</v>
      </c>
      <c r="V536" s="317">
        <f t="shared" si="287"/>
        <v>-0.876362113508993</v>
      </c>
      <c r="W536" s="318">
        <f t="shared" si="275"/>
        <v>-11.0019234917309</v>
      </c>
      <c r="X536" s="319">
        <f t="shared" si="276"/>
        <v>-175.281819013181</v>
      </c>
      <c r="Y536" s="332">
        <f t="shared" si="277"/>
        <v>4.71818098681914</v>
      </c>
      <c r="AA536" s="22">
        <f t="shared" si="278"/>
        <v>78981</v>
      </c>
      <c r="AB536" s="22">
        <f t="shared" si="279"/>
        <v>6237998361</v>
      </c>
      <c r="AD536" s="331">
        <f t="shared" si="280"/>
        <v>26.9698249975712</v>
      </c>
      <c r="AE536" s="332">
        <f t="shared" si="281"/>
        <v>-22.6148171297648</v>
      </c>
      <c r="AG536" s="331">
        <f t="shared" si="282"/>
        <v>-8.13140948041185</v>
      </c>
      <c r="AH536" s="332">
        <f t="shared" si="283"/>
        <v>-52.2433009102049</v>
      </c>
      <c r="AJ536" s="22">
        <f t="shared" si="284"/>
        <v>0</v>
      </c>
      <c r="AK536" s="22">
        <f t="shared" si="264"/>
        <v>0</v>
      </c>
      <c r="AM536" s="22" t="str">
        <f t="shared" si="288"/>
        <v>0.847662713757378+0.988328564405701i</v>
      </c>
      <c r="AN536" s="22" t="str">
        <f t="shared" si="289"/>
        <v>1.417863594798i</v>
      </c>
      <c r="AO536" s="22" t="str">
        <f t="shared" si="290"/>
        <v>0.697054757616868-0.597845037327545i</v>
      </c>
      <c r="AP536" s="22" t="str">
        <f t="shared" si="291"/>
        <v>0.0253895477071037-0.16472142740095i</v>
      </c>
      <c r="AQ536" s="22" t="str">
        <f t="shared" si="292"/>
        <v>0.974610452292896+0.16472142740095i</v>
      </c>
      <c r="AR536" s="22" t="str">
        <f t="shared" si="293"/>
        <v>0.830963768339934-0.140443330683972i</v>
      </c>
    </row>
    <row r="537" spans="7:44">
      <c r="G537" s="257">
        <v>79433</v>
      </c>
      <c r="H537" s="256">
        <f t="shared" si="285"/>
        <v>79.433</v>
      </c>
      <c r="I537" s="298">
        <f t="shared" si="265"/>
        <v>77.5043882343572</v>
      </c>
      <c r="J537" s="299">
        <f t="shared" si="266"/>
        <v>1.55789347354244</v>
      </c>
      <c r="K537" s="299">
        <f t="shared" si="267"/>
        <v>1.00092072235215</v>
      </c>
      <c r="L537" s="300">
        <f t="shared" si="268"/>
        <v>0.0428956050283485</v>
      </c>
      <c r="M537" s="299">
        <f t="shared" si="269"/>
        <v>1.03889454164855</v>
      </c>
      <c r="N537" s="300">
        <f t="shared" si="270"/>
        <v>-0.274497208481693</v>
      </c>
      <c r="O537" s="298">
        <f t="shared" si="271"/>
        <v>143738.57028873</v>
      </c>
      <c r="P537" s="301">
        <f t="shared" si="272"/>
        <v>1.57078936971999</v>
      </c>
      <c r="Q537" s="320">
        <f t="shared" si="294"/>
        <v>59.8994188602863</v>
      </c>
      <c r="R537" s="321">
        <f t="shared" si="295"/>
        <v>1.55410089841245</v>
      </c>
      <c r="S537" s="298">
        <f t="shared" si="273"/>
        <v>1.07676347097938</v>
      </c>
      <c r="T537" s="301">
        <f t="shared" si="274"/>
        <v>0.379880191379601</v>
      </c>
      <c r="U537" s="316">
        <f t="shared" si="286"/>
        <v>0.772083105145804</v>
      </c>
      <c r="V537" s="317">
        <f t="shared" si="287"/>
        <v>-0.880393905502823</v>
      </c>
      <c r="W537" s="318">
        <f t="shared" si="275"/>
        <v>-11.0750854015036</v>
      </c>
      <c r="X537" s="319">
        <f t="shared" si="276"/>
        <v>-175.695081325529</v>
      </c>
      <c r="Y537" s="332">
        <f t="shared" si="277"/>
        <v>4.30491867447083</v>
      </c>
      <c r="AA537" s="22">
        <f t="shared" si="278"/>
        <v>79433</v>
      </c>
      <c r="AB537" s="22">
        <f t="shared" si="279"/>
        <v>6309601489</v>
      </c>
      <c r="AD537" s="331">
        <f t="shared" si="280"/>
        <v>26.9630291558583</v>
      </c>
      <c r="AE537" s="332">
        <f t="shared" si="281"/>
        <v>-22.721710685084</v>
      </c>
      <c r="AG537" s="331">
        <f t="shared" si="282"/>
        <v>-8.15673357156338</v>
      </c>
      <c r="AH537" s="332">
        <f t="shared" si="283"/>
        <v>-52.0876603364644</v>
      </c>
      <c r="AJ537" s="22">
        <f t="shared" si="284"/>
        <v>0</v>
      </c>
      <c r="AK537" s="22">
        <f t="shared" si="264"/>
        <v>0</v>
      </c>
      <c r="AM537" s="22" t="str">
        <f t="shared" si="288"/>
        <v>0.855687220454462+0.989532122601303i</v>
      </c>
      <c r="AN537" s="22" t="str">
        <f t="shared" si="289"/>
        <v>1.425977879814i</v>
      </c>
      <c r="AO537" s="22" t="str">
        <f t="shared" si="290"/>
        <v>0.693932308915181-0.600070472738382i</v>
      </c>
      <c r="AP537" s="22" t="str">
        <f t="shared" si="291"/>
        <v>0.0240521299242563-0.164922020433551i</v>
      </c>
      <c r="AQ537" s="22" t="str">
        <f t="shared" si="292"/>
        <v>0.975947870075744+0.164922020433551i</v>
      </c>
      <c r="AR537" s="22" t="str">
        <f t="shared" si="293"/>
        <v>0.829832143969204-0.14023043443241i</v>
      </c>
    </row>
    <row r="538" spans="7:44">
      <c r="G538" s="257">
        <v>79895.5</v>
      </c>
      <c r="H538" s="256">
        <f t="shared" si="285"/>
        <v>79.8955</v>
      </c>
      <c r="I538" s="298">
        <f t="shared" si="265"/>
        <v>77.9555839517992</v>
      </c>
      <c r="J538" s="299">
        <f t="shared" si="266"/>
        <v>1.55796815751157</v>
      </c>
      <c r="K538" s="299">
        <f t="shared" si="267"/>
        <v>1.00093147040603</v>
      </c>
      <c r="L538" s="300">
        <f t="shared" si="268"/>
        <v>0.0431450564801394</v>
      </c>
      <c r="M538" s="299">
        <f t="shared" si="269"/>
        <v>1.0393401897872</v>
      </c>
      <c r="N538" s="300">
        <f t="shared" si="270"/>
        <v>-0.276015738787706</v>
      </c>
      <c r="O538" s="298">
        <f t="shared" si="271"/>
        <v>144575.49057067</v>
      </c>
      <c r="P538" s="301">
        <f t="shared" si="272"/>
        <v>1.57078940999319</v>
      </c>
      <c r="Q538" s="320">
        <f t="shared" si="294"/>
        <v>60.2480873266451</v>
      </c>
      <c r="R538" s="321">
        <f t="shared" si="295"/>
        <v>1.55419752729976</v>
      </c>
      <c r="S538" s="298">
        <f t="shared" si="273"/>
        <v>1.07762768310806</v>
      </c>
      <c r="T538" s="301">
        <f t="shared" si="274"/>
        <v>0.381883707445353</v>
      </c>
      <c r="U538" s="316">
        <f t="shared" si="286"/>
        <v>0.770215717171714</v>
      </c>
      <c r="V538" s="317">
        <f t="shared" si="287"/>
        <v>-0.884507970814623</v>
      </c>
      <c r="W538" s="318">
        <f t="shared" si="275"/>
        <v>-11.1497016667116</v>
      </c>
      <c r="X538" s="319">
        <f t="shared" si="276"/>
        <v>-176.11705073828</v>
      </c>
      <c r="Y538" s="332">
        <f t="shared" si="277"/>
        <v>3.88294926171994</v>
      </c>
      <c r="AA538" s="22">
        <f t="shared" si="278"/>
        <v>79895.5</v>
      </c>
      <c r="AB538" s="22">
        <f t="shared" si="279"/>
        <v>6383290920.25</v>
      </c>
      <c r="AD538" s="331">
        <f t="shared" si="280"/>
        <v>26.9560466693363</v>
      </c>
      <c r="AE538" s="332">
        <f t="shared" si="281"/>
        <v>-22.830969580025</v>
      </c>
      <c r="AG538" s="331">
        <f t="shared" si="282"/>
        <v>-8.18230044714141</v>
      </c>
      <c r="AH538" s="332">
        <f t="shared" si="283"/>
        <v>-51.9289336957204</v>
      </c>
      <c r="AJ538" s="22">
        <f t="shared" si="284"/>
        <v>0</v>
      </c>
      <c r="AK538" s="22">
        <f t="shared" ref="AK538:AK601" si="296">IF(AJ538&gt;0,Y538,0)</f>
        <v>0</v>
      </c>
      <c r="AM538" s="22" t="str">
        <f t="shared" si="288"/>
        <v>0.863907968301823+0.990696199098524i</v>
      </c>
      <c r="AN538" s="22" t="str">
        <f t="shared" si="289"/>
        <v>1.434280660389i</v>
      </c>
      <c r="AO538" s="22" t="str">
        <f t="shared" si="290"/>
        <v>0.690726875470685-0.602328395104705i</v>
      </c>
      <c r="AP538" s="22" t="str">
        <f t="shared" si="291"/>
        <v>0.0226820052830295-0.165116033183087i</v>
      </c>
      <c r="AQ538" s="22" t="str">
        <f t="shared" si="292"/>
        <v>0.97731799471697+0.165116033183087i</v>
      </c>
      <c r="AR538" s="22" t="str">
        <f t="shared" si="293"/>
        <v>0.828679235542299-0.140003794971116i</v>
      </c>
    </row>
    <row r="539" spans="7:44">
      <c r="G539" s="257">
        <v>80358</v>
      </c>
      <c r="H539" s="256">
        <f t="shared" si="285"/>
        <v>80.358</v>
      </c>
      <c r="I539" s="298">
        <f t="shared" si="265"/>
        <v>78.4067800990495</v>
      </c>
      <c r="J539" s="299">
        <f t="shared" si="266"/>
        <v>1.55804198193505</v>
      </c>
      <c r="K539" s="299">
        <f t="shared" si="267"/>
        <v>1.00094228074255</v>
      </c>
      <c r="L539" s="300">
        <f t="shared" si="268"/>
        <v>0.043394502559221</v>
      </c>
      <c r="M539" s="299">
        <f t="shared" si="269"/>
        <v>1.03978823251841</v>
      </c>
      <c r="N539" s="300">
        <f t="shared" si="270"/>
        <v>-0.277532963926311</v>
      </c>
      <c r="O539" s="298">
        <f t="shared" si="271"/>
        <v>145412.41085261</v>
      </c>
      <c r="P539" s="301">
        <f t="shared" si="272"/>
        <v>1.5707894498028</v>
      </c>
      <c r="Q539" s="320">
        <f t="shared" si="294"/>
        <v>60.5967563490753</v>
      </c>
      <c r="R539" s="321">
        <f t="shared" si="295"/>
        <v>1.55429304419776</v>
      </c>
      <c r="S539" s="298">
        <f t="shared" si="273"/>
        <v>1.07849621397428</v>
      </c>
      <c r="T539" s="301">
        <f t="shared" si="274"/>
        <v>0.383884004600351</v>
      </c>
      <c r="U539" s="316">
        <f t="shared" si="286"/>
        <v>0.768349707343673</v>
      </c>
      <c r="V539" s="317">
        <f t="shared" si="287"/>
        <v>-0.888610570137006</v>
      </c>
      <c r="W539" s="318">
        <f t="shared" si="275"/>
        <v>-11.2240724910564</v>
      </c>
      <c r="X539" s="319">
        <f t="shared" si="276"/>
        <v>-176.538118732872</v>
      </c>
      <c r="Y539" s="332">
        <f t="shared" si="277"/>
        <v>3.46188126712843</v>
      </c>
      <c r="AA539" s="22">
        <f t="shared" si="278"/>
        <v>80358</v>
      </c>
      <c r="AB539" s="22">
        <f t="shared" si="279"/>
        <v>6457408164</v>
      </c>
      <c r="AD539" s="331">
        <f t="shared" si="280"/>
        <v>26.9490352276565</v>
      </c>
      <c r="AE539" s="332">
        <f t="shared" si="281"/>
        <v>-22.9401077306984</v>
      </c>
      <c r="AG539" s="331">
        <f t="shared" si="282"/>
        <v>-8.20752197042486</v>
      </c>
      <c r="AH539" s="332">
        <f t="shared" si="283"/>
        <v>-51.77074028669</v>
      </c>
      <c r="AJ539" s="22">
        <f t="shared" si="284"/>
        <v>0</v>
      </c>
      <c r="AK539" s="22">
        <f t="shared" si="296"/>
        <v>0</v>
      </c>
      <c r="AM539" s="22" t="str">
        <f t="shared" si="288"/>
        <v>0.872138097758079+0.991791981191156i</v>
      </c>
      <c r="AN539" s="22" t="str">
        <f t="shared" si="289"/>
        <v>1.442583440964i</v>
      </c>
      <c r="AO539" s="22" t="str">
        <f t="shared" si="290"/>
        <v>0.687510997997035-0.604566829891848i</v>
      </c>
      <c r="AP539" s="22" t="str">
        <f t="shared" si="291"/>
        <v>0.0213103170403202-0.165298663531859i</v>
      </c>
      <c r="AQ539" s="22" t="str">
        <f t="shared" si="292"/>
        <v>0.97868968295968+0.165298663531859i</v>
      </c>
      <c r="AR539" s="22" t="str">
        <f t="shared" si="293"/>
        <v>0.82753143609751-0.139768348230512i</v>
      </c>
    </row>
    <row r="540" spans="7:44">
      <c r="G540" s="257">
        <v>80820.5</v>
      </c>
      <c r="H540" s="256">
        <f t="shared" si="285"/>
        <v>80.8205</v>
      </c>
      <c r="I540" s="298">
        <f t="shared" si="265"/>
        <v>78.8579766687303</v>
      </c>
      <c r="J540" s="299">
        <f t="shared" si="266"/>
        <v>1.5581149615661</v>
      </c>
      <c r="K540" s="299">
        <f t="shared" si="267"/>
        <v>1.00095315335971</v>
      </c>
      <c r="L540" s="300">
        <f t="shared" si="268"/>
        <v>0.0436439432347251</v>
      </c>
      <c r="M540" s="299">
        <f t="shared" si="269"/>
        <v>1.04023866674807</v>
      </c>
      <c r="N540" s="300">
        <f t="shared" si="270"/>
        <v>-0.279048878603269</v>
      </c>
      <c r="O540" s="298">
        <f t="shared" si="271"/>
        <v>146249.33113455</v>
      </c>
      <c r="P540" s="301">
        <f t="shared" si="272"/>
        <v>1.57078948915679</v>
      </c>
      <c r="Q540" s="320">
        <f t="shared" si="294"/>
        <v>60.9454259180328</v>
      </c>
      <c r="R540" s="321">
        <f t="shared" si="295"/>
        <v>1.5543874681898</v>
      </c>
      <c r="S540" s="298">
        <f t="shared" si="273"/>
        <v>1.07936905315262</v>
      </c>
      <c r="T540" s="301">
        <f t="shared" si="274"/>
        <v>0.385881074627269</v>
      </c>
      <c r="U540" s="316">
        <f t="shared" si="286"/>
        <v>0.766485148258153</v>
      </c>
      <c r="V540" s="317">
        <f t="shared" si="287"/>
        <v>-0.892701754627275</v>
      </c>
      <c r="W540" s="318">
        <f t="shared" si="275"/>
        <v>-11.298200421153</v>
      </c>
      <c r="X540" s="319">
        <f t="shared" si="276"/>
        <v>-176.958287220373</v>
      </c>
      <c r="Y540" s="332">
        <f t="shared" si="277"/>
        <v>3.04171277962718</v>
      </c>
      <c r="AA540" s="22">
        <f t="shared" si="278"/>
        <v>80820.5</v>
      </c>
      <c r="AB540" s="22">
        <f t="shared" si="279"/>
        <v>6531953220.25</v>
      </c>
      <c r="AD540" s="331">
        <f t="shared" si="280"/>
        <v>26.9419949842404</v>
      </c>
      <c r="AE540" s="332">
        <f t="shared" si="281"/>
        <v>-23.0491235733463</v>
      </c>
      <c r="AG540" s="331">
        <f t="shared" si="282"/>
        <v>-8.23240221739685</v>
      </c>
      <c r="AH540" s="332">
        <f t="shared" si="283"/>
        <v>-51.613077722004</v>
      </c>
      <c r="AJ540" s="22">
        <f t="shared" si="284"/>
        <v>0</v>
      </c>
      <c r="AK540" s="22">
        <f t="shared" si="296"/>
        <v>0</v>
      </c>
      <c r="AM540" s="22" t="str">
        <f t="shared" si="288"/>
        <v>0.880377041472925+0.992819393340616i</v>
      </c>
      <c r="AN540" s="22" t="str">
        <f t="shared" si="289"/>
        <v>1.450886221539i</v>
      </c>
      <c r="AO540" s="22" t="str">
        <f t="shared" si="290"/>
        <v>0.684284803730166-0.606785720619141i</v>
      </c>
      <c r="AP540" s="22" t="str">
        <f t="shared" si="291"/>
        <v>0.0199371597545125-0.165469898890103i</v>
      </c>
      <c r="AQ540" s="22" t="str">
        <f t="shared" si="292"/>
        <v>0.980062840245488+0.165469898890103i</v>
      </c>
      <c r="AR540" s="22" t="str">
        <f t="shared" si="293"/>
        <v>0.826388792438457-0.139524185912869i</v>
      </c>
    </row>
    <row r="541" spans="7:44">
      <c r="G541" s="257">
        <v>81283</v>
      </c>
      <c r="H541" s="256">
        <f t="shared" si="285"/>
        <v>81.283</v>
      </c>
      <c r="I541" s="298">
        <f t="shared" si="265"/>
        <v>79.3091736536319</v>
      </c>
      <c r="J541" s="299">
        <f t="shared" si="266"/>
        <v>1.55818711082222</v>
      </c>
      <c r="K541" s="299">
        <f t="shared" si="267"/>
        <v>1.00096408825546</v>
      </c>
      <c r="L541" s="300">
        <f t="shared" si="268"/>
        <v>0.0438933784757877</v>
      </c>
      <c r="M541" s="299">
        <f t="shared" si="269"/>
        <v>1.04069148937089</v>
      </c>
      <c r="N541" s="300">
        <f t="shared" si="270"/>
        <v>-0.280563477557575</v>
      </c>
      <c r="O541" s="298">
        <f t="shared" si="271"/>
        <v>147086.251416491</v>
      </c>
      <c r="P541" s="301">
        <f t="shared" si="272"/>
        <v>1.57078952806293</v>
      </c>
      <c r="Q541" s="320">
        <f t="shared" si="294"/>
        <v>61.2940960241911</v>
      </c>
      <c r="R541" s="321">
        <f t="shared" si="295"/>
        <v>1.55448081792509</v>
      </c>
      <c r="S541" s="298">
        <f t="shared" si="273"/>
        <v>1.08024619019972</v>
      </c>
      <c r="T541" s="301">
        <f t="shared" si="274"/>
        <v>0.387874909438238</v>
      </c>
      <c r="U541" s="316">
        <f t="shared" si="286"/>
        <v>0.764622111129565</v>
      </c>
      <c r="V541" s="317">
        <f t="shared" si="287"/>
        <v>-0.896781575902239</v>
      </c>
      <c r="W541" s="318">
        <f t="shared" si="275"/>
        <v>-11.3720879549382</v>
      </c>
      <c r="X541" s="319">
        <f t="shared" si="276"/>
        <v>-177.377558153129</v>
      </c>
      <c r="Y541" s="332">
        <f t="shared" si="277"/>
        <v>2.62244184687077</v>
      </c>
      <c r="AA541" s="22">
        <f t="shared" si="278"/>
        <v>81283</v>
      </c>
      <c r="AB541" s="22">
        <f t="shared" si="279"/>
        <v>6606926089</v>
      </c>
      <c r="AD541" s="331">
        <f t="shared" si="280"/>
        <v>26.9349260927046</v>
      </c>
      <c r="AE541" s="332">
        <f t="shared" si="281"/>
        <v>-23.1580155764922</v>
      </c>
      <c r="AG541" s="331">
        <f t="shared" si="282"/>
        <v>-8.2569451986104</v>
      </c>
      <c r="AH541" s="332">
        <f t="shared" si="283"/>
        <v>-51.4559435706339</v>
      </c>
      <c r="AJ541" s="22">
        <f t="shared" si="284"/>
        <v>0</v>
      </c>
      <c r="AK541" s="22">
        <f t="shared" si="296"/>
        <v>0</v>
      </c>
      <c r="AM541" s="22" t="str">
        <f t="shared" si="288"/>
        <v>0.888624231488439+0.99377836472146i</v>
      </c>
      <c r="AN541" s="22" t="str">
        <f t="shared" si="289"/>
        <v>1.459189002114i</v>
      </c>
      <c r="AO541" s="22" t="str">
        <f t="shared" si="290"/>
        <v>0.681048420240095-0.608985011675009i</v>
      </c>
      <c r="AP541" s="22" t="str">
        <f t="shared" si="291"/>
        <v>0.0185626280852602-0.165629727453577i</v>
      </c>
      <c r="AQ541" s="22" t="str">
        <f t="shared" si="292"/>
        <v>0.98143737191474+0.165629727453577i</v>
      </c>
      <c r="AR541" s="22" t="str">
        <f t="shared" si="293"/>
        <v>0.82525134996738-0.139271399365122i</v>
      </c>
    </row>
    <row r="542" spans="7:44">
      <c r="G542" s="257">
        <v>81756.25</v>
      </c>
      <c r="H542" s="256">
        <f t="shared" si="285"/>
        <v>81.75625</v>
      </c>
      <c r="I542" s="298">
        <f t="shared" si="265"/>
        <v>79.7708583422642</v>
      </c>
      <c r="J542" s="299">
        <f t="shared" si="266"/>
        <v>1.55826009220842</v>
      </c>
      <c r="K542" s="299">
        <f t="shared" si="267"/>
        <v>1.00097534177829</v>
      </c>
      <c r="L542" s="300">
        <f t="shared" si="268"/>
        <v>0.0441486057432592</v>
      </c>
      <c r="M542" s="299">
        <f t="shared" si="269"/>
        <v>1.04115730611852</v>
      </c>
      <c r="N542" s="300">
        <f t="shared" si="270"/>
        <v>-0.282111913300105</v>
      </c>
      <c r="O542" s="298">
        <f t="shared" si="271"/>
        <v>147942.62444012</v>
      </c>
      <c r="P542" s="301">
        <f t="shared" si="272"/>
        <v>1.57078956741771</v>
      </c>
      <c r="Q542" s="320">
        <f t="shared" si="294"/>
        <v>61.6508709010058</v>
      </c>
      <c r="R542" s="321">
        <f t="shared" si="295"/>
        <v>1.55457524442169</v>
      </c>
      <c r="S542" s="298">
        <f t="shared" si="273"/>
        <v>1.08114815271857</v>
      </c>
      <c r="T542" s="301">
        <f t="shared" si="274"/>
        <v>0.389911730250003</v>
      </c>
      <c r="U542" s="316">
        <f t="shared" si="286"/>
        <v>0.762717419257671</v>
      </c>
      <c r="V542" s="317">
        <f t="shared" si="287"/>
        <v>-0.900944517305575</v>
      </c>
      <c r="W542" s="318">
        <f t="shared" si="275"/>
        <v>-11.4474465880194</v>
      </c>
      <c r="X542" s="319">
        <f t="shared" si="276"/>
        <v>-177.805647290725</v>
      </c>
      <c r="Y542" s="332">
        <f t="shared" si="277"/>
        <v>2.19435270927454</v>
      </c>
      <c r="AA542" s="22">
        <f t="shared" si="278"/>
        <v>81756.25</v>
      </c>
      <c r="AB542" s="22">
        <f t="shared" si="279"/>
        <v>6684084414.0625</v>
      </c>
      <c r="AD542" s="331">
        <f t="shared" si="280"/>
        <v>26.927663402968</v>
      </c>
      <c r="AE542" s="332">
        <f t="shared" si="281"/>
        <v>-23.2693088278918</v>
      </c>
      <c r="AG542" s="331">
        <f t="shared" si="282"/>
        <v>-8.28171363908918</v>
      </c>
      <c r="AH542" s="332">
        <f t="shared" si="283"/>
        <v>-51.2957015107431</v>
      </c>
      <c r="AJ542" s="22">
        <f t="shared" si="284"/>
        <v>0</v>
      </c>
      <c r="AK542" s="22">
        <f t="shared" si="296"/>
        <v>0</v>
      </c>
      <c r="AM542" s="22" t="str">
        <f t="shared" si="288"/>
        <v>0.897071055917535+0.994688711341427i</v>
      </c>
      <c r="AN542" s="22" t="str">
        <f t="shared" si="289"/>
        <v>1.4676847662375i</v>
      </c>
      <c r="AO542" s="22" t="str">
        <f t="shared" si="290"/>
        <v>0.677726398899249-0.611215075984765i</v>
      </c>
      <c r="AP542" s="22" t="str">
        <f t="shared" si="291"/>
        <v>0.0171548240137442-0.165781451890238i</v>
      </c>
      <c r="AQ542" s="22" t="str">
        <f t="shared" si="292"/>
        <v>0.982845175986256+0.165781451890238i</v>
      </c>
      <c r="AR542" s="22" t="str">
        <f t="shared" si="293"/>
        <v>0.824092899489726-0.139003904895549i</v>
      </c>
    </row>
    <row r="543" spans="7:44">
      <c r="G543" s="257">
        <v>82229.5</v>
      </c>
      <c r="H543" s="256">
        <f t="shared" si="285"/>
        <v>82.2295</v>
      </c>
      <c r="I543" s="298">
        <f t="shared" si="265"/>
        <v>80.2325434508887</v>
      </c>
      <c r="J543" s="299">
        <f t="shared" si="266"/>
        <v>1.55833223367599</v>
      </c>
      <c r="K543" s="299">
        <f t="shared" si="267"/>
        <v>1.00098666050414</v>
      </c>
      <c r="L543" s="300">
        <f t="shared" si="268"/>
        <v>0.0444038272553559</v>
      </c>
      <c r="M543" s="299">
        <f t="shared" si="269"/>
        <v>1.04162561696413</v>
      </c>
      <c r="N543" s="300">
        <f t="shared" si="270"/>
        <v>-0.283658960407713</v>
      </c>
      <c r="O543" s="298">
        <f t="shared" si="271"/>
        <v>148798.997463749</v>
      </c>
      <c r="P543" s="301">
        <f t="shared" si="272"/>
        <v>1.57078960631951</v>
      </c>
      <c r="Q543" s="320">
        <f t="shared" si="294"/>
        <v>62.0076463211964</v>
      </c>
      <c r="R543" s="321">
        <f t="shared" si="295"/>
        <v>1.55466858430948</v>
      </c>
      <c r="S543" s="298">
        <f t="shared" si="273"/>
        <v>1.08205459304242</v>
      </c>
      <c r="T543" s="301">
        <f t="shared" si="274"/>
        <v>0.39194514698433</v>
      </c>
      <c r="U543" s="316">
        <f t="shared" si="286"/>
        <v>0.760814467398782</v>
      </c>
      <c r="V543" s="317">
        <f t="shared" si="287"/>
        <v>-0.905095671877068</v>
      </c>
      <c r="W543" s="318">
        <f t="shared" si="275"/>
        <v>-11.5225586607264</v>
      </c>
      <c r="X543" s="319">
        <f t="shared" si="276"/>
        <v>-178.232800928522</v>
      </c>
      <c r="Y543" s="332">
        <f t="shared" si="277"/>
        <v>1.76719907147751</v>
      </c>
      <c r="AA543" s="22">
        <f t="shared" si="278"/>
        <v>82229.5</v>
      </c>
      <c r="AB543" s="22">
        <f t="shared" si="279"/>
        <v>6761690670.25</v>
      </c>
      <c r="AD543" s="331">
        <f t="shared" si="280"/>
        <v>26.9203710438691</v>
      </c>
      <c r="AE543" s="332">
        <f t="shared" si="281"/>
        <v>-23.3804692721652</v>
      </c>
      <c r="AG543" s="331">
        <f t="shared" si="282"/>
        <v>-8.30613724507873</v>
      </c>
      <c r="AH543" s="332">
        <f t="shared" si="283"/>
        <v>-51.136007429617</v>
      </c>
      <c r="AJ543" s="22">
        <f t="shared" si="284"/>
        <v>0</v>
      </c>
      <c r="AK543" s="22">
        <f t="shared" si="296"/>
        <v>0</v>
      </c>
      <c r="AM543" s="22" t="str">
        <f t="shared" si="288"/>
        <v>0.905525309508099+0.995527263743419i</v>
      </c>
      <c r="AN543" s="22" t="str">
        <f t="shared" si="289"/>
        <v>1.476180530361i</v>
      </c>
      <c r="AO543" s="22" t="str">
        <f t="shared" si="290"/>
        <v>0.674393980457094-0.613424503903091i</v>
      </c>
      <c r="AP543" s="22" t="str">
        <f t="shared" si="291"/>
        <v>0.0157457817486501-0.165921210623903i</v>
      </c>
      <c r="AQ543" s="22" t="str">
        <f t="shared" si="292"/>
        <v>0.98425421825135+0.165921210623903i</v>
      </c>
      <c r="AR543" s="22" t="str">
        <f t="shared" si="293"/>
        <v>0.822939986573535-0.138727572928959i</v>
      </c>
    </row>
    <row r="544" spans="7:44">
      <c r="G544" s="257">
        <v>82702.75</v>
      </c>
      <c r="H544" s="256">
        <f t="shared" si="285"/>
        <v>82.70275</v>
      </c>
      <c r="I544" s="298">
        <f t="shared" si="265"/>
        <v>80.6942289722968</v>
      </c>
      <c r="J544" s="299">
        <f t="shared" si="266"/>
        <v>1.55840354964075</v>
      </c>
      <c r="K544" s="299">
        <f t="shared" si="267"/>
        <v>1.00099804443081</v>
      </c>
      <c r="L544" s="300">
        <f t="shared" si="268"/>
        <v>0.0446590429790242</v>
      </c>
      <c r="M544" s="299">
        <f t="shared" si="269"/>
        <v>1.04209641854523</v>
      </c>
      <c r="N544" s="300">
        <f t="shared" si="270"/>
        <v>-0.285204613352271</v>
      </c>
      <c r="O544" s="298">
        <f t="shared" si="271"/>
        <v>149655.370487379</v>
      </c>
      <c r="P544" s="301">
        <f t="shared" si="272"/>
        <v>1.57078964477609</v>
      </c>
      <c r="Q544" s="320">
        <f t="shared" si="294"/>
        <v>62.3644222754373</v>
      </c>
      <c r="R544" s="321">
        <f t="shared" si="295"/>
        <v>1.55476085623571</v>
      </c>
      <c r="S544" s="298">
        <f t="shared" si="273"/>
        <v>1.08296549992753</v>
      </c>
      <c r="T544" s="301">
        <f t="shared" si="274"/>
        <v>0.393975151394528</v>
      </c>
      <c r="U544" s="316">
        <f t="shared" si="286"/>
        <v>0.75891332743962</v>
      </c>
      <c r="V544" s="317">
        <f t="shared" si="287"/>
        <v>-0.909235096321056</v>
      </c>
      <c r="W544" s="318">
        <f t="shared" si="275"/>
        <v>-11.5974266992083</v>
      </c>
      <c r="X544" s="319">
        <f t="shared" si="276"/>
        <v>-178.659021286096</v>
      </c>
      <c r="Y544" s="332">
        <f t="shared" si="277"/>
        <v>1.34097871390389</v>
      </c>
      <c r="AA544" s="22">
        <f t="shared" si="278"/>
        <v>82702.75</v>
      </c>
      <c r="AB544" s="22">
        <f t="shared" si="279"/>
        <v>6839744857.5625</v>
      </c>
      <c r="AD544" s="331">
        <f t="shared" si="280"/>
        <v>26.9130491805291</v>
      </c>
      <c r="AE544" s="332">
        <f t="shared" si="281"/>
        <v>-23.4914953688484</v>
      </c>
      <c r="AG544" s="331">
        <f t="shared" si="282"/>
        <v>-8.3302201091149</v>
      </c>
      <c r="AH544" s="332">
        <f t="shared" si="283"/>
        <v>-50.9768585894576</v>
      </c>
      <c r="AJ544" s="22">
        <f t="shared" si="284"/>
        <v>0</v>
      </c>
      <c r="AK544" s="22">
        <f t="shared" si="296"/>
        <v>0</v>
      </c>
      <c r="AM544" s="22" t="str">
        <f t="shared" si="288"/>
        <v>0.913986382052619+0.996293961402759i</v>
      </c>
      <c r="AN544" s="22" t="str">
        <f t="shared" si="289"/>
        <v>1.4846762944845i</v>
      </c>
      <c r="AO544" s="22" t="str">
        <f t="shared" si="290"/>
        <v>0.671051302633404-0.615613238689157i</v>
      </c>
      <c r="AP544" s="22" t="str">
        <f t="shared" si="291"/>
        <v>0.0143356029912302-0.166048993567127i</v>
      </c>
      <c r="AQ544" s="22" t="str">
        <f t="shared" si="292"/>
        <v>0.98566439700877+0.166048993567127i</v>
      </c>
      <c r="AR544" s="22" t="str">
        <f t="shared" si="293"/>
        <v>0.821792655445081-0.138442500075711i</v>
      </c>
    </row>
    <row r="545" spans="7:44">
      <c r="G545" s="257">
        <v>83176</v>
      </c>
      <c r="H545" s="256">
        <f t="shared" si="285"/>
        <v>83.176</v>
      </c>
      <c r="I545" s="298">
        <f t="shared" si="265"/>
        <v>81.1559148994434</v>
      </c>
      <c r="J545" s="299">
        <f t="shared" si="266"/>
        <v>1.55847405419052</v>
      </c>
      <c r="K545" s="299">
        <f t="shared" si="267"/>
        <v>1.00100949355606</v>
      </c>
      <c r="L545" s="300">
        <f t="shared" si="268"/>
        <v>0.0449142528812153</v>
      </c>
      <c r="M545" s="299">
        <f t="shared" si="269"/>
        <v>1.04256970748754</v>
      </c>
      <c r="N545" s="300">
        <f t="shared" si="270"/>
        <v>-0.286748866642257</v>
      </c>
      <c r="O545" s="298">
        <f t="shared" si="271"/>
        <v>150511.743511008</v>
      </c>
      <c r="P545" s="301">
        <f t="shared" si="272"/>
        <v>1.57078968279506</v>
      </c>
      <c r="Q545" s="320">
        <f t="shared" si="294"/>
        <v>62.7211987546149</v>
      </c>
      <c r="R545" s="321">
        <f t="shared" si="295"/>
        <v>1.55485207842344</v>
      </c>
      <c r="S545" s="298">
        <f t="shared" si="273"/>
        <v>1.08388086211264</v>
      </c>
      <c r="T545" s="301">
        <f t="shared" si="274"/>
        <v>0.396001735374052</v>
      </c>
      <c r="U545" s="316">
        <f t="shared" si="286"/>
        <v>0.757014069808901</v>
      </c>
      <c r="V545" s="317">
        <f t="shared" si="287"/>
        <v>-0.913362847785564</v>
      </c>
      <c r="W545" s="318">
        <f t="shared" si="275"/>
        <v>-11.6720531816704</v>
      </c>
      <c r="X545" s="319">
        <f t="shared" si="276"/>
        <v>-179.084310624073</v>
      </c>
      <c r="Y545" s="332">
        <f t="shared" si="277"/>
        <v>0.915689375927343</v>
      </c>
      <c r="AA545" s="22">
        <f t="shared" si="278"/>
        <v>83176</v>
      </c>
      <c r="AB545" s="22">
        <f t="shared" si="279"/>
        <v>6918246976</v>
      </c>
      <c r="AD545" s="331">
        <f t="shared" si="280"/>
        <v>26.9056979782219</v>
      </c>
      <c r="AE545" s="332">
        <f t="shared" si="281"/>
        <v>-23.6023856098024</v>
      </c>
      <c r="AG545" s="331">
        <f t="shared" si="282"/>
        <v>-8.35396625763413</v>
      </c>
      <c r="AH545" s="332">
        <f t="shared" si="283"/>
        <v>-50.8182522103493</v>
      </c>
      <c r="AJ545" s="22">
        <f t="shared" si="284"/>
        <v>0</v>
      </c>
      <c r="AK545" s="22">
        <f t="shared" si="296"/>
        <v>0</v>
      </c>
      <c r="AM545" s="22" t="str">
        <f t="shared" si="288"/>
        <v>0.922453662851404+0.996988748981069i</v>
      </c>
      <c r="AN545" s="22" t="str">
        <f t="shared" si="289"/>
        <v>1.493172058608i</v>
      </c>
      <c r="AO545" s="22" t="str">
        <f t="shared" si="290"/>
        <v>0.667698503486936-0.617781224563869i</v>
      </c>
      <c r="AP545" s="22" t="str">
        <f t="shared" si="291"/>
        <v>0.0129243895247659-0.166164791496845i</v>
      </c>
      <c r="AQ545" s="22" t="str">
        <f t="shared" si="292"/>
        <v>0.987075610475234+0.166164791496845i</v>
      </c>
      <c r="AR545" s="22" t="str">
        <f t="shared" si="293"/>
        <v>0.820650948889129-0.138148782491138i</v>
      </c>
    </row>
    <row r="546" spans="7:44">
      <c r="G546" s="257">
        <v>83660.5</v>
      </c>
      <c r="H546" s="256">
        <f t="shared" si="285"/>
        <v>83.6605</v>
      </c>
      <c r="I546" s="298">
        <f t="shared" si="265"/>
        <v>81.6285763410019</v>
      </c>
      <c r="J546" s="299">
        <f t="shared" si="266"/>
        <v>1.55854540855731</v>
      </c>
      <c r="K546" s="299">
        <f t="shared" si="267"/>
        <v>1.00102128238702</v>
      </c>
      <c r="L546" s="300">
        <f t="shared" si="268"/>
        <v>0.0451755235146078</v>
      </c>
      <c r="M546" s="299">
        <f t="shared" si="269"/>
        <v>1.04305682057759</v>
      </c>
      <c r="N546" s="300">
        <f t="shared" si="270"/>
        <v>-0.288328373944442</v>
      </c>
      <c r="O546" s="298">
        <f t="shared" si="271"/>
        <v>151388.47405501</v>
      </c>
      <c r="P546" s="301">
        <f t="shared" si="272"/>
        <v>1.57078972127221</v>
      </c>
      <c r="Q546" s="320">
        <f t="shared" si="294"/>
        <v>63.0864569841245</v>
      </c>
      <c r="R546" s="321">
        <f t="shared" si="295"/>
        <v>1.55494440025422</v>
      </c>
      <c r="S546" s="298">
        <f t="shared" si="273"/>
        <v>1.08482258774439</v>
      </c>
      <c r="T546" s="301">
        <f t="shared" si="274"/>
        <v>0.398072943204507</v>
      </c>
      <c r="U546" s="316">
        <f t="shared" si="286"/>
        <v>0.755071685425063</v>
      </c>
      <c r="V546" s="317">
        <f t="shared" si="287"/>
        <v>-0.917576690906996</v>
      </c>
      <c r="W546" s="318">
        <f t="shared" si="275"/>
        <v>-11.7482059702594</v>
      </c>
      <c r="X546" s="319">
        <f t="shared" si="276"/>
        <v>-179.518747773043</v>
      </c>
      <c r="Y546" s="332">
        <f t="shared" si="277"/>
        <v>0.481252226957366</v>
      </c>
      <c r="AA546" s="22">
        <f t="shared" si="278"/>
        <v>83660.5</v>
      </c>
      <c r="AB546" s="22">
        <f t="shared" si="279"/>
        <v>6999079260.25</v>
      </c>
      <c r="AD546" s="331">
        <f t="shared" si="280"/>
        <v>26.8981418039693</v>
      </c>
      <c r="AE546" s="332">
        <f t="shared" si="281"/>
        <v>-23.7157696304289</v>
      </c>
      <c r="AG546" s="331">
        <f t="shared" si="282"/>
        <v>-8.37793221365163</v>
      </c>
      <c r="AH546" s="332">
        <f t="shared" si="283"/>
        <v>-50.6564344853642</v>
      </c>
      <c r="AJ546" s="22">
        <f t="shared" si="284"/>
        <v>0</v>
      </c>
      <c r="AK546" s="22">
        <f t="shared" si="296"/>
        <v>0</v>
      </c>
      <c r="AM546" s="22" t="str">
        <f t="shared" si="288"/>
        <v>0.931128019326557+0.997625506028248i</v>
      </c>
      <c r="AN546" s="22" t="str">
        <f t="shared" si="289"/>
        <v>1.501869782259i</v>
      </c>
      <c r="AO546" s="22" t="str">
        <f t="shared" si="290"/>
        <v>0.664255661717685-0.619979195483928i</v>
      </c>
      <c r="AP546" s="22" t="str">
        <f t="shared" si="291"/>
        <v>0.0114786634455738-0.166270917671375i</v>
      </c>
      <c r="AQ546" s="22" t="str">
        <f t="shared" si="292"/>
        <v>0.988521336554426+0.166270917671375i</v>
      </c>
      <c r="AR546" s="22" t="str">
        <f t="shared" si="293"/>
        <v>0.819487971829449-0.137839227195309i</v>
      </c>
    </row>
    <row r="547" spans="7:44">
      <c r="G547" s="257">
        <v>84145</v>
      </c>
      <c r="H547" s="256">
        <f t="shared" si="285"/>
        <v>84.145</v>
      </c>
      <c r="I547" s="298">
        <f t="shared" si="265"/>
        <v>82.1012381933825</v>
      </c>
      <c r="J547" s="299">
        <f t="shared" si="266"/>
        <v>1.55861594134154</v>
      </c>
      <c r="K547" s="299">
        <f t="shared" si="267"/>
        <v>1.00103313954844</v>
      </c>
      <c r="L547" s="300">
        <f t="shared" si="268"/>
        <v>0.0454367879763728</v>
      </c>
      <c r="M547" s="299">
        <f t="shared" si="269"/>
        <v>1.04354653349779</v>
      </c>
      <c r="N547" s="300">
        <f t="shared" si="270"/>
        <v>-0.289906402725978</v>
      </c>
      <c r="O547" s="298">
        <f t="shared" si="271"/>
        <v>152265.204599012</v>
      </c>
      <c r="P547" s="301">
        <f t="shared" si="272"/>
        <v>1.57078975930627</v>
      </c>
      <c r="Q547" s="320">
        <f t="shared" si="294"/>
        <v>63.4517157451497</v>
      </c>
      <c r="R547" s="321">
        <f t="shared" si="295"/>
        <v>1.55503565918757</v>
      </c>
      <c r="S547" s="298">
        <f t="shared" si="273"/>
        <v>1.08576895907418</v>
      </c>
      <c r="T547" s="301">
        <f t="shared" si="274"/>
        <v>0.400140549304818</v>
      </c>
      <c r="U547" s="316">
        <f t="shared" si="286"/>
        <v>0.753131418696499</v>
      </c>
      <c r="V547" s="317">
        <f t="shared" si="287"/>
        <v>-0.921778422057995</v>
      </c>
      <c r="W547" s="318">
        <f t="shared" si="275"/>
        <v>-11.8241106899716</v>
      </c>
      <c r="X547" s="319">
        <f t="shared" si="276"/>
        <v>-179.952214034839</v>
      </c>
      <c r="Y547" s="332">
        <f t="shared" si="277"/>
        <v>0.047785965160557</v>
      </c>
      <c r="AA547" s="22">
        <f t="shared" si="278"/>
        <v>84145</v>
      </c>
      <c r="AB547" s="22">
        <f t="shared" si="279"/>
        <v>7080381025</v>
      </c>
      <c r="AD547" s="331">
        <f t="shared" si="280"/>
        <v>26.8905552302831</v>
      </c>
      <c r="AE547" s="332">
        <f t="shared" si="281"/>
        <v>-23.8290081612688</v>
      </c>
      <c r="AG547" s="331">
        <f t="shared" si="282"/>
        <v>-8.40155358926525</v>
      </c>
      <c r="AH547" s="332">
        <f t="shared" si="283"/>
        <v>-50.495179292569</v>
      </c>
      <c r="AJ547" s="22">
        <f t="shared" si="284"/>
        <v>0</v>
      </c>
      <c r="AK547" s="22">
        <f t="shared" si="296"/>
        <v>0</v>
      </c>
      <c r="AM547" s="22" t="str">
        <f t="shared" si="288"/>
        <v>0.939807585961524+0.99818679278591i</v>
      </c>
      <c r="AN547" s="22" t="str">
        <f t="shared" si="289"/>
        <v>1.51056750591i</v>
      </c>
      <c r="AO547" s="22" t="str">
        <f t="shared" si="290"/>
        <v>0.660802505601747-0.622155304072533i</v>
      </c>
      <c r="AP547" s="22" t="str">
        <f t="shared" si="291"/>
        <v>0.0100320690064127-0.166364465464318i</v>
      </c>
      <c r="AQ547" s="22" t="str">
        <f t="shared" si="292"/>
        <v>0.989967930993587+0.166364465464318i</v>
      </c>
      <c r="AR547" s="22" t="str">
        <f t="shared" si="293"/>
        <v>0.818330976159066-0.137520813714599i</v>
      </c>
    </row>
    <row r="548" spans="7:44">
      <c r="G548" s="257">
        <v>84629.5</v>
      </c>
      <c r="H548" s="256">
        <f t="shared" si="285"/>
        <v>84.6295</v>
      </c>
      <c r="I548" s="298">
        <f t="shared" si="265"/>
        <v>82.5739004495304</v>
      </c>
      <c r="J548" s="299">
        <f t="shared" si="266"/>
        <v>1.558685666651</v>
      </c>
      <c r="K548" s="299">
        <f t="shared" si="267"/>
        <v>1.00104506503787</v>
      </c>
      <c r="L548" s="300">
        <f t="shared" si="268"/>
        <v>0.045698046231063</v>
      </c>
      <c r="M548" s="299">
        <f t="shared" si="269"/>
        <v>1.04403884258975</v>
      </c>
      <c r="N548" s="300">
        <f t="shared" si="270"/>
        <v>-0.291482947213807</v>
      </c>
      <c r="O548" s="298">
        <f t="shared" si="271"/>
        <v>153141.935143014</v>
      </c>
      <c r="P548" s="301">
        <f t="shared" si="272"/>
        <v>1.57078979690484</v>
      </c>
      <c r="Q548" s="320">
        <f t="shared" si="294"/>
        <v>63.816975028564</v>
      </c>
      <c r="R548" s="321">
        <f t="shared" si="295"/>
        <v>1.55512587347257</v>
      </c>
      <c r="S548" s="298">
        <f t="shared" si="273"/>
        <v>1.08671996396488</v>
      </c>
      <c r="T548" s="301">
        <f t="shared" si="274"/>
        <v>0.402204545429833</v>
      </c>
      <c r="U548" s="316">
        <f t="shared" si="286"/>
        <v>0.751193340543018</v>
      </c>
      <c r="V548" s="317">
        <f t="shared" si="287"/>
        <v>-0.92596810391019</v>
      </c>
      <c r="W548" s="318">
        <f t="shared" si="275"/>
        <v>-11.8997698519967</v>
      </c>
      <c r="X548" s="319">
        <f t="shared" si="276"/>
        <v>-180.384711962287</v>
      </c>
      <c r="Y548" s="332">
        <f t="shared" si="277"/>
        <v>-0.384711962286616</v>
      </c>
      <c r="AA548" s="22">
        <f t="shared" si="278"/>
        <v>84629.5</v>
      </c>
      <c r="AB548" s="22">
        <f t="shared" si="279"/>
        <v>7162152270.25</v>
      </c>
      <c r="AD548" s="331">
        <f t="shared" si="280"/>
        <v>26.8829384349055</v>
      </c>
      <c r="AE548" s="332">
        <f t="shared" si="281"/>
        <v>-23.9420996847499</v>
      </c>
      <c r="AG548" s="331">
        <f t="shared" si="282"/>
        <v>-8.42483449822508</v>
      </c>
      <c r="AH548" s="332">
        <f t="shared" si="283"/>
        <v>-50.3344835207199</v>
      </c>
      <c r="AJ548" s="22">
        <f t="shared" si="284"/>
        <v>0</v>
      </c>
      <c r="AK548" s="22">
        <f t="shared" si="296"/>
        <v>0</v>
      </c>
      <c r="AM548" s="22" t="str">
        <f t="shared" si="288"/>
        <v>0.948491706147785+0.998672566792757i</v>
      </c>
      <c r="AN548" s="22" t="str">
        <f t="shared" si="289"/>
        <v>1.519265229561i</v>
      </c>
      <c r="AO548" s="22" t="str">
        <f t="shared" si="290"/>
        <v>0.65733918433803-0.624309493624005i</v>
      </c>
      <c r="AP548" s="22" t="str">
        <f t="shared" si="291"/>
        <v>0.0085847156420358-0.166445427798793i</v>
      </c>
      <c r="AQ548" s="22" t="str">
        <f t="shared" si="292"/>
        <v>0.991415284357964+0.166445427798793i</v>
      </c>
      <c r="AR548" s="22" t="str">
        <f t="shared" si="293"/>
        <v>0.817180003248002-0.137193643647844i</v>
      </c>
    </row>
    <row r="549" spans="7:44">
      <c r="G549" s="257">
        <v>85114</v>
      </c>
      <c r="H549" s="256">
        <f t="shared" si="285"/>
        <v>85.114</v>
      </c>
      <c r="I549" s="298">
        <f t="shared" si="265"/>
        <v>83.0465631025515</v>
      </c>
      <c r="J549" s="299">
        <f t="shared" si="266"/>
        <v>1.55875459827233</v>
      </c>
      <c r="K549" s="299">
        <f t="shared" si="267"/>
        <v>1.00105705885288</v>
      </c>
      <c r="L549" s="300">
        <f t="shared" si="268"/>
        <v>0.0459592982432361</v>
      </c>
      <c r="M549" s="299">
        <f t="shared" si="269"/>
        <v>1.04453374418258</v>
      </c>
      <c r="N549" s="300">
        <f t="shared" si="270"/>
        <v>-0.29305800167524</v>
      </c>
      <c r="O549" s="298">
        <f t="shared" si="271"/>
        <v>154018.665687016</v>
      </c>
      <c r="P549" s="301">
        <f t="shared" si="272"/>
        <v>1.57078983407536</v>
      </c>
      <c r="Q549" s="320">
        <f t="shared" si="294"/>
        <v>64.1822348254486</v>
      </c>
      <c r="R549" s="321">
        <f t="shared" si="295"/>
        <v>1.55521506094296</v>
      </c>
      <c r="S549" s="298">
        <f t="shared" si="273"/>
        <v>1.08767559026249</v>
      </c>
      <c r="T549" s="301">
        <f t="shared" si="274"/>
        <v>0.404264923486194</v>
      </c>
      <c r="U549" s="316">
        <f t="shared" si="286"/>
        <v>0.749257520348838</v>
      </c>
      <c r="V549" s="317">
        <f t="shared" si="287"/>
        <v>-0.930145799559428</v>
      </c>
      <c r="W549" s="318">
        <f t="shared" si="275"/>
        <v>-11.9751859202501</v>
      </c>
      <c r="X549" s="319">
        <f t="shared" si="276"/>
        <v>-180.816244148911</v>
      </c>
      <c r="Y549" s="332">
        <f t="shared" si="277"/>
        <v>-0.816244148910926</v>
      </c>
      <c r="AA549" s="22">
        <f t="shared" si="278"/>
        <v>85114</v>
      </c>
      <c r="AB549" s="22">
        <f t="shared" si="279"/>
        <v>7244392996</v>
      </c>
      <c r="AD549" s="331">
        <f t="shared" si="280"/>
        <v>26.8752915956817</v>
      </c>
      <c r="AE549" s="332">
        <f t="shared" si="281"/>
        <v>-24.0550427157854</v>
      </c>
      <c r="AG549" s="331">
        <f t="shared" si="282"/>
        <v>-8.44777898734936</v>
      </c>
      <c r="AH549" s="332">
        <f t="shared" si="283"/>
        <v>-50.1743440181791</v>
      </c>
      <c r="AJ549" s="22">
        <f t="shared" si="284"/>
        <v>0</v>
      </c>
      <c r="AK549" s="22">
        <f t="shared" si="296"/>
        <v>0</v>
      </c>
      <c r="AM549" s="22" t="str">
        <f t="shared" si="288"/>
        <v>0.957179722932345+0.999082791300025i</v>
      </c>
      <c r="AN549" s="22" t="str">
        <f t="shared" si="289"/>
        <v>1.527962953212i</v>
      </c>
      <c r="AO549" s="22" t="str">
        <f t="shared" si="290"/>
        <v>0.653865847466922-0.626441708498373i</v>
      </c>
      <c r="AP549" s="22" t="str">
        <f t="shared" si="291"/>
        <v>0.00713671284460915-0.166513798550004i</v>
      </c>
      <c r="AQ549" s="22" t="str">
        <f t="shared" si="292"/>
        <v>0.992863287155391+0.166513798550004i</v>
      </c>
      <c r="AR549" s="22" t="str">
        <f t="shared" si="293"/>
        <v>0.816035092988109-0.136857818031385i</v>
      </c>
    </row>
    <row r="550" spans="7:44">
      <c r="G550" s="257">
        <v>85609.5</v>
      </c>
      <c r="H550" s="256">
        <f t="shared" si="285"/>
        <v>85.6095</v>
      </c>
      <c r="I550" s="298">
        <f t="shared" si="265"/>
        <v>83.529957406067</v>
      </c>
      <c r="J550" s="299">
        <f t="shared" si="266"/>
        <v>1.55882428802295</v>
      </c>
      <c r="K550" s="299">
        <f t="shared" si="267"/>
        <v>1.00106939564079</v>
      </c>
      <c r="L550" s="300">
        <f t="shared" si="268"/>
        <v>0.0462264751799921</v>
      </c>
      <c r="M550" s="299">
        <f t="shared" si="269"/>
        <v>1.0450425595513</v>
      </c>
      <c r="N550" s="300">
        <f t="shared" si="270"/>
        <v>-0.294667268800803</v>
      </c>
      <c r="O550" s="298">
        <f t="shared" si="271"/>
        <v>154915.301362048</v>
      </c>
      <c r="P550" s="301">
        <f t="shared" si="272"/>
        <v>1.57078987165463</v>
      </c>
      <c r="Q550" s="320">
        <f t="shared" si="294"/>
        <v>64.5557879364256</v>
      </c>
      <c r="R550" s="321">
        <f t="shared" si="295"/>
        <v>1.55530522942362</v>
      </c>
      <c r="S550" s="298">
        <f t="shared" si="273"/>
        <v>1.08865768022608</v>
      </c>
      <c r="T550" s="301">
        <f t="shared" si="274"/>
        <v>0.406368329498682</v>
      </c>
      <c r="U550" s="316">
        <f t="shared" si="286"/>
        <v>0.747280155798846</v>
      </c>
      <c r="V550" s="317">
        <f t="shared" si="287"/>
        <v>-0.93440601354413</v>
      </c>
      <c r="W550" s="318">
        <f t="shared" si="275"/>
        <v>-12.0520653055901</v>
      </c>
      <c r="X550" s="319">
        <f t="shared" si="276"/>
        <v>-181.256577629555</v>
      </c>
      <c r="Y550" s="332">
        <f t="shared" si="277"/>
        <v>-1.25657762955512</v>
      </c>
      <c r="AA550" s="22">
        <f t="shared" si="278"/>
        <v>85609.5</v>
      </c>
      <c r="AB550" s="22">
        <f t="shared" si="279"/>
        <v>7328986490.25</v>
      </c>
      <c r="AD550" s="331">
        <f t="shared" si="280"/>
        <v>26.8674402546857</v>
      </c>
      <c r="AE550" s="332">
        <f t="shared" si="281"/>
        <v>-24.1703948827817</v>
      </c>
      <c r="AG550" s="331">
        <f t="shared" si="282"/>
        <v>-8.47090058904495</v>
      </c>
      <c r="AH550" s="332">
        <f t="shared" si="283"/>
        <v>-50.011140768977</v>
      </c>
      <c r="AJ550" s="22">
        <f t="shared" si="284"/>
        <v>0</v>
      </c>
      <c r="AK550" s="22">
        <f t="shared" si="296"/>
        <v>0</v>
      </c>
      <c r="AM550" s="22" t="str">
        <f t="shared" si="288"/>
        <v>0.966068336229626+0.999424155298327i</v>
      </c>
      <c r="AN550" s="22" t="str">
        <f t="shared" si="289"/>
        <v>1.536858148401i</v>
      </c>
      <c r="AO550" s="22" t="str">
        <f t="shared" si="290"/>
        <v>0.650303449500634-0.628599547222206i</v>
      </c>
      <c r="AP550" s="22" t="str">
        <f t="shared" si="291"/>
        <v>0.00565527729506228-0.166570692549721i</v>
      </c>
      <c r="AQ550" s="22" t="str">
        <f t="shared" si="292"/>
        <v>0.994344722704938+0.166570692549721i</v>
      </c>
      <c r="AR550" s="22" t="str">
        <f t="shared" si="293"/>
        <v>0.814870499626823-0.136505520029249i</v>
      </c>
    </row>
    <row r="551" spans="7:44">
      <c r="G551" s="257">
        <v>86105</v>
      </c>
      <c r="H551" s="256">
        <f t="shared" si="285"/>
        <v>86.105</v>
      </c>
      <c r="I551" s="298">
        <f t="shared" si="265"/>
        <v>84.0133521105908</v>
      </c>
      <c r="J551" s="299">
        <f t="shared" si="266"/>
        <v>1.55889317581431</v>
      </c>
      <c r="K551" s="299">
        <f t="shared" si="267"/>
        <v>1.00108180388679</v>
      </c>
      <c r="L551" s="300">
        <f t="shared" si="268"/>
        <v>0.0464936455125899</v>
      </c>
      <c r="M551" s="299">
        <f t="shared" si="269"/>
        <v>1.04555407867106</v>
      </c>
      <c r="N551" s="300">
        <f t="shared" si="270"/>
        <v>-0.296274965474681</v>
      </c>
      <c r="O551" s="298">
        <f t="shared" si="271"/>
        <v>155811.937037081</v>
      </c>
      <c r="P551" s="301">
        <f t="shared" si="272"/>
        <v>1.57078990880139</v>
      </c>
      <c r="Q551" s="320">
        <f t="shared" si="294"/>
        <v>64.9293415662248</v>
      </c>
      <c r="R551" s="321">
        <f t="shared" si="295"/>
        <v>1.55539436038444</v>
      </c>
      <c r="S551" s="298">
        <f t="shared" si="273"/>
        <v>1.0896445780615</v>
      </c>
      <c r="T551" s="301">
        <f t="shared" si="274"/>
        <v>0.408467934650826</v>
      </c>
      <c r="U551" s="316">
        <f t="shared" si="286"/>
        <v>0.745305294846174</v>
      </c>
      <c r="V551" s="317">
        <f t="shared" si="287"/>
        <v>-0.93865382566004</v>
      </c>
      <c r="W551" s="318">
        <f t="shared" si="275"/>
        <v>-12.1286955002245</v>
      </c>
      <c r="X551" s="319">
        <f t="shared" si="276"/>
        <v>-181.695906632185</v>
      </c>
      <c r="Y551" s="332">
        <f t="shared" si="277"/>
        <v>-1.69590663218511</v>
      </c>
      <c r="AA551" s="22">
        <f t="shared" si="278"/>
        <v>86105</v>
      </c>
      <c r="AB551" s="22">
        <f t="shared" si="279"/>
        <v>7414071025</v>
      </c>
      <c r="AD551" s="331">
        <f t="shared" si="280"/>
        <v>26.8595578666479</v>
      </c>
      <c r="AE551" s="332">
        <f t="shared" si="281"/>
        <v>-24.2855886972486</v>
      </c>
      <c r="AG551" s="331">
        <f t="shared" si="282"/>
        <v>-8.49367867434265</v>
      </c>
      <c r="AH551" s="332">
        <f t="shared" si="283"/>
        <v>-49.8485125437714</v>
      </c>
      <c r="AJ551" s="22">
        <f t="shared" si="284"/>
        <v>0</v>
      </c>
      <c r="AK551" s="22">
        <f t="shared" si="296"/>
        <v>0</v>
      </c>
      <c r="AM551" s="22" t="str">
        <f t="shared" si="288"/>
        <v>0.974959634335048+0.999686440884023i</v>
      </c>
      <c r="AN551" s="22" t="str">
        <f t="shared" si="289"/>
        <v>1.54575334359i</v>
      </c>
      <c r="AO551" s="22" t="str">
        <f t="shared" si="290"/>
        <v>0.646730893405192-0.630734287833214i</v>
      </c>
      <c r="AP551" s="22" t="str">
        <f t="shared" si="291"/>
        <v>0.00417339427749197-0.166614406814004i</v>
      </c>
      <c r="AQ551" s="22" t="str">
        <f t="shared" si="292"/>
        <v>0.995826605722508+0.166614406814004i</v>
      </c>
      <c r="AR551" s="22" t="str">
        <f t="shared" si="293"/>
        <v>0.813712327108352-0.136144380878472i</v>
      </c>
    </row>
    <row r="552" spans="7:44">
      <c r="G552" s="257">
        <v>86600.5</v>
      </c>
      <c r="H552" s="256">
        <f t="shared" si="285"/>
        <v>86.6005</v>
      </c>
      <c r="I552" s="298">
        <f t="shared" si="265"/>
        <v>84.4967472092406</v>
      </c>
      <c r="J552" s="299">
        <f t="shared" si="266"/>
        <v>1.55896127540948</v>
      </c>
      <c r="K552" s="299">
        <f t="shared" si="267"/>
        <v>1.00109428358822</v>
      </c>
      <c r="L552" s="300">
        <f t="shared" si="268"/>
        <v>0.0467608092031347</v>
      </c>
      <c r="M552" s="299">
        <f t="shared" si="269"/>
        <v>1.04606829757552</v>
      </c>
      <c r="N552" s="300">
        <f t="shared" si="270"/>
        <v>-0.297881085696015</v>
      </c>
      <c r="O552" s="298">
        <f t="shared" si="271"/>
        <v>156708.572712114</v>
      </c>
      <c r="P552" s="301">
        <f t="shared" si="272"/>
        <v>1.57078994552307</v>
      </c>
      <c r="Q552" s="320">
        <f t="shared" si="294"/>
        <v>65.3028957059427</v>
      </c>
      <c r="R552" s="321">
        <f t="shared" si="295"/>
        <v>1.55548247162887</v>
      </c>
      <c r="S552" s="298">
        <f t="shared" si="273"/>
        <v>1.09063627071706</v>
      </c>
      <c r="T552" s="301">
        <f t="shared" si="274"/>
        <v>0.410563730774251</v>
      </c>
      <c r="U552" s="316">
        <f t="shared" si="286"/>
        <v>0.743333006836506</v>
      </c>
      <c r="V552" s="317">
        <f t="shared" si="287"/>
        <v>-0.942889304676646</v>
      </c>
      <c r="W552" s="318">
        <f t="shared" si="275"/>
        <v>-12.2050789944109</v>
      </c>
      <c r="X552" s="319">
        <f t="shared" si="276"/>
        <v>-182.134234056265</v>
      </c>
      <c r="Y552" s="332">
        <f t="shared" si="277"/>
        <v>-2.13423405626517</v>
      </c>
      <c r="AA552" s="22">
        <f t="shared" si="278"/>
        <v>86600.5</v>
      </c>
      <c r="AB552" s="22">
        <f t="shared" si="279"/>
        <v>7499646600.25</v>
      </c>
      <c r="AD552" s="331">
        <f t="shared" si="280"/>
        <v>26.8516446220377</v>
      </c>
      <c r="AE552" s="332">
        <f t="shared" si="281"/>
        <v>-24.400622671536</v>
      </c>
      <c r="AG552" s="331">
        <f t="shared" si="282"/>
        <v>-8.51611736342285</v>
      </c>
      <c r="AH552" s="332">
        <f t="shared" si="283"/>
        <v>-49.6864558492739</v>
      </c>
      <c r="AJ552" s="22">
        <f t="shared" si="284"/>
        <v>0</v>
      </c>
      <c r="AK552" s="22">
        <f t="shared" si="296"/>
        <v>0</v>
      </c>
      <c r="AM552" s="22" t="str">
        <f t="shared" si="288"/>
        <v>0.983852913733755+0.999869627304035i</v>
      </c>
      <c r="AN552" s="22" t="str">
        <f t="shared" si="289"/>
        <v>1.554648538779i</v>
      </c>
      <c r="AO552" s="22" t="str">
        <f t="shared" si="290"/>
        <v>0.643148340196119-0.632845874287741i</v>
      </c>
      <c r="AP552" s="22" t="str">
        <f t="shared" si="291"/>
        <v>0.0026911810443741-0.166644937884006i</v>
      </c>
      <c r="AQ552" s="22" t="str">
        <f t="shared" si="292"/>
        <v>0.997308818955626+0.166644937884006i</v>
      </c>
      <c r="AR552" s="22" t="str">
        <f t="shared" si="293"/>
        <v>0.812560613478649-0.135774506738984i</v>
      </c>
    </row>
    <row r="553" spans="7:44">
      <c r="G553" s="257">
        <v>87096</v>
      </c>
      <c r="H553" s="256">
        <f t="shared" si="285"/>
        <v>87.096</v>
      </c>
      <c r="I553" s="298">
        <f t="shared" si="265"/>
        <v>84.9801426952906</v>
      </c>
      <c r="J553" s="299">
        <f t="shared" si="266"/>
        <v>1.5590286002584</v>
      </c>
      <c r="K553" s="299">
        <f t="shared" si="267"/>
        <v>1.00110683474241</v>
      </c>
      <c r="L553" s="300">
        <f t="shared" si="268"/>
        <v>0.0470279662137372</v>
      </c>
      <c r="M553" s="299">
        <f t="shared" si="269"/>
        <v>1.04658521228521</v>
      </c>
      <c r="N553" s="300">
        <f t="shared" si="270"/>
        <v>-0.299485623508242</v>
      </c>
      <c r="O553" s="298">
        <f t="shared" si="271"/>
        <v>157605.208387147</v>
      </c>
      <c r="P553" s="301">
        <f t="shared" si="272"/>
        <v>1.57078998182692</v>
      </c>
      <c r="Q553" s="320">
        <f t="shared" si="294"/>
        <v>65.6764503468783</v>
      </c>
      <c r="R553" s="321">
        <f t="shared" si="295"/>
        <v>1.55556958055536</v>
      </c>
      <c r="S553" s="298">
        <f t="shared" si="273"/>
        <v>1.09163274512521</v>
      </c>
      <c r="T553" s="301">
        <f t="shared" si="274"/>
        <v>0.412655709864038</v>
      </c>
      <c r="U553" s="316">
        <f t="shared" si="286"/>
        <v>0.741363359510949</v>
      </c>
      <c r="V553" s="317">
        <f t="shared" si="287"/>
        <v>-0.947112519761675</v>
      </c>
      <c r="W553" s="318">
        <f t="shared" si="275"/>
        <v>-12.2812182320301</v>
      </c>
      <c r="X553" s="319">
        <f t="shared" si="276"/>
        <v>-182.571562841233</v>
      </c>
      <c r="Y553" s="332">
        <f t="shared" si="277"/>
        <v>-2.57156284123343</v>
      </c>
      <c r="AA553" s="22">
        <f t="shared" si="278"/>
        <v>87096</v>
      </c>
      <c r="AB553" s="22">
        <f t="shared" si="279"/>
        <v>7585713216</v>
      </c>
      <c r="AD553" s="331">
        <f t="shared" si="280"/>
        <v>26.8437007113701</v>
      </c>
      <c r="AE553" s="332">
        <f t="shared" si="281"/>
        <v>-24.5154953505534</v>
      </c>
      <c r="AG553" s="331">
        <f t="shared" si="282"/>
        <v>-8.53822070895655</v>
      </c>
      <c r="AH553" s="332">
        <f t="shared" si="283"/>
        <v>-49.5249671539757</v>
      </c>
      <c r="AJ553" s="22">
        <f t="shared" si="284"/>
        <v>0</v>
      </c>
      <c r="AK553" s="22">
        <f t="shared" si="296"/>
        <v>0</v>
      </c>
      <c r="AM553" s="22" t="str">
        <f t="shared" si="288"/>
        <v>0.992747470754124+0.999973700063925i</v>
      </c>
      <c r="AN553" s="22" t="str">
        <f t="shared" si="289"/>
        <v>1.563543733968i</v>
      </c>
      <c r="AO553" s="22" t="str">
        <f t="shared" si="290"/>
        <v>0.639555951227643-0.634934251717222i</v>
      </c>
      <c r="AP553" s="22" t="str">
        <f t="shared" si="291"/>
        <v>0.00120875487431264-0.166662283343987i</v>
      </c>
      <c r="AQ553" s="22" t="str">
        <f t="shared" si="292"/>
        <v>0.998791245125687+0.166662283343987i</v>
      </c>
      <c r="AR553" s="22" t="str">
        <f t="shared" si="293"/>
        <v>0.811415395282357-0.135396003096927i</v>
      </c>
    </row>
    <row r="554" spans="7:44">
      <c r="G554" s="257">
        <v>87603.25</v>
      </c>
      <c r="H554" s="256">
        <f t="shared" si="285"/>
        <v>87.60325</v>
      </c>
      <c r="I554" s="298">
        <f t="shared" si="265"/>
        <v>85.4750015363349</v>
      </c>
      <c r="J554" s="299">
        <f t="shared" si="266"/>
        <v>1.55909673281062</v>
      </c>
      <c r="K554" s="299">
        <f t="shared" si="267"/>
        <v>1.00111975753903</v>
      </c>
      <c r="L554" s="300">
        <f t="shared" si="268"/>
        <v>0.0473014514719695</v>
      </c>
      <c r="M554" s="299">
        <f t="shared" si="269"/>
        <v>1.04711717309592</v>
      </c>
      <c r="N554" s="300">
        <f t="shared" si="270"/>
        <v>-0.301126565087924</v>
      </c>
      <c r="O554" s="298">
        <f t="shared" si="271"/>
        <v>158523.106361235</v>
      </c>
      <c r="P554" s="301">
        <f t="shared" si="272"/>
        <v>1.57079001856625</v>
      </c>
      <c r="Q554" s="320">
        <f t="shared" si="294"/>
        <v>66.058863756511</v>
      </c>
      <c r="R554" s="321">
        <f t="shared" si="295"/>
        <v>1.55565773463156</v>
      </c>
      <c r="S554" s="298">
        <f t="shared" si="273"/>
        <v>1.0926577888759</v>
      </c>
      <c r="T554" s="301">
        <f t="shared" si="274"/>
        <v>0.414793334868515</v>
      </c>
      <c r="U554" s="316">
        <f t="shared" si="286"/>
        <v>0.739349809525018</v>
      </c>
      <c r="V554" s="317">
        <f t="shared" si="287"/>
        <v>-0.95142325072899</v>
      </c>
      <c r="W554" s="318">
        <f t="shared" si="275"/>
        <v>-12.3589124820668</v>
      </c>
      <c r="X554" s="319">
        <f t="shared" si="276"/>
        <v>-183.018230855798</v>
      </c>
      <c r="Y554" s="332">
        <f t="shared" si="277"/>
        <v>-3.01823085579809</v>
      </c>
      <c r="AA554" s="22">
        <f t="shared" si="278"/>
        <v>87603.25</v>
      </c>
      <c r="AB554" s="22">
        <f t="shared" si="279"/>
        <v>7674329410.5625</v>
      </c>
      <c r="AD554" s="331">
        <f t="shared" si="280"/>
        <v>26.8355368568674</v>
      </c>
      <c r="AE554" s="332">
        <f t="shared" si="281"/>
        <v>-24.6329234901215</v>
      </c>
      <c r="AG554" s="331">
        <f t="shared" si="282"/>
        <v>-8.5605049960484</v>
      </c>
      <c r="AH554" s="332">
        <f t="shared" si="283"/>
        <v>-49.3602336463211</v>
      </c>
      <c r="AJ554" s="22">
        <f t="shared" si="284"/>
        <v>0</v>
      </c>
      <c r="AK554" s="22">
        <f t="shared" si="296"/>
        <v>0</v>
      </c>
      <c r="AM554" s="22" t="str">
        <f t="shared" si="288"/>
        <v>1.00185353680727+0.999998282199177i</v>
      </c>
      <c r="AN554" s="22" t="str">
        <f t="shared" si="289"/>
        <v>1.5726498646635i</v>
      </c>
      <c r="AO554" s="22" t="str">
        <f t="shared" si="290"/>
        <v>0.635868354850332-0.637048054572298i</v>
      </c>
      <c r="AP554" s="22" t="str">
        <f t="shared" si="291"/>
        <v>-0.000308922801211177-0.16666638036653i</v>
      </c>
      <c r="AQ554" s="22" t="str">
        <f t="shared" si="292"/>
        <v>1.00030892280121+0.16666638036653i</v>
      </c>
      <c r="AR554" s="22" t="str">
        <f t="shared" si="293"/>
        <v>0.810249784955913-0.134999694367615i</v>
      </c>
    </row>
    <row r="555" spans="7:44">
      <c r="G555" s="257">
        <v>88110.5</v>
      </c>
      <c r="H555" s="256">
        <f t="shared" si="285"/>
        <v>88.1105</v>
      </c>
      <c r="I555" s="298">
        <f t="shared" si="265"/>
        <v>85.96986076959</v>
      </c>
      <c r="J555" s="299">
        <f t="shared" si="266"/>
        <v>1.55916408099471</v>
      </c>
      <c r="K555" s="299">
        <f t="shared" si="267"/>
        <v>1.00113275521165</v>
      </c>
      <c r="L555" s="300">
        <f t="shared" si="268"/>
        <v>0.0475749296493563</v>
      </c>
      <c r="M555" s="299">
        <f t="shared" si="269"/>
        <v>1.04765195060004</v>
      </c>
      <c r="N555" s="300">
        <f t="shared" si="270"/>
        <v>-0.302765835829477</v>
      </c>
      <c r="O555" s="298">
        <f t="shared" si="271"/>
        <v>159441.004335323</v>
      </c>
      <c r="P555" s="301">
        <f t="shared" si="272"/>
        <v>1.57079005488257</v>
      </c>
      <c r="Q555" s="320">
        <f t="shared" si="294"/>
        <v>66.4412776735871</v>
      </c>
      <c r="R555" s="321">
        <f t="shared" si="295"/>
        <v>1.55574487393728</v>
      </c>
      <c r="S555" s="298">
        <f t="shared" si="273"/>
        <v>1.09368781608929</v>
      </c>
      <c r="T555" s="301">
        <f t="shared" si="274"/>
        <v>0.416926943207828</v>
      </c>
      <c r="U555" s="316">
        <f t="shared" si="286"/>
        <v>0.737339165545804</v>
      </c>
      <c r="V555" s="317">
        <f t="shared" si="287"/>
        <v>-0.955721277132233</v>
      </c>
      <c r="W555" s="318">
        <f t="shared" si="275"/>
        <v>-12.4363557933705</v>
      </c>
      <c r="X555" s="319">
        <f t="shared" si="276"/>
        <v>-183.463858665073</v>
      </c>
      <c r="Y555" s="332">
        <f t="shared" si="277"/>
        <v>-3.46385866507319</v>
      </c>
      <c r="AA555" s="22">
        <f t="shared" si="278"/>
        <v>88110.5</v>
      </c>
      <c r="AB555" s="22">
        <f t="shared" si="279"/>
        <v>7763460210.25</v>
      </c>
      <c r="AD555" s="331">
        <f t="shared" si="280"/>
        <v>26.8273412687971</v>
      </c>
      <c r="AE555" s="332">
        <f t="shared" si="281"/>
        <v>-24.750179609556</v>
      </c>
      <c r="AG555" s="331">
        <f t="shared" si="282"/>
        <v>-8.5824462308006</v>
      </c>
      <c r="AH555" s="332">
        <f t="shared" si="283"/>
        <v>-49.1960877893153</v>
      </c>
      <c r="AJ555" s="22">
        <f t="shared" si="284"/>
        <v>0</v>
      </c>
      <c r="AK555" s="22">
        <f t="shared" si="296"/>
        <v>0</v>
      </c>
      <c r="AM555" s="22" t="str">
        <f t="shared" si="288"/>
        <v>1.0109594491632+0.999939943433624i</v>
      </c>
      <c r="AN555" s="22" t="str">
        <f t="shared" si="289"/>
        <v>1.581755995359i</v>
      </c>
      <c r="AO555" s="22" t="str">
        <f t="shared" si="290"/>
        <v>0.632170793957809-0.63913742203566i</v>
      </c>
      <c r="AP555" s="22" t="str">
        <f t="shared" si="291"/>
        <v>-0.001826574860534-0.166656657238937i</v>
      </c>
      <c r="AQ555" s="22" t="str">
        <f t="shared" si="292"/>
        <v>1.00182657486053+0.166656657238937i</v>
      </c>
      <c r="AR555" s="22" t="str">
        <f t="shared" si="293"/>
        <v>0.809091054582287-0.134594563512534i</v>
      </c>
    </row>
    <row r="556" spans="7:44">
      <c r="G556" s="257">
        <v>88617.75</v>
      </c>
      <c r="H556" s="256">
        <f t="shared" si="285"/>
        <v>88.61775</v>
      </c>
      <c r="I556" s="298">
        <f t="shared" si="265"/>
        <v>86.4647203883219</v>
      </c>
      <c r="J556" s="299">
        <f t="shared" si="266"/>
        <v>1.55923065827748</v>
      </c>
      <c r="K556" s="299">
        <f t="shared" si="267"/>
        <v>1.00114582775735</v>
      </c>
      <c r="L556" s="300">
        <f t="shared" si="268"/>
        <v>0.0478484007052671</v>
      </c>
      <c r="M556" s="299">
        <f t="shared" si="269"/>
        <v>1.0481895404864</v>
      </c>
      <c r="N556" s="300">
        <f t="shared" si="270"/>
        <v>-0.304403429486885</v>
      </c>
      <c r="O556" s="298">
        <f t="shared" si="271"/>
        <v>160358.902309412</v>
      </c>
      <c r="P556" s="301">
        <f t="shared" si="272"/>
        <v>1.57079009078314</v>
      </c>
      <c r="Q556" s="320">
        <f t="shared" si="294"/>
        <v>66.8236920893947</v>
      </c>
      <c r="R556" s="321">
        <f t="shared" si="295"/>
        <v>1.555831015893</v>
      </c>
      <c r="S556" s="298">
        <f t="shared" si="273"/>
        <v>1.09472281269853</v>
      </c>
      <c r="T556" s="301">
        <f t="shared" si="274"/>
        <v>0.419056526821736</v>
      </c>
      <c r="U556" s="316">
        <f t="shared" si="286"/>
        <v>0.735331495149237</v>
      </c>
      <c r="V556" s="317">
        <f t="shared" si="287"/>
        <v>-0.960006674371198</v>
      </c>
      <c r="W556" s="318">
        <f t="shared" si="275"/>
        <v>-12.5135506448485</v>
      </c>
      <c r="X556" s="319">
        <f t="shared" si="276"/>
        <v>-183.908449545676</v>
      </c>
      <c r="Y556" s="332">
        <f t="shared" si="277"/>
        <v>-3.90844954567581</v>
      </c>
      <c r="AA556" s="22">
        <f t="shared" si="278"/>
        <v>88617.75</v>
      </c>
      <c r="AB556" s="22">
        <f t="shared" si="279"/>
        <v>7853105615.0625</v>
      </c>
      <c r="AD556" s="331">
        <f t="shared" si="280"/>
        <v>26.8191141515961</v>
      </c>
      <c r="AE556" s="332">
        <f t="shared" si="281"/>
        <v>-24.8672622493364</v>
      </c>
      <c r="AG556" s="331">
        <f t="shared" si="282"/>
        <v>-8.60404854994998</v>
      </c>
      <c r="AH556" s="332">
        <f t="shared" si="283"/>
        <v>-49.032525678917</v>
      </c>
      <c r="AJ556" s="22">
        <f t="shared" si="284"/>
        <v>0</v>
      </c>
      <c r="AK556" s="22">
        <f t="shared" si="296"/>
        <v>0</v>
      </c>
      <c r="AM556" s="22" t="str">
        <f t="shared" si="288"/>
        <v>1.02006445275018+0.999798688604779i</v>
      </c>
      <c r="AN556" s="22" t="str">
        <f t="shared" si="289"/>
        <v>1.5908621260545i</v>
      </c>
      <c r="AO556" s="22" t="str">
        <f t="shared" si="290"/>
        <v>0.628463442702217-0.641202299082978i</v>
      </c>
      <c r="AP556" s="22" t="str">
        <f t="shared" si="291"/>
        <v>-0.00334407545836385-0.166633114767463i</v>
      </c>
      <c r="AQ556" s="22" t="str">
        <f t="shared" si="292"/>
        <v>1.00334407545836+0.166633114767463i</v>
      </c>
      <c r="AR556" s="22" t="str">
        <f t="shared" si="293"/>
        <v>0.807939238667416-0.134180721424503i</v>
      </c>
    </row>
    <row r="557" spans="7:44">
      <c r="G557" s="257">
        <v>89125</v>
      </c>
      <c r="H557" s="256">
        <f t="shared" si="285"/>
        <v>89.125</v>
      </c>
      <c r="I557" s="298">
        <f t="shared" si="265"/>
        <v>86.9595803859497</v>
      </c>
      <c r="J557" s="299">
        <f t="shared" si="266"/>
        <v>1.55929647781921</v>
      </c>
      <c r="K557" s="299">
        <f t="shared" si="267"/>
        <v>1.00115897517321</v>
      </c>
      <c r="L557" s="300">
        <f t="shared" si="268"/>
        <v>0.0481218645990778</v>
      </c>
      <c r="M557" s="299">
        <f t="shared" si="269"/>
        <v>1.04872993843002</v>
      </c>
      <c r="N557" s="300">
        <f t="shared" si="270"/>
        <v>-0.306039339862884</v>
      </c>
      <c r="O557" s="298">
        <f t="shared" si="271"/>
        <v>161276.8002835</v>
      </c>
      <c r="P557" s="301">
        <f t="shared" si="272"/>
        <v>1.57079012627506</v>
      </c>
      <c r="Q557" s="320">
        <f t="shared" si="294"/>
        <v>67.2061069954202</v>
      </c>
      <c r="R557" s="321">
        <f t="shared" si="295"/>
        <v>1.55591617752272</v>
      </c>
      <c r="S557" s="298">
        <f t="shared" si="273"/>
        <v>1.09576276462218</v>
      </c>
      <c r="T557" s="301">
        <f t="shared" si="274"/>
        <v>0.421182077826398</v>
      </c>
      <c r="U557" s="316">
        <f t="shared" si="286"/>
        <v>0.733326864234264</v>
      </c>
      <c r="V557" s="317">
        <f t="shared" si="287"/>
        <v>-0.964279518214542</v>
      </c>
      <c r="W557" s="318">
        <f t="shared" si="275"/>
        <v>-12.5904994697747</v>
      </c>
      <c r="X557" s="319">
        <f t="shared" si="276"/>
        <v>-184.352006813402</v>
      </c>
      <c r="Y557" s="332">
        <f t="shared" si="277"/>
        <v>-4.35200681340191</v>
      </c>
      <c r="AA557" s="22">
        <f t="shared" si="278"/>
        <v>89125</v>
      </c>
      <c r="AB557" s="22">
        <f t="shared" si="279"/>
        <v>7943265625</v>
      </c>
      <c r="AD557" s="331">
        <f t="shared" si="280"/>
        <v>26.8108557096824</v>
      </c>
      <c r="AE557" s="332">
        <f t="shared" si="281"/>
        <v>-24.9841699827545</v>
      </c>
      <c r="AG557" s="331">
        <f t="shared" si="282"/>
        <v>-8.62531602185585</v>
      </c>
      <c r="AH557" s="332">
        <f t="shared" si="283"/>
        <v>-48.8695433751812</v>
      </c>
      <c r="AJ557" s="22">
        <f t="shared" si="284"/>
        <v>0</v>
      </c>
      <c r="AK557" s="22">
        <f t="shared" si="296"/>
        <v>0</v>
      </c>
      <c r="AM557" s="22" t="str">
        <f t="shared" si="288"/>
        <v>1.02916779257181+0.999574529425639i</v>
      </c>
      <c r="AN557" s="22" t="str">
        <f t="shared" si="289"/>
        <v>1.59996825675i</v>
      </c>
      <c r="AO557" s="22" t="str">
        <f t="shared" si="290"/>
        <v>0.62474647556825-0.64324263198968i</v>
      </c>
      <c r="AP557" s="22" t="str">
        <f t="shared" si="291"/>
        <v>-0.00486129876196802-0.166595754904273i</v>
      </c>
      <c r="AQ557" s="22" t="str">
        <f t="shared" si="292"/>
        <v>1.00486129876197+0.166595754904273i</v>
      </c>
      <c r="AR557" s="22" t="str">
        <f t="shared" si="293"/>
        <v>0.806794370195092-0.133758278202938i</v>
      </c>
    </row>
    <row r="558" spans="7:44">
      <c r="G558" s="257">
        <v>89644</v>
      </c>
      <c r="H558" s="256">
        <f t="shared" si="285"/>
        <v>89.644</v>
      </c>
      <c r="I558" s="298">
        <f t="shared" si="265"/>
        <v>87.4659037655276</v>
      </c>
      <c r="J558" s="299">
        <f t="shared" si="266"/>
        <v>1.55936305115362</v>
      </c>
      <c r="K558" s="299">
        <f t="shared" si="267"/>
        <v>1.001172504626</v>
      </c>
      <c r="L558" s="300">
        <f t="shared" si="268"/>
        <v>0.0484016555881689</v>
      </c>
      <c r="M558" s="299">
        <f t="shared" si="269"/>
        <v>1.04928575607121</v>
      </c>
      <c r="N558" s="300">
        <f t="shared" si="270"/>
        <v>-0.307711396030327</v>
      </c>
      <c r="O558" s="298">
        <f t="shared" si="271"/>
        <v>162215.960556644</v>
      </c>
      <c r="P558" s="301">
        <f t="shared" si="272"/>
        <v>1.57079016217338</v>
      </c>
      <c r="Q558" s="320">
        <f t="shared" si="294"/>
        <v>67.5973807050216</v>
      </c>
      <c r="R558" s="321">
        <f t="shared" si="295"/>
        <v>1.55600231454717</v>
      </c>
      <c r="S558" s="298">
        <f t="shared" si="273"/>
        <v>1.09683192023775</v>
      </c>
      <c r="T558" s="301">
        <f t="shared" si="274"/>
        <v>0.423352683502521</v>
      </c>
      <c r="U558" s="316">
        <f t="shared" si="286"/>
        <v>0.731279010711692</v>
      </c>
      <c r="V558" s="317">
        <f t="shared" si="287"/>
        <v>-0.96863842517717</v>
      </c>
      <c r="W558" s="318">
        <f t="shared" si="275"/>
        <v>-12.6689785968493</v>
      </c>
      <c r="X558" s="319">
        <f t="shared" si="276"/>
        <v>-184.804772389031</v>
      </c>
      <c r="Y558" s="332">
        <f t="shared" si="277"/>
        <v>-4.80477238903083</v>
      </c>
      <c r="AA558" s="22">
        <f t="shared" si="278"/>
        <v>89644</v>
      </c>
      <c r="AB558" s="22">
        <f t="shared" si="279"/>
        <v>8036046736</v>
      </c>
      <c r="AD558" s="331">
        <f t="shared" si="280"/>
        <v>26.802373759867</v>
      </c>
      <c r="AE558" s="332">
        <f t="shared" si="281"/>
        <v>-25.103603295982</v>
      </c>
      <c r="AG558" s="331">
        <f t="shared" si="282"/>
        <v>-8.64673373732803</v>
      </c>
      <c r="AH558" s="332">
        <f t="shared" si="283"/>
        <v>-48.7033816925149</v>
      </c>
      <c r="AJ558" s="22">
        <f t="shared" si="284"/>
        <v>0</v>
      </c>
      <c r="AK558" s="22">
        <f t="shared" si="296"/>
        <v>0</v>
      </c>
      <c r="AM558" s="22" t="str">
        <f t="shared" si="288"/>
        <v>1.03847949390969+0.999259390022658i</v>
      </c>
      <c r="AN558" s="22" t="str">
        <f t="shared" si="289"/>
        <v>1.609285322952i</v>
      </c>
      <c r="AO558" s="22" t="str">
        <f t="shared" si="290"/>
        <v>0.62093363791429-0.645304769203233i</v>
      </c>
      <c r="AP558" s="22" t="str">
        <f t="shared" si="291"/>
        <v>-0.00641324898494822-0.166543231670443i</v>
      </c>
      <c r="AQ558" s="22" t="str">
        <f t="shared" si="292"/>
        <v>1.00641324898495+0.166543231670443i</v>
      </c>
      <c r="AR558" s="22" t="str">
        <f t="shared" si="293"/>
        <v>0.805630205393988-0.133317261147904i</v>
      </c>
    </row>
    <row r="559" spans="7:44">
      <c r="G559" s="257">
        <v>90163</v>
      </c>
      <c r="H559" s="256">
        <f t="shared" si="285"/>
        <v>90.163</v>
      </c>
      <c r="I559" s="298">
        <f t="shared" si="265"/>
        <v>87.9722275282929</v>
      </c>
      <c r="J559" s="299">
        <f t="shared" si="266"/>
        <v>1.55942885816327</v>
      </c>
      <c r="K559" s="299">
        <f t="shared" si="267"/>
        <v>1.00118611245146</v>
      </c>
      <c r="L559" s="300">
        <f t="shared" si="268"/>
        <v>0.0486814389934891</v>
      </c>
      <c r="M559" s="299">
        <f t="shared" si="269"/>
        <v>1.04984450416494</v>
      </c>
      <c r="N559" s="300">
        <f t="shared" si="270"/>
        <v>-0.309381677060368</v>
      </c>
      <c r="O559" s="298">
        <f t="shared" si="271"/>
        <v>163155.120829788</v>
      </c>
      <c r="P559" s="301">
        <f t="shared" si="272"/>
        <v>1.57079019765843</v>
      </c>
      <c r="Q559" s="320">
        <f t="shared" si="294"/>
        <v>67.9886549103949</v>
      </c>
      <c r="R559" s="321">
        <f t="shared" si="295"/>
        <v>1.55608746013637</v>
      </c>
      <c r="S559" s="298">
        <f t="shared" si="273"/>
        <v>1.09790623352968</v>
      </c>
      <c r="T559" s="301">
        <f t="shared" si="274"/>
        <v>0.425519051446021</v>
      </c>
      <c r="U559" s="316">
        <f t="shared" si="286"/>
        <v>0.72923447340537</v>
      </c>
      <c r="V559" s="317">
        <f t="shared" si="287"/>
        <v>-0.972984352019909</v>
      </c>
      <c r="W559" s="318">
        <f t="shared" si="275"/>
        <v>-12.7472051800222</v>
      </c>
      <c r="X559" s="319">
        <f t="shared" si="276"/>
        <v>-185.256463055217</v>
      </c>
      <c r="Y559" s="332">
        <f t="shared" si="277"/>
        <v>-5.25646305521659</v>
      </c>
      <c r="AA559" s="22">
        <f t="shared" si="278"/>
        <v>90163</v>
      </c>
      <c r="AB559" s="22">
        <f t="shared" si="279"/>
        <v>8129366569</v>
      </c>
      <c r="AD559" s="331">
        <f t="shared" si="280"/>
        <v>26.7938594501305</v>
      </c>
      <c r="AE559" s="332">
        <f t="shared" si="281"/>
        <v>-25.2228505863917</v>
      </c>
      <c r="AG559" s="331">
        <f t="shared" si="282"/>
        <v>-8.66780931634973</v>
      </c>
      <c r="AH559" s="332">
        <f t="shared" si="283"/>
        <v>-48.537818535399</v>
      </c>
      <c r="AJ559" s="22">
        <f t="shared" si="284"/>
        <v>0</v>
      </c>
      <c r="AK559" s="22">
        <f t="shared" si="296"/>
        <v>0</v>
      </c>
      <c r="AM559" s="22" t="str">
        <f t="shared" si="288"/>
        <v>1.0477878549545+0.998857507815228i</v>
      </c>
      <c r="AN559" s="22" t="str">
        <f t="shared" si="289"/>
        <v>1.618602389154i</v>
      </c>
      <c r="AO559" s="22" t="str">
        <f t="shared" si="290"/>
        <v>0.617111104313459-0.647341102407584i</v>
      </c>
      <c r="AP559" s="22" t="str">
        <f t="shared" si="291"/>
        <v>-0.00796464249241675-0.166476251302538i</v>
      </c>
      <c r="AQ559" s="22" t="str">
        <f t="shared" si="292"/>
        <v>1.00796464249242+0.166476251302538i</v>
      </c>
      <c r="AR559" s="22" t="str">
        <f t="shared" si="293"/>
        <v>0.80447337874071-0.13286747046432i</v>
      </c>
    </row>
    <row r="560" spans="7:44">
      <c r="G560" s="257">
        <v>90682</v>
      </c>
      <c r="H560" s="256">
        <f t="shared" si="285"/>
        <v>90.682</v>
      </c>
      <c r="I560" s="298">
        <f t="shared" si="265"/>
        <v>88.4785516676671</v>
      </c>
      <c r="J560" s="299">
        <f t="shared" si="266"/>
        <v>1.55949391200361</v>
      </c>
      <c r="K560" s="299">
        <f t="shared" si="267"/>
        <v>1.00119979864638</v>
      </c>
      <c r="L560" s="300">
        <f t="shared" si="268"/>
        <v>0.0489612147715463</v>
      </c>
      <c r="M560" s="299">
        <f t="shared" si="269"/>
        <v>1.0504061780348</v>
      </c>
      <c r="N560" s="300">
        <f t="shared" si="270"/>
        <v>-0.311050176473614</v>
      </c>
      <c r="O560" s="298">
        <f t="shared" si="271"/>
        <v>164094.281102932</v>
      </c>
      <c r="P560" s="301">
        <f t="shared" si="272"/>
        <v>1.5707902327373</v>
      </c>
      <c r="Q560" s="320">
        <f t="shared" si="294"/>
        <v>68.3799296030296</v>
      </c>
      <c r="R560" s="321">
        <f t="shared" si="295"/>
        <v>1.55617163130825</v>
      </c>
      <c r="S560" s="298">
        <f t="shared" si="273"/>
        <v>1.09898568937231</v>
      </c>
      <c r="T560" s="301">
        <f t="shared" si="274"/>
        <v>0.42768117378038</v>
      </c>
      <c r="U560" s="316">
        <f t="shared" si="286"/>
        <v>0.727193317591215</v>
      </c>
      <c r="V560" s="317">
        <f t="shared" si="287"/>
        <v>-0.977317380992097</v>
      </c>
      <c r="W560" s="318">
        <f t="shared" si="275"/>
        <v>-12.8251816852469</v>
      </c>
      <c r="X560" s="319">
        <f t="shared" si="276"/>
        <v>-185.70708248356</v>
      </c>
      <c r="Y560" s="332">
        <f t="shared" si="277"/>
        <v>-5.70708248356027</v>
      </c>
      <c r="AA560" s="22">
        <f t="shared" si="278"/>
        <v>90682</v>
      </c>
      <c r="AB560" s="22">
        <f t="shared" si="279"/>
        <v>8223225124</v>
      </c>
      <c r="AD560" s="331">
        <f t="shared" si="280"/>
        <v>26.7853129992559</v>
      </c>
      <c r="AE560" s="332">
        <f t="shared" si="281"/>
        <v>-25.3419104280427</v>
      </c>
      <c r="AG560" s="331">
        <f t="shared" si="282"/>
        <v>-8.68854690313482</v>
      </c>
      <c r="AH560" s="332">
        <f t="shared" si="283"/>
        <v>-48.3728495762952</v>
      </c>
      <c r="AJ560" s="22">
        <f t="shared" si="284"/>
        <v>0</v>
      </c>
      <c r="AK560" s="22">
        <f t="shared" si="296"/>
        <v>0</v>
      </c>
      <c r="AM560" s="22" t="str">
        <f t="shared" si="288"/>
        <v>1.05709206767446+0.998368917689576i</v>
      </c>
      <c r="AN560" s="22" t="str">
        <f t="shared" si="289"/>
        <v>1.627919455356i</v>
      </c>
      <c r="AO560" s="22" t="str">
        <f t="shared" si="290"/>
        <v>0.613279062674049-0.64935157829617i</v>
      </c>
      <c r="AP560" s="22" t="str">
        <f t="shared" si="291"/>
        <v>-0.0095153446124106-0.166394819614929i</v>
      </c>
      <c r="AQ560" s="22" t="str">
        <f t="shared" si="292"/>
        <v>1.00951534461241+0.166394819614929i</v>
      </c>
      <c r="AR560" s="22" t="str">
        <f t="shared" si="293"/>
        <v>0.803323920821946-0.132409021428838i</v>
      </c>
    </row>
    <row r="561" spans="7:44">
      <c r="G561" s="257">
        <v>91201</v>
      </c>
      <c r="H561" s="256">
        <f t="shared" si="285"/>
        <v>91.201</v>
      </c>
      <c r="I561" s="298">
        <f t="shared" si="265"/>
        <v>88.9848761772217</v>
      </c>
      <c r="J561" s="299">
        <f t="shared" si="266"/>
        <v>1.55955822553068</v>
      </c>
      <c r="K561" s="299">
        <f t="shared" si="267"/>
        <v>1.00121356320756</v>
      </c>
      <c r="L561" s="300">
        <f t="shared" si="268"/>
        <v>0.0492409828788556</v>
      </c>
      <c r="M561" s="299">
        <f t="shared" si="269"/>
        <v>1.05097077298987</v>
      </c>
      <c r="N561" s="300">
        <f t="shared" si="270"/>
        <v>-0.312716887844163</v>
      </c>
      <c r="O561" s="298">
        <f t="shared" si="271"/>
        <v>165033.441376076</v>
      </c>
      <c r="P561" s="301">
        <f t="shared" si="272"/>
        <v>1.57079026741692</v>
      </c>
      <c r="Q561" s="320">
        <f t="shared" si="294"/>
        <v>68.7712047746088</v>
      </c>
      <c r="R561" s="321">
        <f t="shared" si="295"/>
        <v>1.55625484469353</v>
      </c>
      <c r="S561" s="298">
        <f t="shared" si="273"/>
        <v>1.10007027262709</v>
      </c>
      <c r="T561" s="301">
        <f t="shared" si="274"/>
        <v>0.429839042818698</v>
      </c>
      <c r="U561" s="316">
        <f t="shared" si="286"/>
        <v>0.725155606802921</v>
      </c>
      <c r="V561" s="317">
        <f t="shared" si="287"/>
        <v>-0.981637594676593</v>
      </c>
      <c r="W561" s="318">
        <f t="shared" si="275"/>
        <v>-12.9029105337158</v>
      </c>
      <c r="X561" s="319">
        <f t="shared" si="276"/>
        <v>-186.156634383723</v>
      </c>
      <c r="Y561" s="332">
        <f t="shared" si="277"/>
        <v>-6.15663438372263</v>
      </c>
      <c r="AA561" s="22">
        <f t="shared" si="278"/>
        <v>91201</v>
      </c>
      <c r="AB561" s="22">
        <f t="shared" si="279"/>
        <v>8317622401</v>
      </c>
      <c r="AD561" s="331">
        <f t="shared" si="280"/>
        <v>26.7767346259325</v>
      </c>
      <c r="AE561" s="332">
        <f t="shared" si="281"/>
        <v>-25.4607814280368</v>
      </c>
      <c r="AG561" s="331">
        <f t="shared" si="282"/>
        <v>-8.70895057277627</v>
      </c>
      <c r="AH561" s="332">
        <f t="shared" si="283"/>
        <v>-48.2084704544655</v>
      </c>
      <c r="AJ561" s="22">
        <f t="shared" si="284"/>
        <v>0</v>
      </c>
      <c r="AK561" s="22">
        <f t="shared" si="296"/>
        <v>0</v>
      </c>
      <c r="AM561" s="22" t="str">
        <f t="shared" si="288"/>
        <v>1.0663913243979+0.997793662058791i</v>
      </c>
      <c r="AN561" s="22" t="str">
        <f t="shared" si="289"/>
        <v>1.637236521558i</v>
      </c>
      <c r="AO561" s="22" t="str">
        <f t="shared" si="290"/>
        <v>0.609437701224309-0.651336144995787i</v>
      </c>
      <c r="AP561" s="22" t="str">
        <f t="shared" si="291"/>
        <v>-0.0110652207329841-0.166298943676465i</v>
      </c>
      <c r="AQ561" s="22" t="str">
        <f t="shared" si="292"/>
        <v>1.01106522073298+0.166298943676465i</v>
      </c>
      <c r="AR561" s="22" t="str">
        <f t="shared" si="293"/>
        <v>0.802181860693721-0.131942028401566i</v>
      </c>
    </row>
    <row r="562" spans="7:44">
      <c r="G562" s="257">
        <v>91732</v>
      </c>
      <c r="H562" s="256">
        <f t="shared" si="285"/>
        <v>91.732</v>
      </c>
      <c r="I562" s="298">
        <f t="shared" si="265"/>
        <v>89.5029079884184</v>
      </c>
      <c r="J562" s="299">
        <f t="shared" si="266"/>
        <v>1.55962327299176</v>
      </c>
      <c r="K562" s="299">
        <f t="shared" si="267"/>
        <v>1.00122772712622</v>
      </c>
      <c r="L562" s="300">
        <f t="shared" si="268"/>
        <v>0.0495272116287437</v>
      </c>
      <c r="M562" s="299">
        <f t="shared" si="269"/>
        <v>1.05155144043164</v>
      </c>
      <c r="N562" s="300">
        <f t="shared" si="270"/>
        <v>-0.314420278714503</v>
      </c>
      <c r="O562" s="298">
        <f t="shared" si="271"/>
        <v>165994.316337617</v>
      </c>
      <c r="P562" s="301">
        <f t="shared" si="272"/>
        <v>1.57079030249225</v>
      </c>
      <c r="Q562" s="320">
        <f t="shared" si="294"/>
        <v>69.1715272581712</v>
      </c>
      <c r="R562" s="321">
        <f t="shared" si="295"/>
        <v>1.55633900777697</v>
      </c>
      <c r="S562" s="298">
        <f t="shared" si="273"/>
        <v>1.10118522376227</v>
      </c>
      <c r="T562" s="301">
        <f t="shared" si="274"/>
        <v>0.432042395017675</v>
      </c>
      <c r="U562" s="316">
        <f t="shared" si="286"/>
        <v>0.723074411200523</v>
      </c>
      <c r="V562" s="317">
        <f t="shared" si="287"/>
        <v>-0.986044520980592</v>
      </c>
      <c r="W562" s="318">
        <f t="shared" si="275"/>
        <v>-12.9821827482516</v>
      </c>
      <c r="X562" s="319">
        <f t="shared" si="276"/>
        <v>-186.615479617446</v>
      </c>
      <c r="Y562" s="332">
        <f t="shared" si="277"/>
        <v>-6.6154796174456</v>
      </c>
      <c r="AA562" s="22">
        <f t="shared" si="278"/>
        <v>91732</v>
      </c>
      <c r="AB562" s="22">
        <f t="shared" si="279"/>
        <v>8414759824</v>
      </c>
      <c r="AD562" s="331">
        <f t="shared" si="280"/>
        <v>26.7679250985587</v>
      </c>
      <c r="AE562" s="332">
        <f t="shared" si="281"/>
        <v>-25.5822040301534</v>
      </c>
      <c r="AG562" s="331">
        <f t="shared" si="282"/>
        <v>-8.72948459519069</v>
      </c>
      <c r="AH562" s="332">
        <f t="shared" si="283"/>
        <v>-48.0408965298053</v>
      </c>
      <c r="AJ562" s="22">
        <f t="shared" si="284"/>
        <v>0</v>
      </c>
      <c r="AK562" s="22">
        <f t="shared" si="296"/>
        <v>0</v>
      </c>
      <c r="AM562" s="22" t="str">
        <f t="shared" si="288"/>
        <v>1.0758996217419+0.997115463434118i</v>
      </c>
      <c r="AN562" s="22" t="str">
        <f t="shared" si="289"/>
        <v>1.646769011256i</v>
      </c>
      <c r="AO562" s="22" t="str">
        <f t="shared" si="290"/>
        <v>0.605498073268705-0.65333973033735i</v>
      </c>
      <c r="AP562" s="22" t="str">
        <f t="shared" si="291"/>
        <v>-0.0126499369569832-0.166185910572353i</v>
      </c>
      <c r="AQ562" s="22" t="str">
        <f t="shared" si="292"/>
        <v>1.01264993695698+0.166185910572353i</v>
      </c>
      <c r="AR562" s="22" t="str">
        <f t="shared" si="293"/>
        <v>0.801021079623185-0.131455513545826i</v>
      </c>
    </row>
    <row r="563" spans="7:44">
      <c r="G563" s="257">
        <v>92263</v>
      </c>
      <c r="H563" s="256">
        <f t="shared" si="285"/>
        <v>92.263</v>
      </c>
      <c r="I563" s="298">
        <f t="shared" si="265"/>
        <v>90.0209401739588</v>
      </c>
      <c r="J563" s="299">
        <f t="shared" si="266"/>
        <v>1.55968757181222</v>
      </c>
      <c r="K563" s="299">
        <f t="shared" si="267"/>
        <v>1.00124197307003</v>
      </c>
      <c r="L563" s="300">
        <f t="shared" si="268"/>
        <v>0.049813432256999</v>
      </c>
      <c r="M563" s="299">
        <f t="shared" si="269"/>
        <v>1.0521351556195</v>
      </c>
      <c r="N563" s="300">
        <f t="shared" si="270"/>
        <v>-0.316121784465193</v>
      </c>
      <c r="O563" s="298">
        <f t="shared" si="271"/>
        <v>166955.191299158</v>
      </c>
      <c r="P563" s="301">
        <f t="shared" si="272"/>
        <v>1.57079033716383</v>
      </c>
      <c r="Q563" s="320">
        <f t="shared" si="294"/>
        <v>69.5718502260663</v>
      </c>
      <c r="R563" s="321">
        <f t="shared" si="295"/>
        <v>1.55642220229641</v>
      </c>
      <c r="S563" s="298">
        <f t="shared" si="273"/>
        <v>1.10230551005867</v>
      </c>
      <c r="T563" s="301">
        <f t="shared" si="274"/>
        <v>0.434241279287197</v>
      </c>
      <c r="U563" s="316">
        <f t="shared" si="286"/>
        <v>0.720996950841719</v>
      </c>
      <c r="V563" s="317">
        <f t="shared" si="287"/>
        <v>-0.990438208418412</v>
      </c>
      <c r="W563" s="318">
        <f t="shared" si="275"/>
        <v>-13.0612007105698</v>
      </c>
      <c r="X563" s="319">
        <f t="shared" si="276"/>
        <v>-187.073215359993</v>
      </c>
      <c r="Y563" s="332">
        <f t="shared" si="277"/>
        <v>-7.07321535999256</v>
      </c>
      <c r="AA563" s="22">
        <f t="shared" si="278"/>
        <v>92263</v>
      </c>
      <c r="AB563" s="22">
        <f t="shared" si="279"/>
        <v>8512461169</v>
      </c>
      <c r="AD563" s="331">
        <f t="shared" si="280"/>
        <v>26.7590826182435</v>
      </c>
      <c r="AE563" s="332">
        <f t="shared" si="281"/>
        <v>-25.7034261102664</v>
      </c>
      <c r="AG563" s="331">
        <f t="shared" si="282"/>
        <v>-8.74967749509486</v>
      </c>
      <c r="AH563" s="332">
        <f t="shared" si="283"/>
        <v>-47.873930698291</v>
      </c>
      <c r="AJ563" s="22">
        <f t="shared" si="284"/>
        <v>0</v>
      </c>
      <c r="AK563" s="22">
        <f t="shared" si="296"/>
        <v>0</v>
      </c>
      <c r="AM563" s="22" t="str">
        <f t="shared" si="288"/>
        <v>1.08540102226398+0.996346659248811i</v>
      </c>
      <c r="AN563" s="22" t="str">
        <f t="shared" si="289"/>
        <v>1.656301500954i</v>
      </c>
      <c r="AO563" s="22" t="str">
        <f t="shared" si="290"/>
        <v>0.601549089145263-0.65531608927409i</v>
      </c>
      <c r="AP563" s="22" t="str">
        <f t="shared" si="291"/>
        <v>-0.0142335037106632-0.166057776541468i</v>
      </c>
      <c r="AQ563" s="22" t="str">
        <f t="shared" si="292"/>
        <v>1.01423350371066+0.166057776541468i</v>
      </c>
      <c r="AR563" s="22" t="str">
        <f t="shared" si="293"/>
        <v>0.79986809916579-0.130960294239909i</v>
      </c>
    </row>
    <row r="564" spans="7:44">
      <c r="G564" s="257">
        <v>92794</v>
      </c>
      <c r="H564" s="256">
        <f t="shared" si="285"/>
        <v>92.794</v>
      </c>
      <c r="I564" s="298">
        <f t="shared" si="265"/>
        <v>90.5389727274173</v>
      </c>
      <c r="J564" s="299">
        <f t="shared" si="266"/>
        <v>1.55975113484191</v>
      </c>
      <c r="K564" s="299">
        <f t="shared" si="267"/>
        <v>1.00125630103551</v>
      </c>
      <c r="L564" s="300">
        <f t="shared" si="268"/>
        <v>0.0500996447170735</v>
      </c>
      <c r="M564" s="299">
        <f t="shared" si="269"/>
        <v>1.0527219134837</v>
      </c>
      <c r="N564" s="300">
        <f t="shared" si="270"/>
        <v>-0.317821398388115</v>
      </c>
      <c r="O564" s="298">
        <f t="shared" si="271"/>
        <v>167916.066260699</v>
      </c>
      <c r="P564" s="301">
        <f t="shared" si="272"/>
        <v>1.57079037143861</v>
      </c>
      <c r="Q564" s="320">
        <f t="shared" si="294"/>
        <v>69.9721736699812</v>
      </c>
      <c r="R564" s="321">
        <f t="shared" si="295"/>
        <v>1.55650444487467</v>
      </c>
      <c r="S564" s="298">
        <f t="shared" si="273"/>
        <v>1.10343111526632</v>
      </c>
      <c r="T564" s="301">
        <f t="shared" si="274"/>
        <v>0.436435688004629</v>
      </c>
      <c r="U564" s="316">
        <f t="shared" si="286"/>
        <v>0.718923288265286</v>
      </c>
      <c r="V564" s="317">
        <f t="shared" si="287"/>
        <v>-0.99481874640921</v>
      </c>
      <c r="W564" s="318">
        <f t="shared" si="275"/>
        <v>-13.139966876128</v>
      </c>
      <c r="X564" s="319">
        <f t="shared" si="276"/>
        <v>-187.529845700502</v>
      </c>
      <c r="Y564" s="332">
        <f t="shared" si="277"/>
        <v>-7.52984570050208</v>
      </c>
      <c r="AA564" s="22">
        <f t="shared" si="278"/>
        <v>92794</v>
      </c>
      <c r="AB564" s="22">
        <f t="shared" si="279"/>
        <v>8610726436</v>
      </c>
      <c r="AD564" s="331">
        <f t="shared" si="280"/>
        <v>26.7502074187808</v>
      </c>
      <c r="AE564" s="332">
        <f t="shared" si="281"/>
        <v>-25.82444627961</v>
      </c>
      <c r="AG564" s="331">
        <f t="shared" si="282"/>
        <v>-8.7695334210595</v>
      </c>
      <c r="AH564" s="332">
        <f t="shared" si="283"/>
        <v>-47.7075681911445</v>
      </c>
      <c r="AJ564" s="22">
        <f t="shared" si="284"/>
        <v>0</v>
      </c>
      <c r="AK564" s="22">
        <f t="shared" si="296"/>
        <v>0</v>
      </c>
      <c r="AM564" s="22" t="str">
        <f t="shared" si="288"/>
        <v>1.094894662594+0.995487319362317i</v>
      </c>
      <c r="AN564" s="22" t="str">
        <f t="shared" si="289"/>
        <v>1.665833990652i</v>
      </c>
      <c r="AO564" s="22" t="str">
        <f t="shared" si="290"/>
        <v>0.597590951408482-0.657265170922262i</v>
      </c>
      <c r="AP564" s="22" t="str">
        <f t="shared" si="291"/>
        <v>-0.0158157770990001-0.165914553227053i</v>
      </c>
      <c r="AQ564" s="22" t="str">
        <f t="shared" si="292"/>
        <v>1.015815777099+0.165914553227053i</v>
      </c>
      <c r="AR564" s="22" t="str">
        <f t="shared" si="293"/>
        <v>0.798722945686506-0.130456489920079i</v>
      </c>
    </row>
    <row r="565" spans="7:44">
      <c r="G565" s="257">
        <v>93325</v>
      </c>
      <c r="H565" s="256">
        <f t="shared" si="285"/>
        <v>93.325</v>
      </c>
      <c r="I565" s="298">
        <f t="shared" si="265"/>
        <v>91.0570056425145</v>
      </c>
      <c r="J565" s="299">
        <f t="shared" si="266"/>
        <v>1.55981397463828</v>
      </c>
      <c r="K565" s="299">
        <f t="shared" si="267"/>
        <v>1.00127071101911</v>
      </c>
      <c r="L565" s="300">
        <f t="shared" si="268"/>
        <v>0.0503858489624272</v>
      </c>
      <c r="M565" s="299">
        <f t="shared" si="269"/>
        <v>1.05331170893938</v>
      </c>
      <c r="N565" s="300">
        <f t="shared" si="270"/>
        <v>-0.319519113833778</v>
      </c>
      <c r="O565" s="298">
        <f t="shared" si="271"/>
        <v>168876.941222241</v>
      </c>
      <c r="P565" s="301">
        <f t="shared" si="272"/>
        <v>1.57079040532336</v>
      </c>
      <c r="Q565" s="320">
        <f t="shared" si="294"/>
        <v>70.3724975817921</v>
      </c>
      <c r="R565" s="321">
        <f t="shared" si="295"/>
        <v>1.55658575175639</v>
      </c>
      <c r="S565" s="298">
        <f t="shared" si="273"/>
        <v>1.10456202312449</v>
      </c>
      <c r="T565" s="301">
        <f t="shared" si="274"/>
        <v>0.438625613750745</v>
      </c>
      <c r="U565" s="316">
        <f t="shared" si="286"/>
        <v>0.716853484207301</v>
      </c>
      <c r="V565" s="317">
        <f t="shared" si="287"/>
        <v>-0.999186224665065</v>
      </c>
      <c r="W565" s="318">
        <f t="shared" si="275"/>
        <v>-13.2184836565292</v>
      </c>
      <c r="X565" s="319">
        <f t="shared" si="276"/>
        <v>-187.985374764814</v>
      </c>
      <c r="Y565" s="332">
        <f t="shared" si="277"/>
        <v>-7.9853747648136</v>
      </c>
      <c r="AA565" s="22">
        <f t="shared" si="278"/>
        <v>93325</v>
      </c>
      <c r="AB565" s="22">
        <f t="shared" si="279"/>
        <v>8709555625</v>
      </c>
      <c r="AD565" s="331">
        <f t="shared" si="280"/>
        <v>26.7412997337862</v>
      </c>
      <c r="AE565" s="332">
        <f t="shared" si="281"/>
        <v>-25.9452631827331</v>
      </c>
      <c r="AG565" s="331">
        <f t="shared" si="282"/>
        <v>-8.78905645178331</v>
      </c>
      <c r="AH565" s="332">
        <f t="shared" si="283"/>
        <v>-47.5418042094101</v>
      </c>
      <c r="AJ565" s="22">
        <f t="shared" si="284"/>
        <v>0</v>
      </c>
      <c r="AK565" s="22">
        <f t="shared" si="296"/>
        <v>0</v>
      </c>
      <c r="AM565" s="22" t="str">
        <f t="shared" si="288"/>
        <v>1.10437968006697+0.994537521860848i</v>
      </c>
      <c r="AN565" s="22" t="str">
        <f t="shared" si="289"/>
        <v>1.67536648035i</v>
      </c>
      <c r="AO565" s="22" t="str">
        <f t="shared" si="290"/>
        <v>0.593623862913313-0.659186925977088i</v>
      </c>
      <c r="AP565" s="22" t="str">
        <f t="shared" si="291"/>
        <v>-0.0173966133444948-0.165756253643475i</v>
      </c>
      <c r="AQ565" s="22" t="str">
        <f t="shared" si="292"/>
        <v>1.01739661334449+0.165756253643475i</v>
      </c>
      <c r="AR565" s="22" t="str">
        <f t="shared" si="293"/>
        <v>0.797585644021283-0.129944218978859i</v>
      </c>
    </row>
    <row r="566" spans="7:44">
      <c r="G566" s="257">
        <v>93868.5</v>
      </c>
      <c r="H566" s="256">
        <f t="shared" si="285"/>
        <v>93.8685</v>
      </c>
      <c r="I566" s="298">
        <f t="shared" si="265"/>
        <v>91.5872336741878</v>
      </c>
      <c r="J566" s="299">
        <f t="shared" si="266"/>
        <v>1.55987755755077</v>
      </c>
      <c r="K566" s="299">
        <f t="shared" si="267"/>
        <v>1.00128554515407</v>
      </c>
      <c r="L566" s="300">
        <f t="shared" si="268"/>
        <v>0.0506787820402235</v>
      </c>
      <c r="M566" s="299">
        <f t="shared" si="269"/>
        <v>1.05391852883879</v>
      </c>
      <c r="N566" s="300">
        <f t="shared" si="270"/>
        <v>-0.321254821413773</v>
      </c>
      <c r="O566" s="298">
        <f t="shared" si="271"/>
        <v>169860.435650862</v>
      </c>
      <c r="P566" s="301">
        <f t="shared" si="272"/>
        <v>1.57079043960877</v>
      </c>
      <c r="Q566" s="320">
        <f t="shared" si="294"/>
        <v>70.7822457907641</v>
      </c>
      <c r="R566" s="321">
        <f t="shared" si="295"/>
        <v>1.55666802021495</v>
      </c>
      <c r="S566" s="298">
        <f t="shared" si="273"/>
        <v>1.10572502748567</v>
      </c>
      <c r="T566" s="301">
        <f t="shared" si="274"/>
        <v>0.440862441379554</v>
      </c>
      <c r="U566" s="316">
        <f t="shared" si="286"/>
        <v>0.714739013309582</v>
      </c>
      <c r="V566" s="317">
        <f t="shared" si="287"/>
        <v>-1.00364308491827</v>
      </c>
      <c r="W566" s="318">
        <f t="shared" si="275"/>
        <v>-13.298592972418</v>
      </c>
      <c r="X566" s="319">
        <f t="shared" si="276"/>
        <v>-188.450491081609</v>
      </c>
      <c r="Y566" s="332">
        <f t="shared" si="277"/>
        <v>-8.45049108160899</v>
      </c>
      <c r="AA566" s="22">
        <f t="shared" si="278"/>
        <v>93868.5</v>
      </c>
      <c r="AB566" s="22">
        <f t="shared" si="279"/>
        <v>8811295292.25</v>
      </c>
      <c r="AD566" s="331">
        <f t="shared" si="280"/>
        <v>26.7321489595262</v>
      </c>
      <c r="AE566" s="332">
        <f t="shared" si="281"/>
        <v>-26.0687122944498</v>
      </c>
      <c r="AG566" s="331">
        <f t="shared" si="282"/>
        <v>-8.80869850705766</v>
      </c>
      <c r="AH566" s="332">
        <f t="shared" si="283"/>
        <v>-47.3727528491286</v>
      </c>
      <c r="AJ566" s="22">
        <f t="shared" si="284"/>
        <v>0</v>
      </c>
      <c r="AK566" s="22">
        <f t="shared" si="296"/>
        <v>0</v>
      </c>
      <c r="AM566" s="22" t="str">
        <f t="shared" si="288"/>
        <v>1.1140781502174+0.993471778986688i</v>
      </c>
      <c r="AN566" s="22" t="str">
        <f t="shared" si="289"/>
        <v>1.685123369523i</v>
      </c>
      <c r="AO566" s="22" t="str">
        <f t="shared" si="290"/>
        <v>0.589554329940784-0.661125571199429i</v>
      </c>
      <c r="AP566" s="22" t="str">
        <f t="shared" si="291"/>
        <v>-0.0190130250362338-0.165578629831115i</v>
      </c>
      <c r="AQ566" s="22" t="str">
        <f t="shared" si="292"/>
        <v>1.01901302503623+0.165578629831115i</v>
      </c>
      <c r="AR566" s="22" t="str">
        <f t="shared" si="293"/>
        <v>0.796429725315694-0.129411243462619i</v>
      </c>
    </row>
    <row r="567" spans="7:44">
      <c r="G567" s="257">
        <v>94412</v>
      </c>
      <c r="H567" s="256">
        <f t="shared" si="285"/>
        <v>94.412</v>
      </c>
      <c r="I567" s="298">
        <f t="shared" si="265"/>
        <v>92.1174620718663</v>
      </c>
      <c r="J567" s="299">
        <f t="shared" si="266"/>
        <v>1.55994040849662</v>
      </c>
      <c r="K567" s="299">
        <f t="shared" si="267"/>
        <v>1.00130046520659</v>
      </c>
      <c r="L567" s="300">
        <f t="shared" si="268"/>
        <v>0.0509717064133539</v>
      </c>
      <c r="M567" s="299">
        <f t="shared" si="269"/>
        <v>1.05452852019855</v>
      </c>
      <c r="N567" s="300">
        <f t="shared" si="270"/>
        <v>-0.322988526173927</v>
      </c>
      <c r="O567" s="298">
        <f t="shared" si="271"/>
        <v>170843.930079483</v>
      </c>
      <c r="P567" s="301">
        <f t="shared" si="272"/>
        <v>1.57079047349944</v>
      </c>
      <c r="Q567" s="320">
        <f t="shared" si="294"/>
        <v>71.1919944732828</v>
      </c>
      <c r="R567" s="321">
        <f t="shared" si="295"/>
        <v>1.55674934167453</v>
      </c>
      <c r="S567" s="298">
        <f t="shared" si="273"/>
        <v>1.10689355258728</v>
      </c>
      <c r="T567" s="301">
        <f t="shared" si="274"/>
        <v>0.443094557409694</v>
      </c>
      <c r="U567" s="316">
        <f t="shared" si="286"/>
        <v>0.712628707817481</v>
      </c>
      <c r="V567" s="317">
        <f t="shared" si="287"/>
        <v>-1.00808645438377</v>
      </c>
      <c r="W567" s="318">
        <f t="shared" si="275"/>
        <v>-13.3784460005443</v>
      </c>
      <c r="X567" s="319">
        <f t="shared" si="276"/>
        <v>-188.914462521932</v>
      </c>
      <c r="Y567" s="332">
        <f t="shared" si="277"/>
        <v>-8.91446252193199</v>
      </c>
      <c r="AA567" s="22">
        <f t="shared" si="278"/>
        <v>94412</v>
      </c>
      <c r="AB567" s="22">
        <f t="shared" si="279"/>
        <v>8913625744</v>
      </c>
      <c r="AD567" s="331">
        <f t="shared" si="280"/>
        <v>26.7229646468811</v>
      </c>
      <c r="AE567" s="332">
        <f t="shared" si="281"/>
        <v>-26.1919456878755</v>
      </c>
      <c r="AG567" s="331">
        <f t="shared" si="282"/>
        <v>-8.82800023786877</v>
      </c>
      <c r="AH567" s="332">
        <f t="shared" si="283"/>
        <v>-47.2043182610629</v>
      </c>
      <c r="AJ567" s="22">
        <f t="shared" si="284"/>
        <v>0</v>
      </c>
      <c r="AK567" s="22">
        <f t="shared" si="296"/>
        <v>0</v>
      </c>
      <c r="AM567" s="22" t="str">
        <f t="shared" si="288"/>
        <v>1.12376576056929+0.99231146144278i</v>
      </c>
      <c r="AN567" s="22" t="str">
        <f t="shared" si="289"/>
        <v>1.694880258696i</v>
      </c>
      <c r="AO567" s="22" t="str">
        <f t="shared" si="290"/>
        <v>0.585475850787383-0.663035488674515i</v>
      </c>
      <c r="AP567" s="22" t="str">
        <f t="shared" si="291"/>
        <v>-0.0206276267615482-0.165385243573797i</v>
      </c>
      <c r="AQ567" s="22" t="str">
        <f t="shared" si="292"/>
        <v>1.02062762676155+0.165385243573797i</v>
      </c>
      <c r="AR567" s="22" t="str">
        <f t="shared" si="293"/>
        <v>0.795282080346766-0.128869645617338i</v>
      </c>
    </row>
    <row r="568" spans="7:44">
      <c r="G568" s="257">
        <v>94955.5</v>
      </c>
      <c r="H568" s="256">
        <f t="shared" si="285"/>
        <v>94.9555</v>
      </c>
      <c r="I568" s="298">
        <f t="shared" si="265"/>
        <v>92.6476908292658</v>
      </c>
      <c r="J568" s="299">
        <f t="shared" si="266"/>
        <v>1.56000254004261</v>
      </c>
      <c r="K568" s="299">
        <f t="shared" si="267"/>
        <v>1.00131547117281</v>
      </c>
      <c r="L568" s="300">
        <f t="shared" si="268"/>
        <v>0.0512646220319402</v>
      </c>
      <c r="M568" s="299">
        <f t="shared" si="269"/>
        <v>1.05514167751826</v>
      </c>
      <c r="N568" s="300">
        <f t="shared" si="270"/>
        <v>-0.324720221174772</v>
      </c>
      <c r="O568" s="298">
        <f t="shared" si="271"/>
        <v>171827.424508105</v>
      </c>
      <c r="P568" s="301">
        <f t="shared" si="272"/>
        <v>1.57079050700214</v>
      </c>
      <c r="Q568" s="320">
        <f t="shared" si="294"/>
        <v>71.6017436212185</v>
      </c>
      <c r="R568" s="321">
        <f t="shared" si="295"/>
        <v>1.55682973239197</v>
      </c>
      <c r="S568" s="298">
        <f t="shared" si="273"/>
        <v>1.10806758096344</v>
      </c>
      <c r="T568" s="301">
        <f t="shared" si="274"/>
        <v>0.445321954540088</v>
      </c>
      <c r="U568" s="316">
        <f t="shared" si="286"/>
        <v>0.710522627165297</v>
      </c>
      <c r="V568" s="317">
        <f t="shared" si="287"/>
        <v>-1.01251643010114</v>
      </c>
      <c r="W568" s="318">
        <f t="shared" si="275"/>
        <v>-13.458045191932</v>
      </c>
      <c r="X568" s="319">
        <f t="shared" si="276"/>
        <v>-189.377293621638</v>
      </c>
      <c r="Y568" s="332">
        <f t="shared" si="277"/>
        <v>-9.37729362163842</v>
      </c>
      <c r="AA568" s="22">
        <f t="shared" si="278"/>
        <v>94955.5</v>
      </c>
      <c r="AB568" s="22">
        <f t="shared" si="279"/>
        <v>9016546980.25</v>
      </c>
      <c r="AD568" s="331">
        <f t="shared" si="280"/>
        <v>26.7137470456581</v>
      </c>
      <c r="AE568" s="332">
        <f t="shared" si="281"/>
        <v>-26.3149620136292</v>
      </c>
      <c r="AG568" s="331">
        <f t="shared" si="282"/>
        <v>-8.84696579934224</v>
      </c>
      <c r="AH568" s="332">
        <f t="shared" si="283"/>
        <v>-47.0364952105341</v>
      </c>
      <c r="AJ568" s="22">
        <f t="shared" si="284"/>
        <v>0</v>
      </c>
      <c r="AK568" s="22">
        <f t="shared" si="296"/>
        <v>0</v>
      </c>
      <c r="AM568" s="22" t="str">
        <f t="shared" si="288"/>
        <v>1.1334415888996+0.991056679686863i</v>
      </c>
      <c r="AN568" s="22" t="str">
        <f t="shared" si="289"/>
        <v>1.704637147869i</v>
      </c>
      <c r="AO568" s="22" t="str">
        <f t="shared" si="290"/>
        <v>0.58138864386817-0.66491663068386i</v>
      </c>
      <c r="AP568" s="22" t="str">
        <f t="shared" si="291"/>
        <v>-0.0222402648166003-0.165176113281144i</v>
      </c>
      <c r="AQ568" s="22" t="str">
        <f t="shared" si="292"/>
        <v>1.0222402648166+0.165176113281144i</v>
      </c>
      <c r="AR568" s="22" t="str">
        <f t="shared" si="293"/>
        <v>0.794142731006935-0.128319548948439i</v>
      </c>
    </row>
    <row r="569" spans="7:44">
      <c r="G569" s="257">
        <v>95499</v>
      </c>
      <c r="H569" s="256">
        <f t="shared" si="285"/>
        <v>95.499</v>
      </c>
      <c r="I569" s="298">
        <f t="shared" si="265"/>
        <v>93.1779199402455</v>
      </c>
      <c r="J569" s="299">
        <f t="shared" si="266"/>
        <v>1.56006396446951</v>
      </c>
      <c r="K569" s="299">
        <f t="shared" si="267"/>
        <v>1.00133056304887</v>
      </c>
      <c r="L569" s="300">
        <f t="shared" si="268"/>
        <v>0.0515575288461129</v>
      </c>
      <c r="M569" s="299">
        <f t="shared" si="269"/>
        <v>1.05575799528182</v>
      </c>
      <c r="N569" s="300">
        <f t="shared" si="270"/>
        <v>-0.326449899541132</v>
      </c>
      <c r="O569" s="298">
        <f t="shared" si="271"/>
        <v>172810.918936727</v>
      </c>
      <c r="P569" s="301">
        <f t="shared" si="272"/>
        <v>1.57079054012351</v>
      </c>
      <c r="Q569" s="320">
        <f t="shared" si="294"/>
        <v>72.0114932266265</v>
      </c>
      <c r="R569" s="321">
        <f t="shared" si="295"/>
        <v>1.55690920825416</v>
      </c>
      <c r="S569" s="298">
        <f t="shared" si="273"/>
        <v>1.10924709514013</v>
      </c>
      <c r="T569" s="301">
        <f t="shared" si="274"/>
        <v>0.447544625687792</v>
      </c>
      <c r="U569" s="316">
        <f t="shared" si="286"/>
        <v>0.708420828926256</v>
      </c>
      <c r="V569" s="317">
        <f t="shared" si="287"/>
        <v>-1.01693310935749</v>
      </c>
      <c r="W569" s="318">
        <f t="shared" si="275"/>
        <v>-13.5373929546123</v>
      </c>
      <c r="X569" s="319">
        <f t="shared" si="276"/>
        <v>-189.83898895175</v>
      </c>
      <c r="Y569" s="332">
        <f t="shared" si="277"/>
        <v>-9.83898895175</v>
      </c>
      <c r="AA569" s="22">
        <f t="shared" si="278"/>
        <v>95499</v>
      </c>
      <c r="AB569" s="22">
        <f t="shared" si="279"/>
        <v>9120059001</v>
      </c>
      <c r="AD569" s="331">
        <f t="shared" si="280"/>
        <v>26.7044964053902</v>
      </c>
      <c r="AE569" s="332">
        <f t="shared" si="281"/>
        <v>-26.4377599560162</v>
      </c>
      <c r="AG569" s="331">
        <f t="shared" si="282"/>
        <v>-8.86559927584506</v>
      </c>
      <c r="AH569" s="332">
        <f t="shared" si="283"/>
        <v>-46.8692784359764</v>
      </c>
      <c r="AJ569" s="22">
        <f t="shared" si="284"/>
        <v>0</v>
      </c>
      <c r="AK569" s="22">
        <f t="shared" si="296"/>
        <v>0</v>
      </c>
      <c r="AM569" s="22" t="str">
        <f t="shared" si="288"/>
        <v>1.14310471410692+0.989707553169307i</v>
      </c>
      <c r="AN569" s="22" t="str">
        <f t="shared" si="289"/>
        <v>1.714394037042i</v>
      </c>
      <c r="AO569" s="22" t="str">
        <f t="shared" si="290"/>
        <v>0.577292927871436-0.666768951249517i</v>
      </c>
      <c r="AP569" s="22" t="str">
        <f t="shared" si="291"/>
        <v>-0.0238507856844867-0.164951258861551i</v>
      </c>
      <c r="AQ569" s="22" t="str">
        <f t="shared" si="292"/>
        <v>1.02385078568449+0.164951258861551i</v>
      </c>
      <c r="AR569" s="22" t="str">
        <f t="shared" si="293"/>
        <v>0.793011697669333-0.127761075785121i</v>
      </c>
    </row>
    <row r="570" spans="7:44">
      <c r="G570" s="257">
        <v>96611.5</v>
      </c>
      <c r="H570" s="256">
        <f t="shared" si="285"/>
        <v>96.6115</v>
      </c>
      <c r="I570" s="298">
        <f t="shared" si="265"/>
        <v>94.2632565945013</v>
      </c>
      <c r="J570" s="299">
        <f t="shared" si="266"/>
        <v>1.56018754035891</v>
      </c>
      <c r="K570" s="299">
        <f t="shared" si="267"/>
        <v>1.00136172276807</v>
      </c>
      <c r="L570" s="300">
        <f t="shared" si="268"/>
        <v>0.0521570574470924</v>
      </c>
      <c r="M570" s="299">
        <f t="shared" si="269"/>
        <v>1.05702937951054</v>
      </c>
      <c r="N570" s="300">
        <f t="shared" si="270"/>
        <v>-0.329984092291606</v>
      </c>
      <c r="O570" s="298">
        <f t="shared" si="271"/>
        <v>174824.051506814</v>
      </c>
      <c r="P570" s="301">
        <f t="shared" si="272"/>
        <v>1.57079060675814</v>
      </c>
      <c r="Q570" s="320">
        <f t="shared" si="294"/>
        <v>72.8502185140485</v>
      </c>
      <c r="R570" s="321">
        <f t="shared" si="295"/>
        <v>1.55706910088933</v>
      </c>
      <c r="S570" s="298">
        <f t="shared" si="273"/>
        <v>1.11167849743919</v>
      </c>
      <c r="T570" s="301">
        <f t="shared" si="274"/>
        <v>0.452079485410657</v>
      </c>
      <c r="U570" s="316">
        <f t="shared" si="286"/>
        <v>0.704132206778651</v>
      </c>
      <c r="V570" s="317">
        <f t="shared" si="287"/>
        <v>-1.0259326369938</v>
      </c>
      <c r="W570" s="318">
        <f t="shared" si="275"/>
        <v>-13.6990371829891</v>
      </c>
      <c r="X570" s="319">
        <f t="shared" si="276"/>
        <v>-190.780519118481</v>
      </c>
      <c r="Y570" s="332">
        <f t="shared" si="277"/>
        <v>-10.780519118481</v>
      </c>
      <c r="AA570" s="22">
        <f t="shared" si="278"/>
        <v>96611.5</v>
      </c>
      <c r="AB570" s="22">
        <f t="shared" si="279"/>
        <v>9333781932.25</v>
      </c>
      <c r="AD570" s="331">
        <f t="shared" si="280"/>
        <v>26.6854591214651</v>
      </c>
      <c r="AE570" s="332">
        <f t="shared" si="281"/>
        <v>-26.6884309238197</v>
      </c>
      <c r="AG570" s="331">
        <f t="shared" si="282"/>
        <v>-8.90272171900552</v>
      </c>
      <c r="AH570" s="332">
        <f t="shared" si="283"/>
        <v>-46.5288677313821</v>
      </c>
      <c r="AJ570" s="22">
        <f t="shared" si="284"/>
        <v>0</v>
      </c>
      <c r="AK570" s="22">
        <f t="shared" si="296"/>
        <v>0</v>
      </c>
      <c r="AM570" s="22" t="str">
        <f t="shared" si="288"/>
        <v>1.16284085863572+0.986652347465298i</v>
      </c>
      <c r="AN570" s="22" t="str">
        <f t="shared" si="289"/>
        <v>1.734365590317i</v>
      </c>
      <c r="AO570" s="22" t="str">
        <f t="shared" si="290"/>
        <v>0.568883719196113-0.670470438947754i</v>
      </c>
      <c r="AP570" s="22" t="str">
        <f t="shared" si="291"/>
        <v>-0.0271401431059527-0.164442057910883i</v>
      </c>
      <c r="AQ570" s="22" t="str">
        <f t="shared" si="292"/>
        <v>1.02714014310595+0.164442057910883i</v>
      </c>
      <c r="AR570" s="22" t="str">
        <f t="shared" si="293"/>
        <v>0.790722575508128-0.12659231403415i</v>
      </c>
    </row>
    <row r="571" spans="7:44">
      <c r="G571" s="257">
        <v>97724</v>
      </c>
      <c r="H571" s="256">
        <f t="shared" si="285"/>
        <v>97.724</v>
      </c>
      <c r="I571" s="298">
        <f t="shared" si="265"/>
        <v>95.3485946554803</v>
      </c>
      <c r="J571" s="299">
        <f t="shared" si="266"/>
        <v>1.56030830296029</v>
      </c>
      <c r="K571" s="299">
        <f t="shared" si="267"/>
        <v>1.00139324238878</v>
      </c>
      <c r="L571" s="300">
        <f t="shared" si="268"/>
        <v>0.052756548522293</v>
      </c>
      <c r="M571" s="299">
        <f t="shared" si="269"/>
        <v>1.05831393476616</v>
      </c>
      <c r="N571" s="300">
        <f t="shared" si="270"/>
        <v>-0.333509749559391</v>
      </c>
      <c r="O571" s="298">
        <f t="shared" si="271"/>
        <v>176837.184076901</v>
      </c>
      <c r="P571" s="301">
        <f t="shared" si="272"/>
        <v>1.57079067187563</v>
      </c>
      <c r="Q571" s="320">
        <f t="shared" si="294"/>
        <v>73.6889456215371</v>
      </c>
      <c r="R571" s="321">
        <f t="shared" si="295"/>
        <v>1.55722535373451</v>
      </c>
      <c r="S571" s="298">
        <f t="shared" si="273"/>
        <v>1.11413266129735</v>
      </c>
      <c r="T571" s="301">
        <f t="shared" si="274"/>
        <v>0.456594459253826</v>
      </c>
      <c r="U571" s="316">
        <f t="shared" si="286"/>
        <v>0.699862213646436</v>
      </c>
      <c r="V571" s="317">
        <f t="shared" si="287"/>
        <v>-1.03487770196226</v>
      </c>
      <c r="W571" s="318">
        <f t="shared" si="275"/>
        <v>-13.8596575962577</v>
      </c>
      <c r="X571" s="319">
        <f t="shared" si="276"/>
        <v>-191.717349798303</v>
      </c>
      <c r="Y571" s="332">
        <f t="shared" si="277"/>
        <v>-11.7173497983028</v>
      </c>
      <c r="AA571" s="22">
        <f t="shared" si="278"/>
        <v>97724</v>
      </c>
      <c r="AB571" s="22">
        <f t="shared" si="279"/>
        <v>9549980176</v>
      </c>
      <c r="AD571" s="331">
        <f t="shared" si="280"/>
        <v>26.6662865854084</v>
      </c>
      <c r="AE571" s="332">
        <f t="shared" si="281"/>
        <v>-26.9381709723215</v>
      </c>
      <c r="AG571" s="331">
        <f t="shared" si="282"/>
        <v>-8.93850306958518</v>
      </c>
      <c r="AH571" s="332">
        <f t="shared" si="283"/>
        <v>-46.1909294212039</v>
      </c>
      <c r="AJ571" s="22">
        <f t="shared" si="284"/>
        <v>0</v>
      </c>
      <c r="AK571" s="22">
        <f t="shared" si="296"/>
        <v>0</v>
      </c>
      <c r="AM571" s="22" t="str">
        <f t="shared" si="288"/>
        <v>1.1825120541397+0.983203615785512i</v>
      </c>
      <c r="AN571" s="22" t="str">
        <f t="shared" si="289"/>
        <v>1.754337143592i</v>
      </c>
      <c r="AO571" s="22" t="str">
        <f t="shared" si="290"/>
        <v>0.560441657053675-0.674050628443351i</v>
      </c>
      <c r="AP571" s="22" t="str">
        <f t="shared" si="291"/>
        <v>-0.0304186756899508-0.163867269297585i</v>
      </c>
      <c r="AQ571" s="22" t="str">
        <f t="shared" si="292"/>
        <v>1.03041867568995+0.163867269297585i</v>
      </c>
      <c r="AR571" s="22" t="str">
        <f t="shared" si="293"/>
        <v>0.788468517348159-0.125389985559458i</v>
      </c>
    </row>
    <row r="572" spans="7:44">
      <c r="G572" s="257">
        <v>98862</v>
      </c>
      <c r="H572" s="256">
        <f t="shared" si="285"/>
        <v>98.862</v>
      </c>
      <c r="I572" s="298">
        <f t="shared" si="265"/>
        <v>96.4588115341477</v>
      </c>
      <c r="J572" s="299">
        <f t="shared" si="266"/>
        <v>1.56042902185073</v>
      </c>
      <c r="K572" s="299">
        <f t="shared" si="267"/>
        <v>1.00142585681647</v>
      </c>
      <c r="L572" s="300">
        <f t="shared" si="268"/>
        <v>0.0533697414698708</v>
      </c>
      <c r="M572" s="299">
        <f t="shared" si="269"/>
        <v>1.05964151115264</v>
      </c>
      <c r="N572" s="300">
        <f t="shared" si="270"/>
        <v>-0.337107329611394</v>
      </c>
      <c r="O572" s="298">
        <f t="shared" si="271"/>
        <v>178896.460359832</v>
      </c>
      <c r="P572" s="301">
        <f t="shared" si="272"/>
        <v>1.57079073696937</v>
      </c>
      <c r="Q572" s="320">
        <f t="shared" si="294"/>
        <v>74.5468993042729</v>
      </c>
      <c r="R572" s="321">
        <f t="shared" si="295"/>
        <v>1.55738155028954</v>
      </c>
      <c r="S572" s="298">
        <f t="shared" si="273"/>
        <v>1.11666647155981</v>
      </c>
      <c r="T572" s="301">
        <f t="shared" si="274"/>
        <v>0.461192293012727</v>
      </c>
      <c r="U572" s="316">
        <f t="shared" si="286"/>
        <v>0.695514062885934</v>
      </c>
      <c r="V572" s="317">
        <f t="shared" si="287"/>
        <v>-1.04397232837294</v>
      </c>
      <c r="W572" s="318">
        <f t="shared" si="275"/>
        <v>-14.0229202665368</v>
      </c>
      <c r="X572" s="319">
        <f t="shared" si="276"/>
        <v>-192.670833772926</v>
      </c>
      <c r="Y572" s="332">
        <f t="shared" si="277"/>
        <v>-12.6708337729257</v>
      </c>
      <c r="AA572" s="22">
        <f t="shared" si="278"/>
        <v>98862</v>
      </c>
      <c r="AB572" s="22">
        <f t="shared" si="279"/>
        <v>9773695044</v>
      </c>
      <c r="AD572" s="331">
        <f t="shared" si="280"/>
        <v>26.6465368687864</v>
      </c>
      <c r="AE572" s="332">
        <f t="shared" si="281"/>
        <v>-27.19266176812</v>
      </c>
      <c r="AG572" s="331">
        <f t="shared" si="282"/>
        <v>-8.9737508032746</v>
      </c>
      <c r="AH572" s="332">
        <f t="shared" si="283"/>
        <v>-45.8477551796782</v>
      </c>
      <c r="AJ572" s="22">
        <f t="shared" si="284"/>
        <v>0</v>
      </c>
      <c r="AK572" s="22">
        <f t="shared" si="296"/>
        <v>0</v>
      </c>
      <c r="AM572" s="22" t="str">
        <f t="shared" si="288"/>
        <v>1.20255876128209+0.979270109943046i</v>
      </c>
      <c r="AN572" s="22" t="str">
        <f t="shared" si="289"/>
        <v>1.774766471796i</v>
      </c>
      <c r="AO572" s="22" t="str">
        <f t="shared" si="290"/>
        <v>0.551774064647536-0.677587040544632i</v>
      </c>
      <c r="AP572" s="22" t="str">
        <f t="shared" si="291"/>
        <v>-0.0337597935470148-0.163211684990508i</v>
      </c>
      <c r="AQ572" s="22" t="str">
        <f t="shared" si="292"/>
        <v>1.03375979354701+0.163211684990508i</v>
      </c>
      <c r="AR572" s="22" t="str">
        <f t="shared" si="293"/>
        <v>0.786199196348338-0.124126413481335i</v>
      </c>
    </row>
    <row r="573" spans="7:44">
      <c r="G573" s="257">
        <v>100000</v>
      </c>
      <c r="H573" s="256">
        <f t="shared" si="285"/>
        <v>100</v>
      </c>
      <c r="I573" s="298">
        <f t="shared" si="265"/>
        <v>97.569029786524</v>
      </c>
      <c r="J573" s="299">
        <f t="shared" si="266"/>
        <v>1.56054699347118</v>
      </c>
      <c r="K573" s="299">
        <f t="shared" si="267"/>
        <v>1.00145884776128</v>
      </c>
      <c r="L573" s="300">
        <f t="shared" si="268"/>
        <v>0.053982894247294</v>
      </c>
      <c r="M573" s="299">
        <f t="shared" si="269"/>
        <v>1.06098276761203</v>
      </c>
      <c r="N573" s="300">
        <f t="shared" si="270"/>
        <v>-0.340695860146885</v>
      </c>
      <c r="O573" s="298">
        <f t="shared" si="271"/>
        <v>180955.736642763</v>
      </c>
      <c r="P573" s="301">
        <f t="shared" si="272"/>
        <v>1.57079080058159</v>
      </c>
      <c r="Q573" s="320">
        <f t="shared" si="294"/>
        <v>75.4048547643691</v>
      </c>
      <c r="R573" s="321">
        <f t="shared" si="295"/>
        <v>1.55753419244345</v>
      </c>
      <c r="S573" s="298">
        <f t="shared" si="273"/>
        <v>1.1192237810601</v>
      </c>
      <c r="T573" s="301">
        <f t="shared" si="274"/>
        <v>0.465769212021121</v>
      </c>
      <c r="U573" s="316">
        <f t="shared" si="286"/>
        <v>0.691186270475414</v>
      </c>
      <c r="V573" s="317">
        <f t="shared" si="287"/>
        <v>-1.05301175219949</v>
      </c>
      <c r="W573" s="318">
        <f t="shared" si="275"/>
        <v>-14.1851513808136</v>
      </c>
      <c r="X573" s="319">
        <f t="shared" si="276"/>
        <v>-193.619486508321</v>
      </c>
      <c r="Y573" s="332">
        <f t="shared" si="277"/>
        <v>-13.6194865083206</v>
      </c>
      <c r="AA573" s="22">
        <f t="shared" si="278"/>
        <v>100000</v>
      </c>
      <c r="AB573" s="22">
        <f t="shared" si="279"/>
        <v>10000000000</v>
      </c>
      <c r="AD573" s="331">
        <f t="shared" si="280"/>
        <v>26.6266501240859</v>
      </c>
      <c r="AE573" s="332">
        <f t="shared" si="281"/>
        <v>-27.44615780428</v>
      </c>
      <c r="AG573" s="331">
        <f t="shared" si="282"/>
        <v>-9.00766266325213</v>
      </c>
      <c r="AH573" s="332">
        <f t="shared" si="283"/>
        <v>-45.5070702087461</v>
      </c>
      <c r="AJ573" s="22">
        <f t="shared" si="284"/>
        <v>0</v>
      </c>
      <c r="AK573" s="22">
        <f t="shared" si="296"/>
        <v>0</v>
      </c>
      <c r="AM573" s="22" t="str">
        <f t="shared" si="288"/>
        <v>1.22252093195643+0.974927912638283i</v>
      </c>
      <c r="AN573" s="22" t="str">
        <f t="shared" si="289"/>
        <v>1.7951958i</v>
      </c>
      <c r="AO573" s="22" t="str">
        <f t="shared" si="290"/>
        <v>0.543076088211817-0.680995873517769i</v>
      </c>
      <c r="AP573" s="22" t="str">
        <f t="shared" si="291"/>
        <v>-0.0370868219927392-0.162487985439714i</v>
      </c>
      <c r="AQ573" s="22" t="str">
        <f t="shared" si="292"/>
        <v>1.03708682199274+0.162487985439714i</v>
      </c>
      <c r="AR573" s="22" t="str">
        <f t="shared" si="293"/>
        <v>0.783966793506756-0.122829817356831i</v>
      </c>
    </row>
    <row r="574" spans="7:44">
      <c r="G574" s="257">
        <v>101165</v>
      </c>
      <c r="H574" s="256">
        <f t="shared" si="285"/>
        <v>101.165</v>
      </c>
      <c r="I574" s="298">
        <f t="shared" si="265"/>
        <v>98.7055902683338</v>
      </c>
      <c r="J574" s="299">
        <f t="shared" si="266"/>
        <v>1.56066501503502</v>
      </c>
      <c r="K574" s="299">
        <f t="shared" si="267"/>
        <v>1.0014930114278</v>
      </c>
      <c r="L574" s="300">
        <f t="shared" si="268"/>
        <v>0.0546105524979718</v>
      </c>
      <c r="M574" s="299">
        <f t="shared" si="269"/>
        <v>1.06236996318045</v>
      </c>
      <c r="N574" s="300">
        <f t="shared" si="270"/>
        <v>-0.344360096923297</v>
      </c>
      <c r="O574" s="298">
        <f t="shared" si="271"/>
        <v>183063.870974587</v>
      </c>
      <c r="P574" s="301">
        <f t="shared" si="272"/>
        <v>1.57079086422058</v>
      </c>
      <c r="Q574" s="320">
        <f t="shared" si="294"/>
        <v>76.2831677124781</v>
      </c>
      <c r="R574" s="321">
        <f t="shared" si="295"/>
        <v>1.55768689946761</v>
      </c>
      <c r="S574" s="298">
        <f t="shared" si="273"/>
        <v>1.12186593923299</v>
      </c>
      <c r="T574" s="301">
        <f t="shared" si="274"/>
        <v>0.470433007128949</v>
      </c>
      <c r="U574" s="316">
        <f t="shared" si="286"/>
        <v>0.686777293842361</v>
      </c>
      <c r="V574" s="317">
        <f t="shared" si="287"/>
        <v>-1.06220940758665</v>
      </c>
      <c r="W574" s="318">
        <f t="shared" si="275"/>
        <v>-14.3501829374209</v>
      </c>
      <c r="X574" s="319">
        <f t="shared" si="276"/>
        <v>-194.58568857016</v>
      </c>
      <c r="Y574" s="332">
        <f t="shared" si="277"/>
        <v>-14.5856885701602</v>
      </c>
      <c r="AA574" s="22">
        <f t="shared" si="278"/>
        <v>101165</v>
      </c>
      <c r="AB574" s="22">
        <f t="shared" si="279"/>
        <v>10234357225</v>
      </c>
      <c r="AD574" s="331">
        <f t="shared" si="280"/>
        <v>26.6061519675836</v>
      </c>
      <c r="AE574" s="332">
        <f t="shared" si="281"/>
        <v>-27.7046277590269</v>
      </c>
      <c r="AG574" s="331">
        <f t="shared" si="282"/>
        <v>-9.04102907424213</v>
      </c>
      <c r="AH574" s="332">
        <f t="shared" si="283"/>
        <v>-45.1608286444346</v>
      </c>
      <c r="AJ574" s="22">
        <f t="shared" si="284"/>
        <v>0</v>
      </c>
      <c r="AK574" s="22">
        <f t="shared" si="296"/>
        <v>0</v>
      </c>
      <c r="AM574" s="22" t="str">
        <f t="shared" si="288"/>
        <v>1.24286045506259+0.970061234854167i</v>
      </c>
      <c r="AN574" s="22" t="str">
        <f t="shared" si="289"/>
        <v>1.81610983107i</v>
      </c>
      <c r="AO574" s="22" t="str">
        <f t="shared" si="290"/>
        <v>0.534142384044381-0.684353134265196i</v>
      </c>
      <c r="AP574" s="22" t="str">
        <f t="shared" si="291"/>
        <v>-0.0404767425104317-0.161676872475694i</v>
      </c>
      <c r="AQ574" s="22" t="str">
        <f t="shared" si="292"/>
        <v>1.04047674251043+0.161676872475694i</v>
      </c>
      <c r="AR574" s="22" t="str">
        <f t="shared" si="293"/>
        <v>0.781719750846962-0.121469321999909i</v>
      </c>
    </row>
    <row r="575" spans="7:44">
      <c r="G575" s="257">
        <v>102330</v>
      </c>
      <c r="H575" s="256">
        <f t="shared" si="285"/>
        <v>102.33</v>
      </c>
      <c r="I575" s="298">
        <f t="shared" si="265"/>
        <v>99.8421520937206</v>
      </c>
      <c r="J575" s="299">
        <f t="shared" si="266"/>
        <v>1.56078034958295</v>
      </c>
      <c r="K575" s="299">
        <f t="shared" si="267"/>
        <v>1.00152756961037</v>
      </c>
      <c r="L575" s="300">
        <f t="shared" si="268"/>
        <v>0.0552381676805977</v>
      </c>
      <c r="M575" s="299">
        <f t="shared" si="269"/>
        <v>1.0637713854853</v>
      </c>
      <c r="N575" s="300">
        <f t="shared" si="270"/>
        <v>-0.348014728062766</v>
      </c>
      <c r="O575" s="298">
        <f t="shared" si="271"/>
        <v>185172.005306412</v>
      </c>
      <c r="P575" s="301">
        <f t="shared" si="272"/>
        <v>1.57079092641054</v>
      </c>
      <c r="Q575" s="320">
        <f t="shared" si="294"/>
        <v>77.1614823989702</v>
      </c>
      <c r="R575" s="321">
        <f t="shared" si="295"/>
        <v>1.55783613002434</v>
      </c>
      <c r="S575" s="298">
        <f t="shared" si="273"/>
        <v>1.12453238411956</v>
      </c>
      <c r="T575" s="301">
        <f t="shared" si="274"/>
        <v>0.475074785605183</v>
      </c>
      <c r="U575" s="316">
        <f t="shared" si="286"/>
        <v>0.682390448683713</v>
      </c>
      <c r="V575" s="317">
        <f t="shared" si="287"/>
        <v>-1.07135113416927</v>
      </c>
      <c r="W575" s="318">
        <f t="shared" si="275"/>
        <v>-14.5141732296244</v>
      </c>
      <c r="X575" s="319">
        <f t="shared" si="276"/>
        <v>-195.54692194185</v>
      </c>
      <c r="Y575" s="332">
        <f t="shared" si="277"/>
        <v>-15.5469219418497</v>
      </c>
      <c r="AA575" s="22">
        <f t="shared" si="278"/>
        <v>102330</v>
      </c>
      <c r="AB575" s="22">
        <f t="shared" si="279"/>
        <v>10471428900</v>
      </c>
      <c r="AD575" s="331">
        <f t="shared" si="280"/>
        <v>26.5855149906209</v>
      </c>
      <c r="AE575" s="332">
        <f t="shared" si="281"/>
        <v>-27.9620353575917</v>
      </c>
      <c r="AG575" s="331">
        <f t="shared" si="282"/>
        <v>-9.07306284225052</v>
      </c>
      <c r="AH575" s="332">
        <f t="shared" si="283"/>
        <v>-44.8170897150694</v>
      </c>
      <c r="AJ575" s="22">
        <f t="shared" si="284"/>
        <v>0</v>
      </c>
      <c r="AK575" s="22">
        <f t="shared" si="296"/>
        <v>0</v>
      </c>
      <c r="AM575" s="22" t="str">
        <f t="shared" si="288"/>
        <v>1.26309375568008+0.964770270956849i</v>
      </c>
      <c r="AN575" s="22" t="str">
        <f t="shared" si="289"/>
        <v>1.83702386214i</v>
      </c>
      <c r="AO575" s="22" t="str">
        <f t="shared" si="290"/>
        <v>0.525181131742601-0.687576128819942i</v>
      </c>
      <c r="AP575" s="22" t="str">
        <f t="shared" si="291"/>
        <v>-0.0438489592800127-0.160795045159475i</v>
      </c>
      <c r="AQ575" s="22" t="str">
        <f t="shared" si="292"/>
        <v>1.04384895928001+0.160795045159475i</v>
      </c>
      <c r="AR575" s="22" t="str">
        <f t="shared" si="293"/>
        <v>0.779511544657564-0.120076370159912i</v>
      </c>
    </row>
    <row r="576" spans="7:44">
      <c r="G576" s="257">
        <v>103520</v>
      </c>
      <c r="H576" s="256">
        <f t="shared" si="285"/>
        <v>103.52</v>
      </c>
      <c r="I576" s="298">
        <f t="shared" si="265"/>
        <v>101.003104997822</v>
      </c>
      <c r="J576" s="299">
        <f t="shared" si="266"/>
        <v>1.560895479311</v>
      </c>
      <c r="K576" s="299">
        <f t="shared" si="267"/>
        <v>1.00156327664828</v>
      </c>
      <c r="L576" s="300">
        <f t="shared" si="268"/>
        <v>0.0558792060264578</v>
      </c>
      <c r="M576" s="299">
        <f t="shared" si="269"/>
        <v>1.06521751079529</v>
      </c>
      <c r="N576" s="300">
        <f t="shared" si="270"/>
        <v>-0.351737805840728</v>
      </c>
      <c r="O576" s="298">
        <f t="shared" si="271"/>
        <v>187325.378572397</v>
      </c>
      <c r="P576" s="301">
        <f t="shared" si="272"/>
        <v>1.57079098848992</v>
      </c>
      <c r="Q576" s="320">
        <f t="shared" si="294"/>
        <v>78.0586467738315</v>
      </c>
      <c r="R576" s="321">
        <f t="shared" si="295"/>
        <v>1.55798509579793</v>
      </c>
      <c r="S576" s="298">
        <f t="shared" si="273"/>
        <v>1.12728094370997</v>
      </c>
      <c r="T576" s="301">
        <f t="shared" si="274"/>
        <v>0.479793397907933</v>
      </c>
      <c r="U576" s="316">
        <f t="shared" si="286"/>
        <v>0.677932682554862</v>
      </c>
      <c r="V576" s="317">
        <f t="shared" si="287"/>
        <v>-1.08063230761578</v>
      </c>
      <c r="W576" s="318">
        <f t="shared" si="275"/>
        <v>-14.6806275351668</v>
      </c>
      <c r="X576" s="319">
        <f t="shared" si="276"/>
        <v>-196.52370332652</v>
      </c>
      <c r="Y576" s="332">
        <f t="shared" si="277"/>
        <v>-16.5237033265198</v>
      </c>
      <c r="AA576" s="22">
        <f t="shared" si="278"/>
        <v>103520</v>
      </c>
      <c r="AB576" s="22">
        <f t="shared" si="279"/>
        <v>10716390400</v>
      </c>
      <c r="AD576" s="331">
        <f t="shared" si="280"/>
        <v>26.5642943415453</v>
      </c>
      <c r="AE576" s="332">
        <f t="shared" si="281"/>
        <v>-28.2238603747648</v>
      </c>
      <c r="AG576" s="331">
        <f t="shared" si="282"/>
        <v>-9.10444177600197</v>
      </c>
      <c r="AH576" s="332">
        <f t="shared" si="283"/>
        <v>-44.4685019465233</v>
      </c>
      <c r="AJ576" s="22">
        <f t="shared" si="284"/>
        <v>0</v>
      </c>
      <c r="AK576" s="22">
        <f t="shared" si="296"/>
        <v>0</v>
      </c>
      <c r="AM576" s="22" t="str">
        <f t="shared" si="288"/>
        <v>1.28364237954082+0.958930133288353i</v>
      </c>
      <c r="AN576" s="22" t="str">
        <f t="shared" si="289"/>
        <v>1.85838669216i</v>
      </c>
      <c r="AO576" s="22" t="str">
        <f t="shared" si="290"/>
        <v>0.516001399134961-0.690729429432603i</v>
      </c>
      <c r="AP576" s="22" t="str">
        <f t="shared" si="291"/>
        <v>-0.0472737299234708-0.159821688881392i</v>
      </c>
      <c r="AQ576" s="22" t="str">
        <f t="shared" si="292"/>
        <v>1.04727372992347+0.159821688881392i</v>
      </c>
      <c r="AR576" s="22" t="str">
        <f t="shared" si="293"/>
        <v>0.777296088317989-0.118621111220806i</v>
      </c>
    </row>
    <row r="577" spans="7:44">
      <c r="G577" s="257">
        <v>104710</v>
      </c>
      <c r="H577" s="256">
        <f t="shared" si="285"/>
        <v>104.71</v>
      </c>
      <c r="I577" s="298">
        <f t="shared" si="265"/>
        <v>102.164059210278</v>
      </c>
      <c r="J577" s="299">
        <f t="shared" si="266"/>
        <v>1.56100799245805</v>
      </c>
      <c r="K577" s="299">
        <f t="shared" si="267"/>
        <v>1.0015993952293</v>
      </c>
      <c r="L577" s="300">
        <f t="shared" si="268"/>
        <v>0.0565201984028589</v>
      </c>
      <c r="M577" s="299">
        <f t="shared" si="269"/>
        <v>1.06667836125875</v>
      </c>
      <c r="N577" s="300">
        <f t="shared" si="270"/>
        <v>-0.355450737217396</v>
      </c>
      <c r="O577" s="298">
        <f t="shared" si="271"/>
        <v>189478.751838383</v>
      </c>
      <c r="P577" s="301">
        <f t="shared" si="272"/>
        <v>1.57079104915827</v>
      </c>
      <c r="Q577" s="320">
        <f t="shared" si="294"/>
        <v>78.9558128415115</v>
      </c>
      <c r="R577" s="321">
        <f t="shared" si="295"/>
        <v>1.55813067621185</v>
      </c>
      <c r="S577" s="298">
        <f t="shared" si="273"/>
        <v>1.1300544801314</v>
      </c>
      <c r="T577" s="301">
        <f t="shared" si="274"/>
        <v>0.484488952187721</v>
      </c>
      <c r="U577" s="316">
        <f t="shared" si="286"/>
        <v>0.673498722316892</v>
      </c>
      <c r="V577" s="317">
        <f t="shared" si="287"/>
        <v>-1.08985718458236</v>
      </c>
      <c r="W577" s="318">
        <f t="shared" si="275"/>
        <v>-14.8460351846436</v>
      </c>
      <c r="X577" s="319">
        <f t="shared" si="276"/>
        <v>-197.495403287895</v>
      </c>
      <c r="Y577" s="332">
        <f t="shared" si="277"/>
        <v>-17.4954032878947</v>
      </c>
      <c r="AA577" s="22">
        <f t="shared" si="278"/>
        <v>104710</v>
      </c>
      <c r="AB577" s="22">
        <f t="shared" si="279"/>
        <v>10964184100</v>
      </c>
      <c r="AD577" s="331">
        <f t="shared" si="280"/>
        <v>26.5429339142442</v>
      </c>
      <c r="AE577" s="332">
        <f t="shared" si="281"/>
        <v>-28.4845581505121</v>
      </c>
      <c r="AG577" s="331">
        <f t="shared" si="282"/>
        <v>-9.13449718967045</v>
      </c>
      <c r="AH577" s="332">
        <f t="shared" si="283"/>
        <v>-44.122411097518</v>
      </c>
      <c r="AJ577" s="22">
        <f t="shared" si="284"/>
        <v>0</v>
      </c>
      <c r="AK577" s="22">
        <f t="shared" si="296"/>
        <v>0</v>
      </c>
      <c r="AM577" s="22" t="str">
        <f t="shared" si="288"/>
        <v>1.30406156230804+0.952652384832366i</v>
      </c>
      <c r="AN577" s="22" t="str">
        <f t="shared" si="289"/>
        <v>1.87974952218i</v>
      </c>
      <c r="AO577" s="22" t="str">
        <f t="shared" si="290"/>
        <v>0.50679751402599-0.693742196458006i</v>
      </c>
      <c r="AP577" s="22" t="str">
        <f t="shared" si="291"/>
        <v>-0.0506769270513397-0.158775397472061i</v>
      </c>
      <c r="AQ577" s="22" t="str">
        <f t="shared" si="292"/>
        <v>1.05067692705134+0.158775397472061i</v>
      </c>
      <c r="AR577" s="22" t="str">
        <f t="shared" si="293"/>
        <v>0.775121213083176-0.117134178478342i</v>
      </c>
    </row>
    <row r="578" spans="7:44">
      <c r="G578" s="257">
        <v>105930</v>
      </c>
      <c r="H578" s="256">
        <f t="shared" si="285"/>
        <v>105.93</v>
      </c>
      <c r="I578" s="298">
        <f t="shared" si="265"/>
        <v>103.35428248808</v>
      </c>
      <c r="J578" s="299">
        <f t="shared" si="266"/>
        <v>1.5611207180151</v>
      </c>
      <c r="K578" s="299">
        <f t="shared" si="267"/>
        <v>1.00163685155263</v>
      </c>
      <c r="L578" s="300">
        <f t="shared" si="268"/>
        <v>0.0571773019823523</v>
      </c>
      <c r="M578" s="299">
        <f t="shared" si="269"/>
        <v>1.0681912633026</v>
      </c>
      <c r="N578" s="300">
        <f t="shared" si="270"/>
        <v>-0.35924667523557</v>
      </c>
      <c r="O578" s="298">
        <f t="shared" si="271"/>
        <v>191686.41182536</v>
      </c>
      <c r="P578" s="301">
        <f t="shared" si="272"/>
        <v>1.57079110994102</v>
      </c>
      <c r="Q578" s="320">
        <f t="shared" si="294"/>
        <v>79.8755982388065</v>
      </c>
      <c r="R578" s="321">
        <f t="shared" si="295"/>
        <v>1.55827653167925</v>
      </c>
      <c r="S578" s="298">
        <f t="shared" si="273"/>
        <v>1.13292367486384</v>
      </c>
      <c r="T578" s="301">
        <f t="shared" si="274"/>
        <v>0.489278905853786</v>
      </c>
      <c r="U578" s="316">
        <f t="shared" si="286"/>
        <v>0.66897802220025</v>
      </c>
      <c r="V578" s="317">
        <f t="shared" si="287"/>
        <v>-1.09925726774983</v>
      </c>
      <c r="W578" s="318">
        <f t="shared" si="275"/>
        <v>-15.0145462563415</v>
      </c>
      <c r="X578" s="319">
        <f t="shared" si="276"/>
        <v>-198.486379755207</v>
      </c>
      <c r="Y578" s="332">
        <f t="shared" si="277"/>
        <v>-18.4863797552069</v>
      </c>
      <c r="AA578" s="22">
        <f t="shared" si="278"/>
        <v>105930</v>
      </c>
      <c r="AB578" s="22">
        <f t="shared" si="279"/>
        <v>11221164900</v>
      </c>
      <c r="AD578" s="331">
        <f t="shared" si="280"/>
        <v>26.5208925398847</v>
      </c>
      <c r="AE578" s="332">
        <f t="shared" si="281"/>
        <v>-28.7506488598387</v>
      </c>
      <c r="AG578" s="331">
        <f t="shared" si="282"/>
        <v>-9.16396984886199</v>
      </c>
      <c r="AH578" s="332">
        <f t="shared" si="283"/>
        <v>-43.7701266691364</v>
      </c>
      <c r="AJ578" s="22">
        <f t="shared" si="284"/>
        <v>0</v>
      </c>
      <c r="AK578" s="22">
        <f t="shared" si="296"/>
        <v>0</v>
      </c>
      <c r="AM578" s="22" t="str">
        <f t="shared" si="288"/>
        <v>1.32485138275726+0.945765076073704i</v>
      </c>
      <c r="AN578" s="22" t="str">
        <f t="shared" si="289"/>
        <v>1.90165091094i</v>
      </c>
      <c r="AO578" s="22" t="str">
        <f t="shared" si="290"/>
        <v>0.497338954606661-0.696684851638925i</v>
      </c>
      <c r="AP578" s="22" t="str">
        <f t="shared" si="291"/>
        <v>-0.0541418971262092-0.157627512678951i</v>
      </c>
      <c r="AQ578" s="22" t="str">
        <f t="shared" si="292"/>
        <v>1.05414189712621+0.157627512678951i</v>
      </c>
      <c r="AR578" s="22" t="str">
        <f t="shared" si="293"/>
        <v>0.772933634870621-0.115577994445248i</v>
      </c>
    </row>
    <row r="579" spans="7:44">
      <c r="G579" s="257">
        <v>107150</v>
      </c>
      <c r="H579" s="256">
        <f t="shared" si="285"/>
        <v>107.15</v>
      </c>
      <c r="I579" s="298">
        <f t="shared" si="265"/>
        <v>104.544507049306</v>
      </c>
      <c r="J579" s="299">
        <f t="shared" si="266"/>
        <v>1.56123087684419</v>
      </c>
      <c r="K579" s="299">
        <f t="shared" si="267"/>
        <v>1.00167474033538</v>
      </c>
      <c r="L579" s="300">
        <f t="shared" si="268"/>
        <v>0.0578343561350767</v>
      </c>
      <c r="M579" s="299">
        <f t="shared" si="269"/>
        <v>1.0697195134036</v>
      </c>
      <c r="N579" s="300">
        <f t="shared" si="270"/>
        <v>-0.363031821564791</v>
      </c>
      <c r="O579" s="298">
        <f t="shared" si="271"/>
        <v>193894.071812339</v>
      </c>
      <c r="P579" s="301">
        <f t="shared" si="272"/>
        <v>1.57079116933964</v>
      </c>
      <c r="Q579" s="320">
        <f t="shared" si="294"/>
        <v>80.7953852966713</v>
      </c>
      <c r="R579" s="321">
        <f t="shared" si="295"/>
        <v>1.55841906626761</v>
      </c>
      <c r="S579" s="298">
        <f t="shared" si="273"/>
        <v>1.13581873133656</v>
      </c>
      <c r="T579" s="301">
        <f t="shared" si="274"/>
        <v>0.494044550442187</v>
      </c>
      <c r="U579" s="316">
        <f t="shared" si="286"/>
        <v>0.66448297479468</v>
      </c>
      <c r="V579" s="317">
        <f t="shared" si="287"/>
        <v>-1.10860039514791</v>
      </c>
      <c r="W579" s="318">
        <f t="shared" si="275"/>
        <v>-15.1819973674855</v>
      </c>
      <c r="X579" s="319">
        <f t="shared" si="276"/>
        <v>-199.472127733838</v>
      </c>
      <c r="Y579" s="332">
        <f t="shared" si="277"/>
        <v>-19.4721277338377</v>
      </c>
      <c r="AA579" s="22">
        <f t="shared" si="278"/>
        <v>107150</v>
      </c>
      <c r="AB579" s="22">
        <f t="shared" si="279"/>
        <v>11481122500</v>
      </c>
      <c r="AD579" s="331">
        <f t="shared" si="280"/>
        <v>26.4987096440493</v>
      </c>
      <c r="AE579" s="332">
        <f t="shared" si="281"/>
        <v>-29.0155369546586</v>
      </c>
      <c r="AG579" s="331">
        <f t="shared" si="282"/>
        <v>-9.19211837739935</v>
      </c>
      <c r="AH579" s="332">
        <f t="shared" si="283"/>
        <v>-43.4203430169978</v>
      </c>
      <c r="AJ579" s="22">
        <f t="shared" si="284"/>
        <v>0</v>
      </c>
      <c r="AK579" s="22">
        <f t="shared" si="296"/>
        <v>0</v>
      </c>
      <c r="AM579" s="22" t="str">
        <f t="shared" si="288"/>
        <v>1.3454853877027+0.938424129529882i</v>
      </c>
      <c r="AN579" s="22" t="str">
        <f t="shared" si="289"/>
        <v>1.9235522997i</v>
      </c>
      <c r="AO579" s="22" t="str">
        <f t="shared" si="290"/>
        <v>0.487859950403345-0.699479493181726i</v>
      </c>
      <c r="AP579" s="22" t="str">
        <f t="shared" si="291"/>
        <v>-0.0575808979504497-0.156404021588314i</v>
      </c>
      <c r="AQ579" s="22" t="str">
        <f t="shared" si="292"/>
        <v>1.05758089795045+0.156404021588314i</v>
      </c>
      <c r="AR579" s="22" t="str">
        <f t="shared" si="293"/>
        <v>0.770788682342358-0.113990759427229i</v>
      </c>
    </row>
    <row r="580" spans="7:44">
      <c r="G580" s="257">
        <v>108400</v>
      </c>
      <c r="H580" s="256">
        <f t="shared" si="285"/>
        <v>108.4</v>
      </c>
      <c r="I580" s="298">
        <f t="shared" si="265"/>
        <v>105.764000713453</v>
      </c>
      <c r="J580" s="299">
        <f t="shared" si="266"/>
        <v>1.5613411729297</v>
      </c>
      <c r="K580" s="299">
        <f t="shared" si="267"/>
        <v>1.00171400929974</v>
      </c>
      <c r="L580" s="300">
        <f t="shared" si="268"/>
        <v>0.0585075155049519</v>
      </c>
      <c r="M580" s="299">
        <f t="shared" si="269"/>
        <v>1.07130119355046</v>
      </c>
      <c r="N580" s="300">
        <f t="shared" si="270"/>
        <v>-0.366898787389651</v>
      </c>
      <c r="O580" s="298">
        <f t="shared" si="271"/>
        <v>196156.018520309</v>
      </c>
      <c r="P580" s="301">
        <f t="shared" si="272"/>
        <v>1.57079122881214</v>
      </c>
      <c r="Q580" s="320">
        <f t="shared" si="294"/>
        <v>81.737791732776</v>
      </c>
      <c r="R580" s="321">
        <f t="shared" si="295"/>
        <v>1.55856177865508</v>
      </c>
      <c r="S580" s="298">
        <f t="shared" si="273"/>
        <v>1.13881159494059</v>
      </c>
      <c r="T580" s="301">
        <f t="shared" si="274"/>
        <v>0.498902138351707</v>
      </c>
      <c r="U580" s="316">
        <f t="shared" si="286"/>
        <v>0.659904282585883</v>
      </c>
      <c r="V580" s="317">
        <f t="shared" si="287"/>
        <v>-1.11811536910702</v>
      </c>
      <c r="W580" s="318">
        <f t="shared" si="275"/>
        <v>-15.3524870250362</v>
      </c>
      <c r="X580" s="319">
        <f t="shared" si="276"/>
        <v>-200.476752591535</v>
      </c>
      <c r="Y580" s="332">
        <f t="shared" si="277"/>
        <v>-20.4767525915346</v>
      </c>
      <c r="AA580" s="22">
        <f t="shared" si="278"/>
        <v>108400</v>
      </c>
      <c r="AB580" s="22">
        <f t="shared" si="279"/>
        <v>11750560000</v>
      </c>
      <c r="AD580" s="331">
        <f t="shared" si="280"/>
        <v>26.4758373140921</v>
      </c>
      <c r="AE580" s="332">
        <f t="shared" si="281"/>
        <v>-29.2856828308337</v>
      </c>
      <c r="AG580" s="331">
        <f t="shared" si="282"/>
        <v>-9.21961925584998</v>
      </c>
      <c r="AH580" s="332">
        <f t="shared" si="283"/>
        <v>-43.064486297206</v>
      </c>
      <c r="AJ580" s="22">
        <f t="shared" si="284"/>
        <v>0</v>
      </c>
      <c r="AK580" s="22">
        <f t="shared" si="296"/>
        <v>0</v>
      </c>
      <c r="AM580" s="22" t="str">
        <f t="shared" si="288"/>
        <v>1.36645482748547+0.93043584379182i</v>
      </c>
      <c r="AN580" s="22" t="str">
        <f t="shared" si="289"/>
        <v>1.9459922472i</v>
      </c>
      <c r="AO580" s="22" t="str">
        <f t="shared" si="290"/>
        <v>0.47812926548427-0.70218924533312i</v>
      </c>
      <c r="AP580" s="22" t="str">
        <f t="shared" si="291"/>
        <v>-0.0610758045809113-0.15507264063197i</v>
      </c>
      <c r="AQ580" s="22" t="str">
        <f t="shared" si="292"/>
        <v>1.06107580458091+0.15507264063197i</v>
      </c>
      <c r="AR580" s="22" t="str">
        <f t="shared" si="293"/>
        <v>0.768635148605281-0.112333427698736i</v>
      </c>
    </row>
    <row r="581" spans="7:44">
      <c r="G581" s="257">
        <v>109650</v>
      </c>
      <c r="H581" s="256">
        <f t="shared" si="285"/>
        <v>109.65</v>
      </c>
      <c r="I581" s="298">
        <f t="shared" si="265"/>
        <v>106.983495634911</v>
      </c>
      <c r="J581" s="299">
        <f t="shared" si="266"/>
        <v>1.56144895450685</v>
      </c>
      <c r="K581" s="299">
        <f t="shared" si="267"/>
        <v>1.00175373214863</v>
      </c>
      <c r="L581" s="300">
        <f t="shared" si="268"/>
        <v>0.0591806217938298</v>
      </c>
      <c r="M581" s="299">
        <f t="shared" si="269"/>
        <v>1.07289884594691</v>
      </c>
      <c r="N581" s="300">
        <f t="shared" si="270"/>
        <v>-0.370754294136754</v>
      </c>
      <c r="O581" s="298">
        <f t="shared" si="271"/>
        <v>198417.96522828</v>
      </c>
      <c r="P581" s="301">
        <f t="shared" si="272"/>
        <v>1.57079128692868</v>
      </c>
      <c r="Q581" s="320">
        <f t="shared" si="294"/>
        <v>82.6801997956699</v>
      </c>
      <c r="R581" s="321">
        <f t="shared" si="295"/>
        <v>1.55870123770766</v>
      </c>
      <c r="S581" s="298">
        <f t="shared" si="273"/>
        <v>1.14183118889016</v>
      </c>
      <c r="T581" s="301">
        <f t="shared" si="274"/>
        <v>0.503734147813808</v>
      </c>
      <c r="U581" s="316">
        <f t="shared" si="286"/>
        <v>0.65535306047886</v>
      </c>
      <c r="V581" s="317">
        <f t="shared" si="287"/>
        <v>-1.12757293097076</v>
      </c>
      <c r="W581" s="318">
        <f t="shared" si="275"/>
        <v>-15.5219045390485</v>
      </c>
      <c r="X581" s="319">
        <f t="shared" si="276"/>
        <v>-201.47601117986</v>
      </c>
      <c r="Y581" s="332">
        <f t="shared" si="277"/>
        <v>-21.4760111798597</v>
      </c>
      <c r="AA581" s="22">
        <f t="shared" si="278"/>
        <v>109650</v>
      </c>
      <c r="AB581" s="22">
        <f t="shared" si="279"/>
        <v>12023122500</v>
      </c>
      <c r="AD581" s="331">
        <f t="shared" si="280"/>
        <v>26.4528221541466</v>
      </c>
      <c r="AE581" s="332">
        <f t="shared" si="281"/>
        <v>-29.5545494945914</v>
      </c>
      <c r="AG581" s="331">
        <f t="shared" si="282"/>
        <v>-9.24579701377709</v>
      </c>
      <c r="AH581" s="332">
        <f t="shared" si="283"/>
        <v>-42.7111214619829</v>
      </c>
      <c r="AJ581" s="22">
        <f t="shared" si="284"/>
        <v>0</v>
      </c>
      <c r="AK581" s="22">
        <f t="shared" si="296"/>
        <v>0</v>
      </c>
      <c r="AM581" s="22" t="str">
        <f t="shared" si="288"/>
        <v>1.38723974622724+0.921979055587416i</v>
      </c>
      <c r="AN581" s="22" t="str">
        <f t="shared" si="289"/>
        <v>1.9684321947i</v>
      </c>
      <c r="AO581" s="22" t="str">
        <f t="shared" si="290"/>
        <v>0.468382430479365-0.704743475524522i</v>
      </c>
      <c r="AP581" s="22" t="str">
        <f t="shared" si="291"/>
        <v>-0.0645399577045398-0.153663175931236i</v>
      </c>
      <c r="AQ581" s="22" t="str">
        <f t="shared" si="292"/>
        <v>1.06453995770454+0.153663175931236i</v>
      </c>
      <c r="AR581" s="22" t="str">
        <f t="shared" si="293"/>
        <v>0.766526246045935-0.110645783232082i</v>
      </c>
    </row>
    <row r="582" spans="7:44">
      <c r="G582" s="257">
        <v>110925</v>
      </c>
      <c r="H582" s="256">
        <f t="shared" si="285"/>
        <v>110.925</v>
      </c>
      <c r="I582" s="298">
        <f t="shared" si="265"/>
        <v>108.227381706003</v>
      </c>
      <c r="J582" s="299">
        <f t="shared" si="266"/>
        <v>1.56155638941689</v>
      </c>
      <c r="K582" s="299">
        <f t="shared" si="267"/>
        <v>1.00179471699033</v>
      </c>
      <c r="L582" s="300">
        <f t="shared" si="268"/>
        <v>0.0598671348984892</v>
      </c>
      <c r="M582" s="299">
        <f t="shared" si="269"/>
        <v>1.07454483211481</v>
      </c>
      <c r="N582" s="300">
        <f t="shared" si="270"/>
        <v>-0.37467504028882</v>
      </c>
      <c r="O582" s="298">
        <f t="shared" si="271"/>
        <v>200725.150870411</v>
      </c>
      <c r="P582" s="301">
        <f t="shared" si="272"/>
        <v>1.57079134485818</v>
      </c>
      <c r="Q582" s="320">
        <f t="shared" si="294"/>
        <v>83.6414576387134</v>
      </c>
      <c r="R582" s="321">
        <f t="shared" si="295"/>
        <v>1.55884024839473</v>
      </c>
      <c r="S582" s="298">
        <f t="shared" si="273"/>
        <v>1.14493849298027</v>
      </c>
      <c r="T582" s="301">
        <f t="shared" si="274"/>
        <v>0.508636423389844</v>
      </c>
      <c r="U582" s="316">
        <f t="shared" si="286"/>
        <v>0.650739345280968</v>
      </c>
      <c r="V582" s="317">
        <f t="shared" si="287"/>
        <v>-1.13716174379942</v>
      </c>
      <c r="W582" s="318">
        <f t="shared" si="275"/>
        <v>-15.6936262424716</v>
      </c>
      <c r="X582" s="319">
        <f t="shared" si="276"/>
        <v>-202.489791451094</v>
      </c>
      <c r="Y582" s="332">
        <f t="shared" si="277"/>
        <v>-22.4897914510936</v>
      </c>
      <c r="AA582" s="22">
        <f t="shared" si="278"/>
        <v>110925</v>
      </c>
      <c r="AB582" s="22">
        <f t="shared" si="279"/>
        <v>12304355625</v>
      </c>
      <c r="AD582" s="331">
        <f t="shared" si="280"/>
        <v>26.4292025303186</v>
      </c>
      <c r="AE582" s="332">
        <f t="shared" si="281"/>
        <v>-29.8274677888592</v>
      </c>
      <c r="AG582" s="331">
        <f t="shared" si="282"/>
        <v>-9.27116845795852</v>
      </c>
      <c r="AH582" s="332">
        <f t="shared" si="283"/>
        <v>-42.3531864264465</v>
      </c>
      <c r="AJ582" s="22">
        <f t="shared" si="284"/>
        <v>0</v>
      </c>
      <c r="AK582" s="22">
        <f t="shared" si="296"/>
        <v>0</v>
      </c>
      <c r="AM582" s="22" t="str">
        <f t="shared" si="288"/>
        <v>1.40823941649121+0.912874897684735i</v>
      </c>
      <c r="AN582" s="22" t="str">
        <f t="shared" si="289"/>
        <v>1.99132094115i</v>
      </c>
      <c r="AO582" s="22" t="str">
        <f t="shared" si="290"/>
        <v>0.458426805453843-0.707188573870942i</v>
      </c>
      <c r="AP582" s="22" t="str">
        <f t="shared" si="291"/>
        <v>-0.0680399027485353-0.152145816280789i</v>
      </c>
      <c r="AQ582" s="22" t="str">
        <f t="shared" si="292"/>
        <v>1.06803990274854+0.152145816280789i</v>
      </c>
      <c r="AR582" s="22" t="str">
        <f t="shared" si="293"/>
        <v>0.76442105269114-0.108894306986671i</v>
      </c>
    </row>
    <row r="583" spans="7:44">
      <c r="G583" s="257">
        <v>112200</v>
      </c>
      <c r="H583" s="256">
        <f t="shared" si="285"/>
        <v>112.2</v>
      </c>
      <c r="I583" s="298">
        <f t="shared" si="265"/>
        <v>109.471268997894</v>
      </c>
      <c r="J583" s="299">
        <f t="shared" si="266"/>
        <v>1.56166138283054</v>
      </c>
      <c r="K583" s="299">
        <f t="shared" si="267"/>
        <v>1.00183617393936</v>
      </c>
      <c r="L583" s="300">
        <f t="shared" si="268"/>
        <v>0.0605535915095021</v>
      </c>
      <c r="M583" s="299">
        <f t="shared" si="269"/>
        <v>1.0762072857802</v>
      </c>
      <c r="N583" s="300">
        <f t="shared" si="270"/>
        <v>-0.378583733354943</v>
      </c>
      <c r="O583" s="298">
        <f t="shared" si="271"/>
        <v>203032.336512543</v>
      </c>
      <c r="P583" s="301">
        <f t="shared" si="272"/>
        <v>1.57079140147109</v>
      </c>
      <c r="Q583" s="320">
        <f t="shared" si="294"/>
        <v>84.6027170613135</v>
      </c>
      <c r="R583" s="321">
        <f t="shared" si="295"/>
        <v>1.55897610019452</v>
      </c>
      <c r="S583" s="298">
        <f t="shared" si="273"/>
        <v>1.1480731632543</v>
      </c>
      <c r="T583" s="301">
        <f t="shared" si="274"/>
        <v>0.513512045506339</v>
      </c>
      <c r="U583" s="316">
        <f t="shared" si="286"/>
        <v>0.64615464574154</v>
      </c>
      <c r="V583" s="317">
        <f t="shared" si="287"/>
        <v>-1.14669334661992</v>
      </c>
      <c r="W583" s="318">
        <f t="shared" si="275"/>
        <v>-15.8642731531531</v>
      </c>
      <c r="X583" s="319">
        <f t="shared" si="276"/>
        <v>-203.498120373495</v>
      </c>
      <c r="Y583" s="332">
        <f t="shared" si="277"/>
        <v>-23.4981203734946</v>
      </c>
      <c r="AA583" s="22">
        <f t="shared" si="278"/>
        <v>112200</v>
      </c>
      <c r="AB583" s="22">
        <f t="shared" si="279"/>
        <v>12588840000</v>
      </c>
      <c r="AD583" s="331">
        <f t="shared" si="280"/>
        <v>26.405440330231</v>
      </c>
      <c r="AE583" s="332">
        <f t="shared" si="281"/>
        <v>-30.0990398678595</v>
      </c>
      <c r="AG583" s="331">
        <f t="shared" si="282"/>
        <v>-9.29522937450677</v>
      </c>
      <c r="AH583" s="332">
        <f t="shared" si="283"/>
        <v>-41.9977020413805</v>
      </c>
      <c r="AJ583" s="22">
        <f t="shared" si="284"/>
        <v>0</v>
      </c>
      <c r="AK583" s="22">
        <f t="shared" si="296"/>
        <v>0</v>
      </c>
      <c r="AM583" s="22" t="str">
        <f t="shared" si="288"/>
        <v>1.42902522161996+0.903292510327603i</v>
      </c>
      <c r="AN583" s="22" t="str">
        <f t="shared" si="289"/>
        <v>2.0142096876i</v>
      </c>
      <c r="AO583" s="22" t="str">
        <f t="shared" si="290"/>
        <v>0.448460016793935-0.709471923612229i</v>
      </c>
      <c r="AP583" s="22" t="str">
        <f t="shared" si="291"/>
        <v>-0.071504203603327-0.150548751721267i</v>
      </c>
      <c r="AQ583" s="22" t="str">
        <f t="shared" si="292"/>
        <v>1.07150420360333+0.150548751721267i</v>
      </c>
      <c r="AR583" s="22" t="str">
        <f t="shared" si="293"/>
        <v>0.762362088867181-0.107113588964566i</v>
      </c>
    </row>
    <row r="584" spans="7:44">
      <c r="G584" s="257">
        <v>113510</v>
      </c>
      <c r="H584" s="256">
        <f t="shared" si="285"/>
        <v>113.51</v>
      </c>
      <c r="I584" s="298">
        <f t="shared" si="265"/>
        <v>110.749303443738</v>
      </c>
      <c r="J584" s="299">
        <f t="shared" si="266"/>
        <v>1.56176680193331</v>
      </c>
      <c r="K584" s="299">
        <f t="shared" si="267"/>
        <v>1.00187926058561</v>
      </c>
      <c r="L584" s="300">
        <f t="shared" si="268"/>
        <v>0.0612588325137628</v>
      </c>
      <c r="M584" s="299">
        <f t="shared" si="269"/>
        <v>1.07793244711494</v>
      </c>
      <c r="N584" s="300">
        <f t="shared" si="270"/>
        <v>-0.382587103336482</v>
      </c>
      <c r="O584" s="298">
        <f t="shared" si="271"/>
        <v>205402.856662498</v>
      </c>
      <c r="P584" s="301">
        <f t="shared" si="272"/>
        <v>1.57079145831343</v>
      </c>
      <c r="Q584" s="320">
        <f t="shared" si="294"/>
        <v>85.590365586729</v>
      </c>
      <c r="R584" s="321">
        <f t="shared" si="295"/>
        <v>1.55911250297356</v>
      </c>
      <c r="S584" s="298">
        <f t="shared" si="273"/>
        <v>1.15132215167838</v>
      </c>
      <c r="T584" s="301">
        <f t="shared" si="274"/>
        <v>0.51849373346613</v>
      </c>
      <c r="U584" s="316">
        <f t="shared" si="286"/>
        <v>0.641474492151497</v>
      </c>
      <c r="V584" s="317">
        <f t="shared" si="287"/>
        <v>-1.15642834730892</v>
      </c>
      <c r="W584" s="318">
        <f t="shared" si="275"/>
        <v>-16.0385057025066</v>
      </c>
      <c r="X584" s="319">
        <f t="shared" si="276"/>
        <v>-204.528521416286</v>
      </c>
      <c r="Y584" s="332">
        <f t="shared" si="277"/>
        <v>-24.5285214162857</v>
      </c>
      <c r="AA584" s="22">
        <f t="shared" si="278"/>
        <v>113510</v>
      </c>
      <c r="AB584" s="22">
        <f t="shared" si="279"/>
        <v>12884520100</v>
      </c>
      <c r="AD584" s="331">
        <f t="shared" si="280"/>
        <v>26.3808804973907</v>
      </c>
      <c r="AE584" s="332">
        <f t="shared" si="281"/>
        <v>-30.376657516397</v>
      </c>
      <c r="AG584" s="331">
        <f t="shared" si="282"/>
        <v>-9.31861890778532</v>
      </c>
      <c r="AH584" s="332">
        <f t="shared" si="283"/>
        <v>-41.6349365282859</v>
      </c>
      <c r="AJ584" s="22">
        <f t="shared" si="284"/>
        <v>0</v>
      </c>
      <c r="AK584" s="22">
        <f t="shared" si="296"/>
        <v>0</v>
      </c>
      <c r="AM584" s="22" t="str">
        <f t="shared" si="288"/>
        <v>1.45014742103817+0.892954253773777i</v>
      </c>
      <c r="AN584" s="22" t="str">
        <f t="shared" si="289"/>
        <v>2.03772675258i</v>
      </c>
      <c r="AO584" s="22" t="str">
        <f t="shared" si="290"/>
        <v>0.438210988123502-0.711649596395647i</v>
      </c>
      <c r="AP584" s="22" t="str">
        <f t="shared" si="291"/>
        <v>-0.0750245701730287-0.148825708962296i</v>
      </c>
      <c r="AQ584" s="22" t="str">
        <f t="shared" si="292"/>
        <v>1.07502457017303+0.148825708962296i</v>
      </c>
      <c r="AR584" s="22" t="str">
        <f t="shared" si="293"/>
        <v>0.76029461814353-0.105254697152844i</v>
      </c>
    </row>
    <row r="585" spans="7:44">
      <c r="G585" s="257">
        <v>114820</v>
      </c>
      <c r="H585" s="256">
        <f t="shared" si="285"/>
        <v>114.82</v>
      </c>
      <c r="I585" s="298">
        <f t="shared" si="265"/>
        <v>112.027339092278</v>
      </c>
      <c r="J585" s="299">
        <f t="shared" si="266"/>
        <v>1.56186981574269</v>
      </c>
      <c r="K585" s="299">
        <f t="shared" si="267"/>
        <v>1.00192284548841</v>
      </c>
      <c r="L585" s="300">
        <f t="shared" si="268"/>
        <v>0.0619640125109902</v>
      </c>
      <c r="M585" s="299">
        <f t="shared" si="269"/>
        <v>1.07967482907177</v>
      </c>
      <c r="N585" s="300">
        <f t="shared" si="270"/>
        <v>-0.386577615805597</v>
      </c>
      <c r="O585" s="298">
        <f t="shared" si="271"/>
        <v>207773.376812454</v>
      </c>
      <c r="P585" s="301">
        <f t="shared" si="272"/>
        <v>1.57079151385873</v>
      </c>
      <c r="Q585" s="320">
        <f t="shared" si="294"/>
        <v>86.5780156682822</v>
      </c>
      <c r="R585" s="321">
        <f t="shared" si="295"/>
        <v>1.55924579368982</v>
      </c>
      <c r="S585" s="298">
        <f t="shared" si="273"/>
        <v>1.15459955149552</v>
      </c>
      <c r="T585" s="301">
        <f t="shared" si="274"/>
        <v>0.523447262142156</v>
      </c>
      <c r="U585" s="316">
        <f t="shared" si="286"/>
        <v>0.636825299796397</v>
      </c>
      <c r="V585" s="317">
        <f t="shared" si="287"/>
        <v>-1.16610566474503</v>
      </c>
      <c r="W585" s="318">
        <f t="shared" si="275"/>
        <v>-16.2116451413599</v>
      </c>
      <c r="X585" s="319">
        <f t="shared" si="276"/>
        <v>-205.553311278854</v>
      </c>
      <c r="Y585" s="332">
        <f t="shared" si="277"/>
        <v>-25.5533112788543</v>
      </c>
      <c r="AA585" s="22">
        <f t="shared" si="278"/>
        <v>114820</v>
      </c>
      <c r="AB585" s="22">
        <f t="shared" si="279"/>
        <v>13183632400</v>
      </c>
      <c r="AD585" s="331">
        <f t="shared" si="280"/>
        <v>26.3561765709784</v>
      </c>
      <c r="AE585" s="332">
        <f t="shared" si="281"/>
        <v>-30.6528399905673</v>
      </c>
      <c r="AG585" s="331">
        <f t="shared" si="282"/>
        <v>-9.34069110540527</v>
      </c>
      <c r="AH585" s="332">
        <f t="shared" si="283"/>
        <v>-41.2746050232222</v>
      </c>
      <c r="AJ585" s="22">
        <f t="shared" si="284"/>
        <v>0</v>
      </c>
      <c r="AK585" s="22">
        <f t="shared" si="296"/>
        <v>0</v>
      </c>
      <c r="AM585" s="22" t="str">
        <f t="shared" si="288"/>
        <v>1.47102067684301+0.882122169535688i</v>
      </c>
      <c r="AN585" s="22" t="str">
        <f t="shared" si="289"/>
        <v>2.06124381756i</v>
      </c>
      <c r="AO585" s="22" t="str">
        <f t="shared" si="290"/>
        <v>0.427956247592243-0.713656804843365i</v>
      </c>
      <c r="AP585" s="22" t="str">
        <f t="shared" si="291"/>
        <v>-0.0785034461405023-0.147020361589281i</v>
      </c>
      <c r="AQ585" s="22" t="str">
        <f t="shared" si="292"/>
        <v>1.0785034461405+0.147020361589281i</v>
      </c>
      <c r="AR585" s="22" t="str">
        <f t="shared" si="293"/>
        <v>0.758275654081908-0.103367273647958i</v>
      </c>
    </row>
    <row r="586" spans="7:44">
      <c r="G586" s="257">
        <v>116155</v>
      </c>
      <c r="H586" s="256">
        <f t="shared" si="285"/>
        <v>116.155</v>
      </c>
      <c r="I586" s="298">
        <f t="shared" si="265"/>
        <v>113.329765929327</v>
      </c>
      <c r="J586" s="299">
        <f t="shared" si="266"/>
        <v>1.56197240512834</v>
      </c>
      <c r="K586" s="299">
        <f t="shared" si="267"/>
        <v>1.0019677747072</v>
      </c>
      <c r="L586" s="300">
        <f t="shared" si="268"/>
        <v>0.0626825866593812</v>
      </c>
      <c r="M586" s="299">
        <f t="shared" si="269"/>
        <v>1.08146809312696</v>
      </c>
      <c r="N586" s="300">
        <f t="shared" si="270"/>
        <v>-0.390630988270121</v>
      </c>
      <c r="O586" s="298">
        <f t="shared" si="271"/>
        <v>210189.135896571</v>
      </c>
      <c r="P586" s="301">
        <f t="shared" si="272"/>
        <v>1.57079156917507</v>
      </c>
      <c r="Q586" s="320">
        <f t="shared" si="294"/>
        <v>87.5845155802969</v>
      </c>
      <c r="R586" s="321">
        <f t="shared" si="295"/>
        <v>1.55937853540375</v>
      </c>
      <c r="S586" s="298">
        <f t="shared" si="273"/>
        <v>1.15796847720356</v>
      </c>
      <c r="T586" s="301">
        <f t="shared" si="274"/>
        <v>0.528466350283899</v>
      </c>
      <c r="U586" s="316">
        <f t="shared" si="286"/>
        <v>0.632119357181903</v>
      </c>
      <c r="V586" s="317">
        <f t="shared" si="287"/>
        <v>-1.17590973412389</v>
      </c>
      <c r="W586" s="318">
        <f t="shared" si="275"/>
        <v>-16.3869850579132</v>
      </c>
      <c r="X586" s="319">
        <f t="shared" si="276"/>
        <v>-206.591961082311</v>
      </c>
      <c r="Y586" s="332">
        <f t="shared" si="277"/>
        <v>-26.5919610823109</v>
      </c>
      <c r="AA586" s="22">
        <f t="shared" si="278"/>
        <v>116155</v>
      </c>
      <c r="AB586" s="22">
        <f t="shared" si="279"/>
        <v>13491984025</v>
      </c>
      <c r="AD586" s="331">
        <f t="shared" si="280"/>
        <v>26.3308562791883</v>
      </c>
      <c r="AE586" s="332">
        <f t="shared" si="281"/>
        <v>-30.9328101878325</v>
      </c>
      <c r="AG586" s="331">
        <f t="shared" si="282"/>
        <v>-9.36186197270738</v>
      </c>
      <c r="AH586" s="332">
        <f t="shared" si="283"/>
        <v>-40.9098210332056</v>
      </c>
      <c r="AJ586" s="22">
        <f t="shared" si="284"/>
        <v>0</v>
      </c>
      <c r="AK586" s="22">
        <f t="shared" si="296"/>
        <v>0</v>
      </c>
      <c r="AM586" s="22" t="str">
        <f t="shared" si="288"/>
        <v>1.49202421117237+0.87058151578138i</v>
      </c>
      <c r="AN586" s="22" t="str">
        <f t="shared" si="289"/>
        <v>2.08520968149i</v>
      </c>
      <c r="AO586" s="22" t="str">
        <f t="shared" si="290"/>
        <v>0.41750310460831-0.715527183868739i</v>
      </c>
      <c r="AP586" s="22" t="str">
        <f t="shared" si="291"/>
        <v>-0.0820040351953952-0.145096919296897i</v>
      </c>
      <c r="AQ586" s="22" t="str">
        <f t="shared" si="292"/>
        <v>1.0820040351954+0.145096919296897i</v>
      </c>
      <c r="AR586" s="22" t="str">
        <f t="shared" si="293"/>
        <v>0.756267883783662-0.10141564775253i</v>
      </c>
    </row>
    <row r="587" spans="7:44">
      <c r="G587" s="257">
        <v>117490</v>
      </c>
      <c r="H587" s="256">
        <f t="shared" si="285"/>
        <v>117.49</v>
      </c>
      <c r="I587" s="298">
        <f t="shared" si="265"/>
        <v>114.63219393202</v>
      </c>
      <c r="J587" s="299">
        <f t="shared" si="266"/>
        <v>1.56207266331496</v>
      </c>
      <c r="K587" s="299">
        <f t="shared" si="267"/>
        <v>1.00201322124429</v>
      </c>
      <c r="L587" s="300">
        <f t="shared" si="268"/>
        <v>0.0634010959965585</v>
      </c>
      <c r="M587" s="299">
        <f t="shared" si="269"/>
        <v>1.08327906651977</v>
      </c>
      <c r="N587" s="300">
        <f t="shared" si="270"/>
        <v>-0.394670874462374</v>
      </c>
      <c r="O587" s="298">
        <f t="shared" si="271"/>
        <v>212604.894980688</v>
      </c>
      <c r="P587" s="301">
        <f t="shared" si="272"/>
        <v>1.57079162323433</v>
      </c>
      <c r="Q587" s="320">
        <f t="shared" si="294"/>
        <v>88.5910170005156</v>
      </c>
      <c r="R587" s="321">
        <f t="shared" si="295"/>
        <v>1.55950826090613</v>
      </c>
      <c r="S587" s="298">
        <f t="shared" si="273"/>
        <v>1.16136640391462</v>
      </c>
      <c r="T587" s="301">
        <f t="shared" si="274"/>
        <v>0.533456193812289</v>
      </c>
      <c r="U587" s="316">
        <f t="shared" si="286"/>
        <v>0.627445781650253</v>
      </c>
      <c r="V587" s="317">
        <f t="shared" si="287"/>
        <v>-1.18565675854857</v>
      </c>
      <c r="W587" s="318">
        <f t="shared" si="275"/>
        <v>-16.5612314944108</v>
      </c>
      <c r="X587" s="319">
        <f t="shared" si="276"/>
        <v>-207.624937040953</v>
      </c>
      <c r="Y587" s="332">
        <f t="shared" si="277"/>
        <v>-27.6249370409528</v>
      </c>
      <c r="AA587" s="22">
        <f t="shared" si="278"/>
        <v>117490</v>
      </c>
      <c r="AB587" s="22">
        <f t="shared" si="279"/>
        <v>13803900100</v>
      </c>
      <c r="AD587" s="331">
        <f t="shared" si="280"/>
        <v>26.3053930542101</v>
      </c>
      <c r="AE587" s="332">
        <f t="shared" si="281"/>
        <v>-31.2112775363437</v>
      </c>
      <c r="AG587" s="331">
        <f t="shared" si="282"/>
        <v>-9.3817297472164</v>
      </c>
      <c r="AH587" s="332">
        <f t="shared" si="283"/>
        <v>-40.5474029173696</v>
      </c>
      <c r="AJ587" s="22">
        <f t="shared" si="284"/>
        <v>0</v>
      </c>
      <c r="AK587" s="22">
        <f t="shared" si="296"/>
        <v>0</v>
      </c>
      <c r="AM587" s="22" t="str">
        <f t="shared" si="288"/>
        <v>1.51274515870585+0.858540856467364i</v>
      </c>
      <c r="AN587" s="22" t="str">
        <f t="shared" si="289"/>
        <v>2.10917554542i</v>
      </c>
      <c r="AO587" s="22" t="str">
        <f t="shared" si="290"/>
        <v>0.407050450746812-0.717221078155738i</v>
      </c>
      <c r="AP587" s="22" t="str">
        <f t="shared" si="291"/>
        <v>-0.0854575264509747-0.143090142744561i</v>
      </c>
      <c r="AQ587" s="22" t="str">
        <f t="shared" si="292"/>
        <v>1.08545752645097+0.143090142744561i</v>
      </c>
      <c r="AR587" s="22" t="str">
        <f t="shared" si="293"/>
        <v>0.754310108804889-0.0994367246182914i</v>
      </c>
    </row>
    <row r="588" spans="7:44">
      <c r="G588" s="257">
        <v>118860</v>
      </c>
      <c r="H588" s="256">
        <f t="shared" si="285"/>
        <v>118.86</v>
      </c>
      <c r="I588" s="298">
        <f t="shared" si="265"/>
        <v>115.968769157915</v>
      </c>
      <c r="J588" s="299">
        <f t="shared" si="266"/>
        <v>1.56217320868822</v>
      </c>
      <c r="K588" s="299">
        <f t="shared" si="267"/>
        <v>1.00206039702989</v>
      </c>
      <c r="L588" s="300">
        <f t="shared" si="268"/>
        <v>0.0641383745062047</v>
      </c>
      <c r="M588" s="299">
        <f t="shared" si="269"/>
        <v>1.08515583748223</v>
      </c>
      <c r="N588" s="300">
        <f t="shared" si="270"/>
        <v>-0.398802586889268</v>
      </c>
      <c r="O588" s="298">
        <f t="shared" si="271"/>
        <v>215083.988572629</v>
      </c>
      <c r="P588" s="301">
        <f t="shared" si="272"/>
        <v>1.57079167744835</v>
      </c>
      <c r="Q588" s="320">
        <f t="shared" si="294"/>
        <v>89.6239076131617</v>
      </c>
      <c r="R588" s="321">
        <f t="shared" si="295"/>
        <v>1.55963835815709</v>
      </c>
      <c r="S588" s="298">
        <f t="shared" si="273"/>
        <v>1.16488330013215</v>
      </c>
      <c r="T588" s="301">
        <f t="shared" si="274"/>
        <v>0.538546461476762</v>
      </c>
      <c r="U588" s="316">
        <f t="shared" si="286"/>
        <v>0.622683390105187</v>
      </c>
      <c r="V588" s="317">
        <f t="shared" si="287"/>
        <v>-1.19560152033788</v>
      </c>
      <c r="W588" s="318">
        <f t="shared" si="275"/>
        <v>-16.7389305770056</v>
      </c>
      <c r="X588" s="319">
        <f t="shared" si="276"/>
        <v>-208.679177420374</v>
      </c>
      <c r="Y588" s="332">
        <f t="shared" si="277"/>
        <v>-28.6791774203741</v>
      </c>
      <c r="AA588" s="22">
        <f t="shared" si="278"/>
        <v>118860</v>
      </c>
      <c r="AB588" s="22">
        <f t="shared" si="279"/>
        <v>14127699600</v>
      </c>
      <c r="AD588" s="331">
        <f t="shared" si="280"/>
        <v>26.2791171585943</v>
      </c>
      <c r="AE588" s="332">
        <f t="shared" si="281"/>
        <v>-31.495477473263</v>
      </c>
      <c r="AG588" s="331">
        <f t="shared" si="282"/>
        <v>-9.40079602767624</v>
      </c>
      <c r="AH588" s="332">
        <f t="shared" si="283"/>
        <v>-40.1778576009887</v>
      </c>
      <c r="AJ588" s="22">
        <f t="shared" si="284"/>
        <v>0</v>
      </c>
      <c r="AK588" s="22">
        <f t="shared" si="296"/>
        <v>0</v>
      </c>
      <c r="AM588" s="22" t="str">
        <f t="shared" si="288"/>
        <v>1.53370307533806+0.845671938386687i</v>
      </c>
      <c r="AN588" s="22" t="str">
        <f t="shared" si="289"/>
        <v>2.13376972788i</v>
      </c>
      <c r="AO588" s="22" t="str">
        <f t="shared" si="290"/>
        <v>0.396327648357305-0.718776283728547i</v>
      </c>
      <c r="AP588" s="22" t="str">
        <f t="shared" si="291"/>
        <v>-0.0889505125563433-0.140945323064448i</v>
      </c>
      <c r="AQ588" s="22" t="str">
        <f t="shared" si="292"/>
        <v>1.08895051255634+0.140945323064448i</v>
      </c>
      <c r="AR588" s="22" t="str">
        <f t="shared" si="293"/>
        <v>0.752352761601836-0.0973787163141761i</v>
      </c>
    </row>
    <row r="589" spans="7:44">
      <c r="G589" s="257">
        <v>120230</v>
      </c>
      <c r="H589" s="256">
        <f t="shared" si="285"/>
        <v>120.23</v>
      </c>
      <c r="I589" s="298">
        <f t="shared" ref="I589:I613" si="297">SQRT(1+(G589/pole1)^2)</f>
        <v>117.305345529466</v>
      </c>
      <c r="J589" s="299">
        <f t="shared" ref="J589:J613" si="298">ATAN(G589/pole1)</f>
        <v>1.56227146283574</v>
      </c>
      <c r="K589" s="299">
        <f t="shared" ref="K589:K613" si="299">SQRT(1+(G589/Zero1)^2)</f>
        <v>1.00210811746362</v>
      </c>
      <c r="L589" s="300">
        <f t="shared" ref="L589:L613" si="300">ATAN(G589/Zero1)</f>
        <v>0.064875583198079</v>
      </c>
      <c r="M589" s="299">
        <f t="shared" ref="M589:M613" si="301">SQRT(1+(G589/z_RHP)^2)</f>
        <v>1.08705106904234</v>
      </c>
      <c r="N589" s="300">
        <f t="shared" ref="N589:N613" si="302">-ATAN(G589/z_RHP)</f>
        <v>-0.402919962438749</v>
      </c>
      <c r="O589" s="298">
        <f t="shared" ref="O589:O613" si="303">SQRT(1+(G589/Pole2)^2)</f>
        <v>217563.08216457</v>
      </c>
      <c r="P589" s="301">
        <f t="shared" ref="P589:P613" si="304">ATAN(G589/Pole2)</f>
        <v>1.57079173042685</v>
      </c>
      <c r="Q589" s="320">
        <f t="shared" si="294"/>
        <v>90.6567997081533</v>
      </c>
      <c r="R589" s="321">
        <f t="shared" si="295"/>
        <v>1.55976549090176</v>
      </c>
      <c r="S589" s="298">
        <f t="shared" ref="S589:S613" si="305">SQRT(1+(G589/pole4)^2)</f>
        <v>1.16843019728417</v>
      </c>
      <c r="T589" s="301">
        <f t="shared" ref="T589:T613" si="306">ATAN(G589/pole4)</f>
        <v>0.543605955452906</v>
      </c>
      <c r="U589" s="316">
        <f t="shared" si="286"/>
        <v>0.617955176087217</v>
      </c>
      <c r="V589" s="317">
        <f t="shared" si="287"/>
        <v>-1.20548926275762</v>
      </c>
      <c r="W589" s="318">
        <f t="shared" ref="W589:W613" si="307">20*LOG10(((K589*Q589*M589*U589)/(I589*O589*S589))*Adc)</f>
        <v>-16.915520776185</v>
      </c>
      <c r="X589" s="319">
        <f t="shared" ref="X589:X613" si="308">((L589+R589+N589+V589)-(J589+P589+T589))*radconv</f>
        <v>-209.727608691141</v>
      </c>
      <c r="Y589" s="332">
        <f t="shared" ref="Y589:Y613" si="309">IF(X589&gt;0,X589,X589+180)</f>
        <v>-29.727608691141</v>
      </c>
      <c r="AA589" s="22">
        <f t="shared" ref="AA589:AA613" si="310">IF(W589&lt;0,G589,1000000000)</f>
        <v>120230</v>
      </c>
      <c r="AB589" s="22">
        <f t="shared" ref="AB589:AB613" si="311">G589^2</f>
        <v>14455252900</v>
      </c>
      <c r="AD589" s="331">
        <f t="shared" ref="AD589:AD613" si="312">20*LOG10((Q589/(O589*S589))*Aea)</f>
        <v>26.2526978416747</v>
      </c>
      <c r="AE589" s="332">
        <f t="shared" ref="AE589:AE613" si="313">(R589-(P589+T589))*radconv</f>
        <v>-31.7780839906279</v>
      </c>
      <c r="AG589" s="331">
        <f t="shared" ref="AG589:AG613" si="314">20*LOG10((K589*M589/(I589*U589))*Acs*Am)</f>
        <v>-9.41855463418845</v>
      </c>
      <c r="AH589" s="332">
        <f t="shared" ref="AH589:AH613" si="315">(L589+N589-(J589+V589))*radconv</f>
        <v>-39.8106305339689</v>
      </c>
      <c r="AJ589" s="22">
        <f t="shared" ref="AJ589:AJ613" si="316">SUM((W590&lt;0)*(W589&gt;0))*G589</f>
        <v>0</v>
      </c>
      <c r="AK589" s="22">
        <f t="shared" si="296"/>
        <v>0</v>
      </c>
      <c r="AM589" s="22" t="str">
        <f t="shared" si="288"/>
        <v>1.55433818522915+0.832291521281365i</v>
      </c>
      <c r="AN589" s="22" t="str">
        <f t="shared" si="289"/>
        <v>2.15836391034i</v>
      </c>
      <c r="AO589" s="22" t="str">
        <f t="shared" si="290"/>
        <v>0.385612230307472-0.720146485855715i</v>
      </c>
      <c r="AP589" s="22" t="str">
        <f t="shared" si="291"/>
        <v>-0.0923896975381923-0.138715253546894i</v>
      </c>
      <c r="AQ589" s="22" t="str">
        <f t="shared" si="292"/>
        <v>1.09238969753819+0.138715253546894i</v>
      </c>
      <c r="AR589" s="22" t="str">
        <f t="shared" si="293"/>
        <v>0.7504475982006-0.0952943158404463i</v>
      </c>
    </row>
    <row r="590" spans="7:44">
      <c r="G590" s="257">
        <v>126030</v>
      </c>
      <c r="H590" s="256">
        <f t="shared" ref="H590:H613" si="317">G590/1000</f>
        <v>126.03</v>
      </c>
      <c r="I590" s="298">
        <f t="shared" si="297"/>
        <v>122.96385586879</v>
      </c>
      <c r="J590" s="299">
        <f t="shared" si="298"/>
        <v>1.56266376608338</v>
      </c>
      <c r="K590" s="299">
        <f t="shared" si="299"/>
        <v>1.00231617758564</v>
      </c>
      <c r="L590" s="300">
        <f t="shared" si="300"/>
        <v>0.0679958210230085</v>
      </c>
      <c r="M590" s="299">
        <f t="shared" si="301"/>
        <v>1.09527696718377</v>
      </c>
      <c r="N590" s="300">
        <f t="shared" si="302"/>
        <v>-0.420190920416548</v>
      </c>
      <c r="O590" s="298">
        <f t="shared" si="303"/>
        <v>228058.514889584</v>
      </c>
      <c r="P590" s="301">
        <f t="shared" si="304"/>
        <v>1.57079194195533</v>
      </c>
      <c r="Q590" s="320">
        <f t="shared" si="294"/>
        <v>95.0296428648886</v>
      </c>
      <c r="R590" s="321">
        <f t="shared" si="295"/>
        <v>1.56027310028922</v>
      </c>
      <c r="S590" s="298">
        <f t="shared" si="305"/>
        <v>1.18377236969178</v>
      </c>
      <c r="T590" s="301">
        <f t="shared" si="306"/>
        <v>0.56468539404126</v>
      </c>
      <c r="U590" s="316">
        <f t="shared" ref="U590:U613" si="318">IMABS(IMPRODUCT(AO590,AR590))</f>
        <v>0.598315934229287</v>
      </c>
      <c r="V590" s="317">
        <f t="shared" ref="V590:V613" si="319">IMARGUMENT(IMPRODUCT(AO590,AR590))</f>
        <v>-1.2467533320082</v>
      </c>
      <c r="W590" s="318">
        <f t="shared" si="307"/>
        <v>-17.6513149840145</v>
      </c>
      <c r="X590" s="319">
        <f t="shared" si="308"/>
        <v>-214.103810681709</v>
      </c>
      <c r="Y590" s="332">
        <f t="shared" si="309"/>
        <v>-34.1038106817089</v>
      </c>
      <c r="AA590" s="22">
        <f t="shared" si="310"/>
        <v>126030</v>
      </c>
      <c r="AB590" s="22">
        <f t="shared" si="311"/>
        <v>15883560900</v>
      </c>
      <c r="AD590" s="331">
        <f t="shared" si="312"/>
        <v>26.1393417947017</v>
      </c>
      <c r="AE590" s="332">
        <f t="shared" si="313"/>
        <v>-32.9567751017392</v>
      </c>
      <c r="AG590" s="331">
        <f t="shared" si="314"/>
        <v>-9.47993658438246</v>
      </c>
      <c r="AH590" s="332">
        <f t="shared" si="315"/>
        <v>-38.2796273808349</v>
      </c>
      <c r="AJ590" s="22">
        <f t="shared" si="316"/>
        <v>0</v>
      </c>
      <c r="AK590" s="22">
        <f t="shared" si="296"/>
        <v>0</v>
      </c>
      <c r="AM590" s="22" t="str">
        <f t="shared" ref="AM590:AM613" si="320">IMSUB(1,IMEXP(COMPLEX(0,-2*Pi*G590*Tsw)))</f>
        <v>1.63783886193821+0.770169842438257i</v>
      </c>
      <c r="AN590" s="22" t="str">
        <f t="shared" ref="AN590:AN613" si="321">COMPLEX(0,2*Pi*G590*Tsw)</f>
        <v>2.26248526674i</v>
      </c>
      <c r="AO590" s="22" t="str">
        <f t="shared" ref="AO590:AO613" si="322">IMDIV(AM590,AN590)</f>
        <v>0.340408776914596-0.723911393375905i</v>
      </c>
      <c r="AP590" s="22" t="str">
        <f t="shared" ref="AP590:AP613" si="323">IMDIV(IMEXP(COMPLEX(0,-2*Pi*G590*Tsw)),6)</f>
        <v>-0.106306476989702-0.128361640406376i</v>
      </c>
      <c r="AQ590" s="22" t="str">
        <f t="shared" ref="AQ590:AQ613" si="324">IMSUB(1,AP590)</f>
        <v>1.1063064769897+0.128361640406376i</v>
      </c>
      <c r="AR590" s="22" t="str">
        <f t="shared" ref="AR590:AR613" si="325">IMDIV(0.833,AQ590)</f>
        <v>0.742954031933888-0.0862028744015504i</v>
      </c>
    </row>
    <row r="591" spans="7:44">
      <c r="G591" s="257">
        <v>131830</v>
      </c>
      <c r="H591" s="256">
        <f t="shared" si="317"/>
        <v>131.83</v>
      </c>
      <c r="I591" s="298">
        <f t="shared" si="297"/>
        <v>128.622383467389</v>
      </c>
      <c r="J591" s="299">
        <f t="shared" si="298"/>
        <v>1.56302155192575</v>
      </c>
      <c r="K591" s="299">
        <f t="shared" si="299"/>
        <v>1.00253399203595</v>
      </c>
      <c r="L591" s="300">
        <f t="shared" si="300"/>
        <v>0.0711147333724235</v>
      </c>
      <c r="M591" s="299">
        <f t="shared" si="301"/>
        <v>1.10382464542463</v>
      </c>
      <c r="N591" s="300">
        <f t="shared" si="302"/>
        <v>-0.437199405647328</v>
      </c>
      <c r="O591" s="298">
        <f t="shared" si="303"/>
        <v>238553.947614608</v>
      </c>
      <c r="P591" s="301">
        <f t="shared" si="304"/>
        <v>1.57079213487097</v>
      </c>
      <c r="Q591" s="320">
        <f t="shared" si="294"/>
        <v>99.4025083533075</v>
      </c>
      <c r="R591" s="321">
        <f t="shared" si="295"/>
        <v>1.5607360487902</v>
      </c>
      <c r="S591" s="298">
        <f t="shared" si="305"/>
        <v>1.19962695436594</v>
      </c>
      <c r="T591" s="301">
        <f t="shared" si="306"/>
        <v>0.585216575712519</v>
      </c>
      <c r="U591" s="316">
        <f t="shared" si="318"/>
        <v>0.579282671635134</v>
      </c>
      <c r="V591" s="317">
        <f t="shared" si="319"/>
        <v>-1.287137821744</v>
      </c>
      <c r="W591" s="318">
        <f t="shared" si="307"/>
        <v>-18.3690889618553</v>
      </c>
      <c r="X591" s="319">
        <f t="shared" si="308"/>
        <v>-218.383821146523</v>
      </c>
      <c r="Y591" s="332">
        <f t="shared" si="309"/>
        <v>-38.3838211465225</v>
      </c>
      <c r="AA591" s="22">
        <f t="shared" si="310"/>
        <v>131830</v>
      </c>
      <c r="AB591" s="22">
        <f t="shared" si="311"/>
        <v>17379148900</v>
      </c>
      <c r="AD591" s="331">
        <f t="shared" si="312"/>
        <v>26.0237400806936</v>
      </c>
      <c r="AE591" s="332">
        <f t="shared" si="313"/>
        <v>-34.1066112192464</v>
      </c>
      <c r="AG591" s="331">
        <f t="shared" si="314"/>
        <v>-9.52050758388561</v>
      </c>
      <c r="AH591" s="332">
        <f t="shared" si="315"/>
        <v>-36.7820800835518</v>
      </c>
      <c r="AJ591" s="22">
        <f t="shared" si="316"/>
        <v>0</v>
      </c>
      <c r="AK591" s="22">
        <f t="shared" si="296"/>
        <v>0</v>
      </c>
      <c r="AM591" s="22" t="str">
        <f t="shared" si="320"/>
        <v>1.71443080870507+0.699706095137826i</v>
      </c>
      <c r="AN591" s="22" t="str">
        <f t="shared" si="321"/>
        <v>2.36660662314i</v>
      </c>
      <c r="AO591" s="22" t="str">
        <f t="shared" si="322"/>
        <v>0.295657963725911-0.72442576300677i</v>
      </c>
      <c r="AP591" s="22" t="str">
        <f t="shared" si="323"/>
        <v>-0.119071801450845-0.116617682522971i</v>
      </c>
      <c r="AQ591" s="22" t="str">
        <f t="shared" si="324"/>
        <v>1.11907180145084+0.116617682522971i</v>
      </c>
      <c r="AR591" s="22" t="str">
        <f t="shared" si="325"/>
        <v>0.736370223961474-0.0767366212659238i</v>
      </c>
    </row>
    <row r="592" spans="7:44">
      <c r="G592" s="257">
        <v>144540</v>
      </c>
      <c r="H592" s="256">
        <f t="shared" si="317"/>
        <v>144.54</v>
      </c>
      <c r="I592" s="298">
        <f t="shared" si="297"/>
        <v>141.022413975653</v>
      </c>
      <c r="J592" s="299">
        <f t="shared" si="298"/>
        <v>1.56370519601259</v>
      </c>
      <c r="K592" s="299">
        <f t="shared" si="299"/>
        <v>1.00304538321481</v>
      </c>
      <c r="L592" s="300">
        <f t="shared" si="300"/>
        <v>0.0779445266054627</v>
      </c>
      <c r="M592" s="299">
        <f t="shared" si="301"/>
        <v>1.12364476142747</v>
      </c>
      <c r="N592" s="300">
        <f t="shared" si="302"/>
        <v>-0.47353671415029</v>
      </c>
      <c r="O592" s="298">
        <f t="shared" si="303"/>
        <v>261553.421741368</v>
      </c>
      <c r="P592" s="301">
        <f t="shared" si="304"/>
        <v>1.57079250348418</v>
      </c>
      <c r="Q592" s="320">
        <f t="shared" si="294"/>
        <v>108.985180267728</v>
      </c>
      <c r="R592" s="321">
        <f t="shared" si="295"/>
        <v>1.56162063859683</v>
      </c>
      <c r="S592" s="298">
        <f t="shared" si="305"/>
        <v>1.2360648943408</v>
      </c>
      <c r="T592" s="301">
        <f t="shared" si="306"/>
        <v>0.628315097553299</v>
      </c>
      <c r="U592" s="316">
        <f t="shared" si="318"/>
        <v>0.539617386382454</v>
      </c>
      <c r="V592" s="317">
        <f t="shared" si="319"/>
        <v>-1.37310476975899</v>
      </c>
      <c r="W592" s="318">
        <f t="shared" si="307"/>
        <v>-19.8855794644096</v>
      </c>
      <c r="X592" s="319">
        <f t="shared" si="308"/>
        <v>-227.45789172771</v>
      </c>
      <c r="Y592" s="332">
        <f t="shared" si="309"/>
        <v>-47.4578917277102</v>
      </c>
      <c r="AA592" s="22">
        <f t="shared" si="310"/>
        <v>144540</v>
      </c>
      <c r="AB592" s="22">
        <f t="shared" si="311"/>
        <v>20891811600</v>
      </c>
      <c r="AD592" s="331">
        <f t="shared" si="312"/>
        <v>25.7637650431603</v>
      </c>
      <c r="AE592" s="332">
        <f t="shared" si="313"/>
        <v>-36.5253124842004</v>
      </c>
      <c r="AG592" s="331">
        <f t="shared" si="314"/>
        <v>-9.54483891652296</v>
      </c>
      <c r="AH592" s="332">
        <f t="shared" si="315"/>
        <v>-33.5863627907702</v>
      </c>
      <c r="AJ592" s="22">
        <f t="shared" si="316"/>
        <v>0</v>
      </c>
      <c r="AK592" s="22">
        <f t="shared" si="296"/>
        <v>0</v>
      </c>
      <c r="AM592" s="22" t="str">
        <f t="shared" si="320"/>
        <v>1.85418409900145+0.519970696302279i</v>
      </c>
      <c r="AN592" s="22" t="str">
        <f t="shared" si="321"/>
        <v>2.59477600932i</v>
      </c>
      <c r="AO592" s="22" t="str">
        <f t="shared" si="322"/>
        <v>0.200391361117349-0.714583490960889i</v>
      </c>
      <c r="AP592" s="22" t="str">
        <f t="shared" si="323"/>
        <v>-0.142364016500242-0.0866617827170465i</v>
      </c>
      <c r="AQ592" s="22" t="str">
        <f t="shared" si="324"/>
        <v>1.14236401650024+0.0866617827170465i</v>
      </c>
      <c r="AR592" s="22" t="str">
        <f t="shared" si="325"/>
        <v>0.725017152632985-0.0550011012602639i</v>
      </c>
    </row>
    <row r="593" spans="7:44">
      <c r="G593" s="257">
        <v>158490</v>
      </c>
      <c r="H593" s="256">
        <f t="shared" si="317"/>
        <v>158.49</v>
      </c>
      <c r="I593" s="298">
        <f t="shared" si="297"/>
        <v>154.632266664966</v>
      </c>
      <c r="J593" s="299">
        <f t="shared" si="298"/>
        <v>1.56432932613616</v>
      </c>
      <c r="K593" s="299">
        <f t="shared" si="299"/>
        <v>1.00366046484301</v>
      </c>
      <c r="L593" s="300">
        <f t="shared" si="300"/>
        <v>0.0854322395126658</v>
      </c>
      <c r="M593" s="299">
        <f t="shared" si="301"/>
        <v>1.1470430394764</v>
      </c>
      <c r="N593" s="300">
        <f t="shared" si="302"/>
        <v>-0.511917409436336</v>
      </c>
      <c r="O593" s="298">
        <f t="shared" si="303"/>
        <v>286796.747002479</v>
      </c>
      <c r="P593" s="301">
        <f t="shared" si="304"/>
        <v>1.570792840005</v>
      </c>
      <c r="Q593" s="320">
        <f t="shared" si="294"/>
        <v>119.502828658267</v>
      </c>
      <c r="R593" s="321">
        <f t="shared" si="295"/>
        <v>1.56242822637272</v>
      </c>
      <c r="S593" s="298">
        <f t="shared" si="305"/>
        <v>1.27853954976983</v>
      </c>
      <c r="T593" s="301">
        <f t="shared" si="306"/>
        <v>0.672699586631271</v>
      </c>
      <c r="U593" s="316">
        <f t="shared" si="318"/>
        <v>0.499067515321685</v>
      </c>
      <c r="V593" s="317">
        <f t="shared" si="319"/>
        <v>-1.46456357265425</v>
      </c>
      <c r="W593" s="318">
        <f t="shared" si="307"/>
        <v>-21.4735327518266</v>
      </c>
      <c r="X593" s="319">
        <f t="shared" si="308"/>
        <v>-237.000684482749</v>
      </c>
      <c r="Y593" s="332">
        <f t="shared" si="309"/>
        <v>-57.0006844827491</v>
      </c>
      <c r="AA593" s="22">
        <f t="shared" si="310"/>
        <v>158490</v>
      </c>
      <c r="AB593" s="22">
        <f t="shared" si="311"/>
        <v>25119080100</v>
      </c>
      <c r="AD593" s="331">
        <f t="shared" si="312"/>
        <v>25.4702456160713</v>
      </c>
      <c r="AE593" s="332">
        <f t="shared" si="313"/>
        <v>-39.0221042971432</v>
      </c>
      <c r="AG593" s="331">
        <f t="shared" si="314"/>
        <v>-9.48220750132091</v>
      </c>
      <c r="AH593" s="332">
        <f t="shared" si="315"/>
        <v>-30.1519569104557</v>
      </c>
      <c r="AJ593" s="22">
        <f t="shared" si="316"/>
        <v>0</v>
      </c>
      <c r="AK593" s="22">
        <f t="shared" si="296"/>
        <v>0</v>
      </c>
      <c r="AM593" s="22" t="str">
        <f t="shared" si="320"/>
        <v>1.95639801554691+0.292066492186162i</v>
      </c>
      <c r="AN593" s="22" t="str">
        <f t="shared" si="321"/>
        <v>2.84520582342i</v>
      </c>
      <c r="AO593" s="22" t="str">
        <f t="shared" si="322"/>
        <v>0.10265214902277-0.687612122625026i</v>
      </c>
      <c r="AP593" s="22" t="str">
        <f t="shared" si="323"/>
        <v>-0.159399669257819-0.0486777486976937i</v>
      </c>
      <c r="AQ593" s="22" t="str">
        <f t="shared" si="324"/>
        <v>1.15939966925782+0.0486777486976937i</v>
      </c>
      <c r="AR593" s="22" t="str">
        <f t="shared" si="325"/>
        <v>0.717211003221387-0.030112322699195i</v>
      </c>
    </row>
    <row r="594" spans="7:44">
      <c r="G594" s="257">
        <v>173780</v>
      </c>
      <c r="H594" s="256">
        <f t="shared" si="317"/>
        <v>173.78</v>
      </c>
      <c r="I594" s="298">
        <f t="shared" si="297"/>
        <v>169.549503256222</v>
      </c>
      <c r="J594" s="299">
        <f t="shared" si="298"/>
        <v>1.56489831011785</v>
      </c>
      <c r="K594" s="299">
        <f t="shared" si="299"/>
        <v>1.00439918278294</v>
      </c>
      <c r="L594" s="300">
        <f t="shared" si="300"/>
        <v>0.0936281555149508</v>
      </c>
      <c r="M594" s="299">
        <f t="shared" si="301"/>
        <v>1.17454695868529</v>
      </c>
      <c r="N594" s="300">
        <f t="shared" si="302"/>
        <v>-0.552162728554619</v>
      </c>
      <c r="O594" s="298">
        <f t="shared" si="303"/>
        <v>314464.879134582</v>
      </c>
      <c r="P594" s="301">
        <f t="shared" si="304"/>
        <v>1.57079314678954</v>
      </c>
      <c r="Q594" s="320">
        <f t="shared" si="294"/>
        <v>131.030848922941</v>
      </c>
      <c r="R594" s="321">
        <f t="shared" si="295"/>
        <v>1.56316446211688</v>
      </c>
      <c r="S594" s="298">
        <f t="shared" si="305"/>
        <v>1.3277898657287</v>
      </c>
      <c r="T594" s="301">
        <f t="shared" si="306"/>
        <v>0.717987497791665</v>
      </c>
      <c r="U594" s="316">
        <f t="shared" si="318"/>
        <v>0.457723599745756</v>
      </c>
      <c r="V594" s="317">
        <f t="shared" si="319"/>
        <v>-1.56297424781311</v>
      </c>
      <c r="W594" s="318">
        <f t="shared" si="307"/>
        <v>-23.1407314248106</v>
      </c>
      <c r="X594" s="319">
        <f t="shared" si="308"/>
        <v>-247.060737304148</v>
      </c>
      <c r="Y594" s="332">
        <f t="shared" si="309"/>
        <v>-67.0607373041478</v>
      </c>
      <c r="AA594" s="22">
        <f t="shared" si="310"/>
        <v>173780</v>
      </c>
      <c r="AB594" s="22">
        <f t="shared" si="311"/>
        <v>30199488400</v>
      </c>
      <c r="AD594" s="331">
        <f t="shared" si="312"/>
        <v>25.1418908010482</v>
      </c>
      <c r="AE594" s="332">
        <f t="shared" si="313"/>
        <v>-41.5747448491067</v>
      </c>
      <c r="AG594" s="331">
        <f t="shared" si="314"/>
        <v>-9.31881146074982</v>
      </c>
      <c r="AH594" s="332">
        <f t="shared" si="315"/>
        <v>-26.3823364757342</v>
      </c>
      <c r="AJ594" s="22">
        <f t="shared" si="316"/>
        <v>0</v>
      </c>
      <c r="AK594" s="22">
        <f t="shared" si="296"/>
        <v>0</v>
      </c>
      <c r="AM594" s="22" t="str">
        <f t="shared" si="320"/>
        <v>1.99976017409326+0.0218996414813723i</v>
      </c>
      <c r="AN594" s="22" t="str">
        <f t="shared" si="321"/>
        <v>3.11969126124i</v>
      </c>
      <c r="AO594" s="22" t="str">
        <f t="shared" si="322"/>
        <v>0.00701981050287256-0.641012204937999i</v>
      </c>
      <c r="AP594" s="22" t="str">
        <f t="shared" si="323"/>
        <v>-0.16662669568221-0.00364994024689538i</v>
      </c>
      <c r="AQ594" s="22" t="str">
        <f t="shared" si="324"/>
        <v>1.16662669568221+0.00364994024689538i</v>
      </c>
      <c r="AR594" s="22" t="str">
        <f t="shared" si="325"/>
        <v>0.71401747405665-0.00223389463415455i</v>
      </c>
    </row>
    <row r="595" spans="7:44">
      <c r="G595" s="257">
        <v>190550</v>
      </c>
      <c r="H595" s="256">
        <f t="shared" si="317"/>
        <v>190.55</v>
      </c>
      <c r="I595" s="298">
        <f t="shared" si="297"/>
        <v>185.910710602987</v>
      </c>
      <c r="J595" s="299">
        <f t="shared" si="298"/>
        <v>1.56541737461425</v>
      </c>
      <c r="K595" s="299">
        <f t="shared" si="299"/>
        <v>1.00528686274738</v>
      </c>
      <c r="L595" s="300">
        <f t="shared" si="300"/>
        <v>0.102602874397964</v>
      </c>
      <c r="M595" s="299">
        <f t="shared" si="301"/>
        <v>1.20679385578065</v>
      </c>
      <c r="N595" s="300">
        <f t="shared" si="302"/>
        <v>-0.594119084176116</v>
      </c>
      <c r="O595" s="298">
        <f t="shared" si="303"/>
        <v>344811.15616897</v>
      </c>
      <c r="P595" s="301">
        <f t="shared" si="304"/>
        <v>1.57079342665671</v>
      </c>
      <c r="Q595" s="320">
        <f t="shared" si="294"/>
        <v>143.674795193471</v>
      </c>
      <c r="R595" s="321">
        <f t="shared" si="295"/>
        <v>1.56383610755249</v>
      </c>
      <c r="S595" s="298">
        <f t="shared" si="305"/>
        <v>1.38470127984158</v>
      </c>
      <c r="T595" s="301">
        <f t="shared" si="306"/>
        <v>0.763851266674437</v>
      </c>
      <c r="U595" s="316">
        <f t="shared" si="318"/>
        <v>0.41536669303973</v>
      </c>
      <c r="V595" s="317">
        <f t="shared" si="319"/>
        <v>-1.67081148888105</v>
      </c>
      <c r="W595" s="318">
        <f t="shared" si="307"/>
        <v>-24.9059721269908</v>
      </c>
      <c r="X595" s="319">
        <f t="shared" si="308"/>
        <v>-257.74813887134</v>
      </c>
      <c r="Y595" s="332">
        <f t="shared" si="309"/>
        <v>-77.7481388713396</v>
      </c>
      <c r="AA595" s="22">
        <f t="shared" si="310"/>
        <v>190550</v>
      </c>
      <c r="AB595" s="22">
        <f t="shared" si="311"/>
        <v>36309302500</v>
      </c>
      <c r="AD595" s="331">
        <f t="shared" si="312"/>
        <v>24.7773133561322</v>
      </c>
      <c r="AE595" s="332">
        <f t="shared" si="313"/>
        <v>-44.1640788280297</v>
      </c>
      <c r="AG595" s="331">
        <f t="shared" si="314"/>
        <v>-9.03260928220854</v>
      </c>
      <c r="AH595" s="332">
        <f t="shared" si="315"/>
        <v>-22.1231664748272</v>
      </c>
      <c r="AJ595" s="22">
        <f t="shared" si="316"/>
        <v>0</v>
      </c>
      <c r="AK595" s="22">
        <f t="shared" si="296"/>
        <v>0</v>
      </c>
      <c r="AM595" s="22" t="str">
        <f t="shared" si="320"/>
        <v>1.96128918240262-0.275541481079901i</v>
      </c>
      <c r="AN595" s="22" t="str">
        <f t="shared" si="321"/>
        <v>3.4207455969i</v>
      </c>
      <c r="AO595" s="22" t="str">
        <f t="shared" si="322"/>
        <v>-0.0805501237302202-0.573351372338244i</v>
      </c>
      <c r="AP595" s="22" t="str">
        <f t="shared" si="323"/>
        <v>-0.16021486373377+0.0459235801799835i</v>
      </c>
      <c r="AQ595" s="22" t="str">
        <f t="shared" si="324"/>
        <v>1.16021486373377-0.0459235801799835i</v>
      </c>
      <c r="AR595" s="22" t="str">
        <f t="shared" si="325"/>
        <v>0.716847353044793+0.0283742243987624i</v>
      </c>
    </row>
    <row r="596" spans="7:44">
      <c r="G596" s="257">
        <v>208930</v>
      </c>
      <c r="H596" s="256">
        <f t="shared" si="317"/>
        <v>208.93</v>
      </c>
      <c r="I596" s="298">
        <f t="shared" si="297"/>
        <v>203.842719759466</v>
      </c>
      <c r="J596" s="299">
        <f t="shared" si="298"/>
        <v>1.56589056409571</v>
      </c>
      <c r="K596" s="299">
        <f t="shared" si="299"/>
        <v>1.00635259237982</v>
      </c>
      <c r="L596" s="300">
        <f t="shared" si="300"/>
        <v>0.112420141913535</v>
      </c>
      <c r="M596" s="299">
        <f t="shared" si="301"/>
        <v>1.24444143352045</v>
      </c>
      <c r="N596" s="300">
        <f t="shared" si="302"/>
        <v>-0.637521615654813</v>
      </c>
      <c r="O596" s="298">
        <f t="shared" si="303"/>
        <v>378070.820563275</v>
      </c>
      <c r="P596" s="301">
        <f t="shared" si="304"/>
        <v>1.57079368178781</v>
      </c>
      <c r="Q596" s="320">
        <f t="shared" si="294"/>
        <v>157.53268254401</v>
      </c>
      <c r="R596" s="321">
        <f t="shared" si="295"/>
        <v>1.56444839505196</v>
      </c>
      <c r="S596" s="298">
        <f t="shared" si="305"/>
        <v>1.45014246149989</v>
      </c>
      <c r="T596" s="301">
        <f t="shared" si="306"/>
        <v>0.809877129981539</v>
      </c>
      <c r="U596" s="316">
        <f t="shared" si="318"/>
        <v>0.371480402170262</v>
      </c>
      <c r="V596" s="317">
        <f t="shared" si="319"/>
        <v>-1.79165803448966</v>
      </c>
      <c r="W596" s="318">
        <f t="shared" si="307"/>
        <v>-26.8007994604609</v>
      </c>
      <c r="X596" s="319">
        <f t="shared" si="308"/>
        <v>-269.225562399991</v>
      </c>
      <c r="Y596" s="332">
        <f t="shared" si="309"/>
        <v>-89.2255623999906</v>
      </c>
      <c r="AA596" s="22">
        <f t="shared" si="310"/>
        <v>208930</v>
      </c>
      <c r="AB596" s="22">
        <f t="shared" si="311"/>
        <v>43651744900</v>
      </c>
      <c r="AD596" s="331">
        <f t="shared" si="312"/>
        <v>24.3761864542664</v>
      </c>
      <c r="AE596" s="332">
        <f t="shared" si="313"/>
        <v>-46.7660996753127</v>
      </c>
      <c r="AG596" s="331">
        <f t="shared" si="314"/>
        <v>-8.58647924082821</v>
      </c>
      <c r="AH596" s="332">
        <f t="shared" si="315"/>
        <v>-17.1505750761541</v>
      </c>
      <c r="AJ596" s="22">
        <f t="shared" si="316"/>
        <v>0</v>
      </c>
      <c r="AK596" s="22">
        <f t="shared" si="296"/>
        <v>0</v>
      </c>
      <c r="AM596" s="22" t="str">
        <f t="shared" si="320"/>
        <v>1.82015758447322-0.572137690273113i</v>
      </c>
      <c r="AN596" s="22" t="str">
        <f t="shared" si="321"/>
        <v>3.75070258494i</v>
      </c>
      <c r="AO596" s="22" t="str">
        <f t="shared" si="322"/>
        <v>-0.152541471182063-0.485284434916702i</v>
      </c>
      <c r="AP596" s="22" t="str">
        <f t="shared" si="323"/>
        <v>-0.136692930745537+0.0953562817121855i</v>
      </c>
      <c r="AQ596" s="22" t="str">
        <f t="shared" si="324"/>
        <v>1.13669293074554-0.0953562817121855i</v>
      </c>
      <c r="AR596" s="22" t="str">
        <f t="shared" si="325"/>
        <v>0.727706479596287+0.0610467279203132i</v>
      </c>
    </row>
    <row r="597" spans="7:44">
      <c r="G597" s="257">
        <v>229090</v>
      </c>
      <c r="H597" s="256">
        <f t="shared" si="317"/>
        <v>229.09</v>
      </c>
      <c r="I597" s="298">
        <f t="shared" si="297"/>
        <v>223.511387170003</v>
      </c>
      <c r="J597" s="299">
        <f t="shared" si="298"/>
        <v>1.56632226688738</v>
      </c>
      <c r="K597" s="299">
        <f t="shared" si="299"/>
        <v>1.00763281291102</v>
      </c>
      <c r="L597" s="300">
        <f t="shared" si="300"/>
        <v>0.123163120978712</v>
      </c>
      <c r="M597" s="299">
        <f t="shared" si="301"/>
        <v>1.28826236032226</v>
      </c>
      <c r="N597" s="300">
        <f t="shared" si="302"/>
        <v>-0.68211767215384</v>
      </c>
      <c r="O597" s="298">
        <f t="shared" si="303"/>
        <v>414551.497069782</v>
      </c>
      <c r="P597" s="301">
        <f t="shared" si="304"/>
        <v>1.57079391454936</v>
      </c>
      <c r="Q597" s="320">
        <f t="shared" si="294"/>
        <v>172.732685115633</v>
      </c>
      <c r="R597" s="321">
        <f t="shared" si="295"/>
        <v>1.56500700217808</v>
      </c>
      <c r="S597" s="298">
        <f t="shared" si="305"/>
        <v>1.52513140428047</v>
      </c>
      <c r="T597" s="301">
        <f t="shared" si="306"/>
        <v>0.855711843655258</v>
      </c>
      <c r="U597" s="316">
        <f t="shared" si="318"/>
        <v>0.324914825355453</v>
      </c>
      <c r="V597" s="317">
        <f t="shared" si="319"/>
        <v>-1.93121630270357</v>
      </c>
      <c r="W597" s="318">
        <f t="shared" si="307"/>
        <v>-28.8905376022138</v>
      </c>
      <c r="X597" s="319">
        <f t="shared" si="308"/>
        <v>-281.78017854182</v>
      </c>
      <c r="Y597" s="332">
        <f t="shared" si="309"/>
        <v>-101.78017854182</v>
      </c>
      <c r="AA597" s="22">
        <f t="shared" si="310"/>
        <v>229090</v>
      </c>
      <c r="AB597" s="22">
        <f t="shared" si="311"/>
        <v>52482228100</v>
      </c>
      <c r="AD597" s="331">
        <f t="shared" si="312"/>
        <v>23.9382251181543</v>
      </c>
      <c r="AE597" s="332">
        <f t="shared" si="313"/>
        <v>-49.3602428324932</v>
      </c>
      <c r="AG597" s="331">
        <f t="shared" si="314"/>
        <v>-7.91160088347966</v>
      </c>
      <c r="AH597" s="332">
        <f t="shared" si="315"/>
        <v>-11.118848512906</v>
      </c>
      <c r="AJ597" s="22">
        <f t="shared" si="316"/>
        <v>0</v>
      </c>
      <c r="AK597" s="22">
        <f t="shared" si="296"/>
        <v>0</v>
      </c>
      <c r="AM597" s="22" t="str">
        <f t="shared" si="320"/>
        <v>1.56445669434059-0.825462682508477i</v>
      </c>
      <c r="AN597" s="22" t="str">
        <f t="shared" si="321"/>
        <v>4.11261405822i</v>
      </c>
      <c r="AO597" s="22" t="str">
        <f t="shared" si="322"/>
        <v>-0.200714842390474-0.380404451327901i</v>
      </c>
      <c r="AP597" s="22" t="str">
        <f t="shared" si="323"/>
        <v>-0.0940761157234322+0.137577113751413i</v>
      </c>
      <c r="AQ597" s="22" t="str">
        <f t="shared" si="324"/>
        <v>1.09407611572343-0.137577113751413i</v>
      </c>
      <c r="AR597" s="22" t="str">
        <f t="shared" si="325"/>
        <v>0.749521269714174+0.0942502733590769i</v>
      </c>
    </row>
    <row r="598" spans="7:44">
      <c r="G598" s="257">
        <v>251190</v>
      </c>
      <c r="H598" s="256">
        <f t="shared" si="317"/>
        <v>251.19</v>
      </c>
      <c r="I598" s="298">
        <f t="shared" si="297"/>
        <v>245.072813376366</v>
      </c>
      <c r="J598" s="299">
        <f t="shared" si="298"/>
        <v>1.56671589550913</v>
      </c>
      <c r="K598" s="299">
        <f t="shared" si="299"/>
        <v>1.00916948105154</v>
      </c>
      <c r="L598" s="300">
        <f t="shared" si="300"/>
        <v>0.134907070233533</v>
      </c>
      <c r="M598" s="299">
        <f t="shared" si="301"/>
        <v>1.33903835988993</v>
      </c>
      <c r="N598" s="300">
        <f t="shared" si="302"/>
        <v>-0.72755210497404</v>
      </c>
      <c r="O598" s="298">
        <f t="shared" si="303"/>
        <v>454542.714867116</v>
      </c>
      <c r="P598" s="301">
        <f t="shared" si="304"/>
        <v>1.57079412678164</v>
      </c>
      <c r="Q598" s="320">
        <f t="shared" si="294"/>
        <v>189.395437858352</v>
      </c>
      <c r="R598" s="321">
        <f t="shared" si="295"/>
        <v>1.56551634403664</v>
      </c>
      <c r="S598" s="298">
        <f t="shared" si="305"/>
        <v>1.61065386144961</v>
      </c>
      <c r="T598" s="301">
        <f t="shared" si="306"/>
        <v>0.900949571536605</v>
      </c>
      <c r="U598" s="316">
        <f t="shared" si="318"/>
        <v>0.273670660531439</v>
      </c>
      <c r="V598" s="317">
        <f t="shared" si="319"/>
        <v>-2.09803468324136</v>
      </c>
      <c r="W598" s="318">
        <f t="shared" si="307"/>
        <v>-31.3061864310982</v>
      </c>
      <c r="X598" s="319">
        <f t="shared" si="308"/>
        <v>-295.853803388249</v>
      </c>
      <c r="Y598" s="332">
        <f t="shared" si="309"/>
        <v>-115.853803388249</v>
      </c>
      <c r="AA598" s="22">
        <f t="shared" si="310"/>
        <v>251190</v>
      </c>
      <c r="AB598" s="22">
        <f t="shared" si="311"/>
        <v>63096416100</v>
      </c>
      <c r="AD598" s="331">
        <f t="shared" si="312"/>
        <v>23.4643015458137</v>
      </c>
      <c r="AE598" s="332">
        <f t="shared" si="313"/>
        <v>-51.9230027389733</v>
      </c>
      <c r="AG598" s="331">
        <f t="shared" si="314"/>
        <v>-6.87167463721555</v>
      </c>
      <c r="AH598" s="332">
        <f t="shared" si="315"/>
        <v>-3.51373513096607</v>
      </c>
      <c r="AJ598" s="22">
        <f t="shared" si="316"/>
        <v>0</v>
      </c>
      <c r="AK598" s="22">
        <f t="shared" si="296"/>
        <v>0</v>
      </c>
      <c r="AM598" s="22" t="str">
        <f t="shared" si="320"/>
        <v>1.20164452976354-0.979458770758852i</v>
      </c>
      <c r="AN598" s="22" t="str">
        <f t="shared" si="321"/>
        <v>4.50935233002i</v>
      </c>
      <c r="AO598" s="22" t="str">
        <f t="shared" si="322"/>
        <v>-0.217206086168589-0.266478297063607i</v>
      </c>
      <c r="AP598" s="22" t="str">
        <f t="shared" si="323"/>
        <v>-0.0336074216272563+0.163243128459809i</v>
      </c>
      <c r="AQ598" s="22" t="str">
        <f t="shared" si="324"/>
        <v>1.03360742162726-0.163243128459809i</v>
      </c>
      <c r="AR598" s="22" t="str">
        <f t="shared" si="325"/>
        <v>0.786302086130781+0.124184878870531i</v>
      </c>
    </row>
    <row r="599" spans="7:44">
      <c r="G599" s="257">
        <v>275420</v>
      </c>
      <c r="H599" s="256">
        <f t="shared" si="317"/>
        <v>275.42</v>
      </c>
      <c r="I599" s="298">
        <f t="shared" si="297"/>
        <v>268.712368089673</v>
      </c>
      <c r="J599" s="299">
        <f t="shared" si="298"/>
        <v>1.56707486687356</v>
      </c>
      <c r="K599" s="299">
        <f t="shared" si="299"/>
        <v>1.01101368270394</v>
      </c>
      <c r="L599" s="300">
        <f t="shared" si="300"/>
        <v>0.147739902325252</v>
      </c>
      <c r="M599" s="299">
        <f t="shared" si="301"/>
        <v>1.39763874206656</v>
      </c>
      <c r="N599" s="300">
        <f t="shared" si="302"/>
        <v>-0.773467552298635</v>
      </c>
      <c r="O599" s="298">
        <f t="shared" si="303"/>
        <v>498388.289854891</v>
      </c>
      <c r="P599" s="301">
        <f t="shared" si="304"/>
        <v>1.57079432032721</v>
      </c>
      <c r="Q599" s="320">
        <f t="shared" ref="Q599:Q613" si="326">SQRT(1+(G599/Zero2)^2)</f>
        <v>207.664195186388</v>
      </c>
      <c r="R599" s="321">
        <f t="shared" ref="R599:R613" si="327">ATAN(G599/Zero2)</f>
        <v>1.56598084156438</v>
      </c>
      <c r="S599" s="298">
        <f t="shared" si="305"/>
        <v>1.70780454206121</v>
      </c>
      <c r="T599" s="301">
        <f t="shared" si="306"/>
        <v>0.945241531032258</v>
      </c>
      <c r="U599" s="316">
        <f t="shared" si="318"/>
        <v>0.214392784931576</v>
      </c>
      <c r="V599" s="317">
        <f t="shared" si="319"/>
        <v>-2.30507131461558</v>
      </c>
      <c r="W599" s="318">
        <f t="shared" si="307"/>
        <v>-34.3472408699181</v>
      </c>
      <c r="X599" s="319">
        <f t="shared" si="308"/>
        <v>-312.143330048334</v>
      </c>
      <c r="Y599" s="332">
        <f t="shared" si="309"/>
        <v>-132.143330048334</v>
      </c>
      <c r="AA599" s="22">
        <f t="shared" si="310"/>
        <v>275420</v>
      </c>
      <c r="AB599" s="22">
        <f t="shared" si="311"/>
        <v>75856176400</v>
      </c>
      <c r="AD599" s="331">
        <f t="shared" si="312"/>
        <v>22.9555622573545</v>
      </c>
      <c r="AE599" s="332">
        <f t="shared" si="313"/>
        <v>-54.4341424287185</v>
      </c>
      <c r="AG599" s="331">
        <f t="shared" si="314"/>
        <v>-5.1632668007991</v>
      </c>
      <c r="AH599" s="332">
        <f t="shared" si="315"/>
        <v>6.43252829050089</v>
      </c>
      <c r="AJ599" s="22">
        <f t="shared" si="316"/>
        <v>0</v>
      </c>
      <c r="AK599" s="22">
        <f t="shared" si="296"/>
        <v>0</v>
      </c>
      <c r="AM599" s="22" t="str">
        <f t="shared" si="320"/>
        <v>0.770134682916788-0.973222449392858i</v>
      </c>
      <c r="AN599" s="22" t="str">
        <f t="shared" si="321"/>
        <v>4.94432827236i</v>
      </c>
      <c r="AO599" s="22" t="str">
        <f t="shared" si="322"/>
        <v>-0.196836131377726-0.155761236004905i</v>
      </c>
      <c r="AP599" s="22" t="str">
        <f t="shared" si="323"/>
        <v>0.0383108861805353+0.162203741565476i</v>
      </c>
      <c r="AQ599" s="22" t="str">
        <f t="shared" si="324"/>
        <v>0.961689113819465-0.162203741565476i</v>
      </c>
      <c r="AR599" s="22" t="str">
        <f t="shared" si="325"/>
        <v>0.842224647954205+0.142054211879624i</v>
      </c>
    </row>
    <row r="600" spans="7:44">
      <c r="G600" s="257">
        <v>302000</v>
      </c>
      <c r="H600" s="256">
        <f t="shared" si="317"/>
        <v>302</v>
      </c>
      <c r="I600" s="298">
        <f t="shared" si="297"/>
        <v>294.644690290526</v>
      </c>
      <c r="J600" s="299">
        <f t="shared" si="298"/>
        <v>1.56740240200092</v>
      </c>
      <c r="K600" s="299">
        <f t="shared" si="299"/>
        <v>1.01322749696933</v>
      </c>
      <c r="L600" s="300">
        <f t="shared" si="300"/>
        <v>0.161761048767367</v>
      </c>
      <c r="M600" s="299">
        <f t="shared" si="301"/>
        <v>1.46502297056422</v>
      </c>
      <c r="N600" s="300">
        <f t="shared" si="302"/>
        <v>-0.819504845144364</v>
      </c>
      <c r="O600" s="298">
        <f t="shared" si="303"/>
        <v>546486.324653715</v>
      </c>
      <c r="P600" s="301">
        <f t="shared" si="304"/>
        <v>1.57079449692294</v>
      </c>
      <c r="Q600" s="320">
        <f t="shared" si="326"/>
        <v>227.70483110776</v>
      </c>
      <c r="R600" s="321">
        <f t="shared" si="327"/>
        <v>1.56640466233352</v>
      </c>
      <c r="S600" s="298">
        <f t="shared" si="305"/>
        <v>1.81779463587445</v>
      </c>
      <c r="T600" s="301">
        <f t="shared" si="306"/>
        <v>0.988291813585745</v>
      </c>
      <c r="U600" s="316">
        <f t="shared" si="318"/>
        <v>0.142535026662227</v>
      </c>
      <c r="V600" s="317">
        <f t="shared" si="319"/>
        <v>-2.5697967582355</v>
      </c>
      <c r="W600" s="318">
        <f t="shared" si="307"/>
        <v>-38.8073926796229</v>
      </c>
      <c r="X600" s="319">
        <f t="shared" si="308"/>
        <v>-331.606463639372</v>
      </c>
      <c r="Y600" s="332">
        <f t="shared" si="309"/>
        <v>-151.606463639372</v>
      </c>
      <c r="AA600" s="22">
        <f t="shared" si="310"/>
        <v>302000</v>
      </c>
      <c r="AB600" s="22">
        <f t="shared" si="311"/>
        <v>91204000000</v>
      </c>
      <c r="AD600" s="331">
        <f t="shared" si="312"/>
        <v>22.4134122450247</v>
      </c>
      <c r="AE600" s="332">
        <f t="shared" si="313"/>
        <v>-56.8764689055183</v>
      </c>
      <c r="AG600" s="331">
        <f t="shared" si="314"/>
        <v>-1.98972602095341</v>
      </c>
      <c r="AH600" s="332">
        <f t="shared" si="315"/>
        <v>19.7470225092247</v>
      </c>
      <c r="AJ600" s="22">
        <f t="shared" si="316"/>
        <v>0</v>
      </c>
      <c r="AK600" s="22">
        <f t="shared" si="296"/>
        <v>0</v>
      </c>
      <c r="AM600" s="22" t="str">
        <f t="shared" si="320"/>
        <v>0.348847245958069-0.758946698328419i</v>
      </c>
      <c r="AN600" s="22" t="str">
        <f t="shared" si="321"/>
        <v>5.421491316i</v>
      </c>
      <c r="AO600" s="22" t="str">
        <f t="shared" si="322"/>
        <v>-0.139988548185737-0.0643452558760991i</v>
      </c>
      <c r="AP600" s="22" t="str">
        <f t="shared" si="323"/>
        <v>0.108525459006988+0.12649111638807i</v>
      </c>
      <c r="AQ600" s="22" t="str">
        <f t="shared" si="324"/>
        <v>0.891474540993012-0.12649111638807i</v>
      </c>
      <c r="AR600" s="22" t="str">
        <f t="shared" si="325"/>
        <v>0.915966066380888+0.129966213259494i</v>
      </c>
    </row>
    <row r="601" spans="7:44">
      <c r="G601" s="257">
        <v>331130</v>
      </c>
      <c r="H601" s="256">
        <f t="shared" si="317"/>
        <v>331.13</v>
      </c>
      <c r="I601" s="298">
        <f t="shared" si="297"/>
        <v>323.064906555166</v>
      </c>
      <c r="J601" s="299">
        <f t="shared" si="298"/>
        <v>1.56770096862821</v>
      </c>
      <c r="K601" s="299">
        <f t="shared" si="299"/>
        <v>1.01588139761861</v>
      </c>
      <c r="L601" s="300">
        <f t="shared" si="300"/>
        <v>0.177053804682041</v>
      </c>
      <c r="M601" s="299">
        <f t="shared" si="301"/>
        <v>1.54210669893136</v>
      </c>
      <c r="N601" s="300">
        <f t="shared" si="302"/>
        <v>-0.865231952786255</v>
      </c>
      <c r="O601" s="298">
        <f t="shared" si="303"/>
        <v>599198.730736866</v>
      </c>
      <c r="P601" s="301">
        <f t="shared" si="304"/>
        <v>1.57079465789951</v>
      </c>
      <c r="Q601" s="320">
        <f t="shared" si="326"/>
        <v>249.668140473117</v>
      </c>
      <c r="R601" s="321">
        <f t="shared" si="327"/>
        <v>1.5667909992754</v>
      </c>
      <c r="S601" s="298">
        <f t="shared" si="305"/>
        <v>1.94174240616004</v>
      </c>
      <c r="T601" s="301">
        <f t="shared" si="306"/>
        <v>1.0297870789149</v>
      </c>
      <c r="U601" s="316">
        <f t="shared" si="318"/>
        <v>0.0559341422258558</v>
      </c>
      <c r="V601" s="317">
        <f t="shared" si="319"/>
        <v>-2.90659487617698</v>
      </c>
      <c r="W601" s="318">
        <f t="shared" si="307"/>
        <v>-47.8369378091013</v>
      </c>
      <c r="X601" s="319">
        <f t="shared" si="308"/>
        <v>-355.01981820613</v>
      </c>
      <c r="Y601" s="332">
        <f t="shared" si="309"/>
        <v>-175.01981820613</v>
      </c>
      <c r="AA601" s="22">
        <f t="shared" si="310"/>
        <v>331130</v>
      </c>
      <c r="AB601" s="22">
        <f t="shared" si="311"/>
        <v>109647076900</v>
      </c>
      <c r="AD601" s="331">
        <f t="shared" si="312"/>
        <v>21.8404621992529</v>
      </c>
      <c r="AE601" s="332">
        <f t="shared" si="313"/>
        <v>-59.2318462283844</v>
      </c>
      <c r="AG601" s="331">
        <f t="shared" si="314"/>
        <v>5.80346365253355</v>
      </c>
      <c r="AH601" s="332">
        <f t="shared" si="315"/>
        <v>37.2832667214255</v>
      </c>
      <c r="AJ601" s="22">
        <f t="shared" si="316"/>
        <v>0</v>
      </c>
      <c r="AK601" s="22">
        <f t="shared" si="296"/>
        <v>0</v>
      </c>
      <c r="AM601" s="22" t="str">
        <f t="shared" si="320"/>
        <v>0.056830360253364-0.33231164689219i</v>
      </c>
      <c r="AN601" s="22" t="str">
        <f t="shared" si="321"/>
        <v>5.94443185254i</v>
      </c>
      <c r="AO601" s="22" t="str">
        <f t="shared" si="322"/>
        <v>-0.0559030122870693-0.0095602677704314i</v>
      </c>
      <c r="AP601" s="22" t="str">
        <f t="shared" si="323"/>
        <v>0.157194939957773+0.0553852744820317i</v>
      </c>
      <c r="AQ601" s="22" t="str">
        <f t="shared" si="324"/>
        <v>0.842805060042227-0.0553852744820317i</v>
      </c>
      <c r="AR601" s="22" t="str">
        <f t="shared" si="325"/>
        <v>0.984116239032071+0.0646715956098853i</v>
      </c>
    </row>
    <row r="602" spans="7:44">
      <c r="G602" s="257">
        <v>363080</v>
      </c>
      <c r="H602" s="256">
        <f t="shared" si="317"/>
        <v>363.08</v>
      </c>
      <c r="I602" s="298">
        <f t="shared" si="297"/>
        <v>354.236438035763</v>
      </c>
      <c r="J602" s="299">
        <f t="shared" si="298"/>
        <v>1.56797334976366</v>
      </c>
      <c r="K602" s="299">
        <f t="shared" si="299"/>
        <v>1.01906387724205</v>
      </c>
      <c r="L602" s="300">
        <f t="shared" si="300"/>
        <v>0.193731072319457</v>
      </c>
      <c r="M602" s="299">
        <f t="shared" si="301"/>
        <v>1.62998811745962</v>
      </c>
      <c r="N602" s="300">
        <f t="shared" si="302"/>
        <v>-0.910309454171274</v>
      </c>
      <c r="O602" s="298">
        <f t="shared" si="303"/>
        <v>657014.088593273</v>
      </c>
      <c r="P602" s="301">
        <f t="shared" si="304"/>
        <v>1.57079480475752</v>
      </c>
      <c r="Q602" s="320">
        <f t="shared" si="326"/>
        <v>273.75769668564</v>
      </c>
      <c r="R602" s="321">
        <f t="shared" si="327"/>
        <v>1.56714345333773</v>
      </c>
      <c r="S602" s="298">
        <f t="shared" si="305"/>
        <v>2.08104969767798</v>
      </c>
      <c r="T602" s="301">
        <f t="shared" si="306"/>
        <v>1.06954109857132</v>
      </c>
      <c r="U602" s="316">
        <f t="shared" si="318"/>
        <v>0.0356937239293845</v>
      </c>
      <c r="V602" s="317">
        <f t="shared" si="319"/>
        <v>-0.163650769461452</v>
      </c>
      <c r="W602" s="318">
        <f t="shared" si="307"/>
        <v>-52.6319693661093</v>
      </c>
      <c r="X602" s="319">
        <f t="shared" si="308"/>
        <v>-201.761068925421</v>
      </c>
      <c r="Y602" s="332">
        <f t="shared" si="309"/>
        <v>-21.7610689254213</v>
      </c>
      <c r="AA602" s="22">
        <f t="shared" si="310"/>
        <v>363080</v>
      </c>
      <c r="AB602" s="22">
        <f t="shared" si="311"/>
        <v>131827086400</v>
      </c>
      <c r="AD602" s="331">
        <f t="shared" si="312"/>
        <v>21.2386337493847</v>
      </c>
      <c r="AE602" s="332">
        <f t="shared" si="313"/>
        <v>-61.4893980600573</v>
      </c>
      <c r="AG602" s="331">
        <f t="shared" si="314"/>
        <v>9.41366542835414</v>
      </c>
      <c r="AH602" s="332">
        <f t="shared" si="315"/>
        <v>-121.518674035517</v>
      </c>
      <c r="AJ602" s="22">
        <f t="shared" si="316"/>
        <v>0</v>
      </c>
      <c r="AK602" s="22">
        <f t="shared" ref="AK602:AK613" si="328">IF(AJ602&gt;0,Y602,0)</f>
        <v>0</v>
      </c>
      <c r="AM602" s="22" t="str">
        <f t="shared" si="320"/>
        <v>0.027441809113729+0.232659763044717i</v>
      </c>
      <c r="AN602" s="22" t="str">
        <f t="shared" si="321"/>
        <v>6.51799691064i</v>
      </c>
      <c r="AO602" s="22" t="str">
        <f t="shared" si="322"/>
        <v>0.0356949790302788-0.00421015988346556i</v>
      </c>
      <c r="AP602" s="22" t="str">
        <f t="shared" si="323"/>
        <v>0.162093031814379-0.0387766271741195i</v>
      </c>
      <c r="AQ602" s="22" t="str">
        <f t="shared" si="324"/>
        <v>0.837906968185621+0.0387766271741195i</v>
      </c>
      <c r="AR602" s="22" t="str">
        <f t="shared" si="325"/>
        <v>0.992019221463986-0.0459086282377683i</v>
      </c>
    </row>
    <row r="603" spans="7:44">
      <c r="G603" s="257">
        <v>398110</v>
      </c>
      <c r="H603" s="256">
        <f t="shared" si="317"/>
        <v>398.11</v>
      </c>
      <c r="I603" s="298">
        <f t="shared" si="297"/>
        <v>388.412949785942</v>
      </c>
      <c r="J603" s="299">
        <f t="shared" si="298"/>
        <v>1.56822174449712</v>
      </c>
      <c r="K603" s="299">
        <f t="shared" si="299"/>
        <v>1.02287670116557</v>
      </c>
      <c r="L603" s="300">
        <f t="shared" si="300"/>
        <v>0.211891147146664</v>
      </c>
      <c r="M603" s="299">
        <f t="shared" si="301"/>
        <v>1.72973765067311</v>
      </c>
      <c r="N603" s="300">
        <f t="shared" si="302"/>
        <v>-0.954370696429575</v>
      </c>
      <c r="O603" s="298">
        <f t="shared" si="303"/>
        <v>720402.883138198</v>
      </c>
      <c r="P603" s="301">
        <f t="shared" si="304"/>
        <v>1.57079493868274</v>
      </c>
      <c r="Q603" s="320">
        <f t="shared" si="326"/>
        <v>300.169533703927</v>
      </c>
      <c r="R603" s="321">
        <f t="shared" si="327"/>
        <v>1.56746486994306</v>
      </c>
      <c r="S603" s="298">
        <f t="shared" si="305"/>
        <v>2.23706900468778</v>
      </c>
      <c r="T603" s="301">
        <f t="shared" si="306"/>
        <v>1.10737244160613</v>
      </c>
      <c r="U603" s="316">
        <f t="shared" si="318"/>
        <v>0.108323644120311</v>
      </c>
      <c r="V603" s="317">
        <f t="shared" si="319"/>
        <v>-0.572979559496123</v>
      </c>
      <c r="W603" s="318">
        <f t="shared" si="307"/>
        <v>-43.8689454522904</v>
      </c>
      <c r="X603" s="319">
        <f t="shared" si="308"/>
        <v>-228.86130875432</v>
      </c>
      <c r="Y603" s="332">
        <f t="shared" si="309"/>
        <v>-48.8613087543204</v>
      </c>
      <c r="AA603" s="22">
        <f t="shared" si="310"/>
        <v>398110</v>
      </c>
      <c r="AB603" s="22">
        <f t="shared" si="311"/>
        <v>158491572100</v>
      </c>
      <c r="AD603" s="331">
        <f t="shared" si="312"/>
        <v>20.6106854237019</v>
      </c>
      <c r="AE603" s="332">
        <f t="shared" si="313"/>
        <v>-63.6385662101183</v>
      </c>
      <c r="AG603" s="331">
        <f t="shared" si="314"/>
        <v>-0.480618388331323</v>
      </c>
      <c r="AH603" s="332">
        <f t="shared" si="315"/>
        <v>-99.5641214563904</v>
      </c>
      <c r="AJ603" s="22">
        <f t="shared" si="316"/>
        <v>0</v>
      </c>
      <c r="AK603" s="22">
        <f t="shared" si="328"/>
        <v>0</v>
      </c>
      <c r="AM603" s="22" t="str">
        <f t="shared" si="320"/>
        <v>0.350347207370477+0.760231049766229i</v>
      </c>
      <c r="AN603" s="22" t="str">
        <f t="shared" si="321"/>
        <v>7.14685399938i</v>
      </c>
      <c r="AO603" s="22" t="str">
        <f t="shared" si="322"/>
        <v>0.106372824998549-0.0490211787453431i</v>
      </c>
      <c r="AP603" s="22" t="str">
        <f t="shared" si="323"/>
        <v>0.108275465438254-0.126705174961038i</v>
      </c>
      <c r="AQ603" s="22" t="str">
        <f t="shared" si="324"/>
        <v>0.891724534561746+0.126705174961038i</v>
      </c>
      <c r="AR603" s="22" t="str">
        <f t="shared" si="325"/>
        <v>0.915658228185263-0.13010591445008i</v>
      </c>
    </row>
    <row r="604" spans="7:44">
      <c r="G604" s="257">
        <v>436520</v>
      </c>
      <c r="H604" s="256">
        <f t="shared" si="317"/>
        <v>436.52</v>
      </c>
      <c r="I604" s="298">
        <f t="shared" si="297"/>
        <v>425.887132454982</v>
      </c>
      <c r="J604" s="299">
        <f t="shared" si="298"/>
        <v>1.56844828469013</v>
      </c>
      <c r="K604" s="299">
        <f t="shared" si="299"/>
        <v>1.0274420456533</v>
      </c>
      <c r="L604" s="300">
        <f t="shared" si="300"/>
        <v>0.231641289944118</v>
      </c>
      <c r="M604" s="299">
        <f t="shared" si="301"/>
        <v>1.84252903212601</v>
      </c>
      <c r="N604" s="300">
        <f t="shared" si="302"/>
        <v>-0.997109533093412</v>
      </c>
      <c r="O604" s="298">
        <f t="shared" si="303"/>
        <v>789907.981581561</v>
      </c>
      <c r="P604" s="301">
        <f t="shared" si="304"/>
        <v>1.57079506082465</v>
      </c>
      <c r="Q604" s="320">
        <f t="shared" si="326"/>
        <v>329.129844819507</v>
      </c>
      <c r="R604" s="321">
        <f t="shared" si="327"/>
        <v>1.56775800755917</v>
      </c>
      <c r="S604" s="298">
        <f t="shared" si="305"/>
        <v>2.41132010641393</v>
      </c>
      <c r="T604" s="301">
        <f t="shared" si="306"/>
        <v>1.14317158885947</v>
      </c>
      <c r="U604" s="316">
        <f t="shared" si="318"/>
        <v>0.147395031445919</v>
      </c>
      <c r="V604" s="317">
        <f t="shared" si="319"/>
        <v>-0.942202032387851</v>
      </c>
      <c r="W604" s="318">
        <f t="shared" si="307"/>
        <v>-42.0579250324278</v>
      </c>
      <c r="X604" s="319">
        <f t="shared" si="308"/>
        <v>-253.380684610209</v>
      </c>
      <c r="Y604" s="332">
        <f t="shared" si="309"/>
        <v>-73.380684610209</v>
      </c>
      <c r="AA604" s="22">
        <f t="shared" si="310"/>
        <v>436520</v>
      </c>
      <c r="AB604" s="22">
        <f t="shared" si="311"/>
        <v>190549710400</v>
      </c>
      <c r="AD604" s="331">
        <f t="shared" si="312"/>
        <v>19.9591675765172</v>
      </c>
      <c r="AE604" s="332">
        <f t="shared" si="313"/>
        <v>-65.6729177102231</v>
      </c>
      <c r="AG604" s="331">
        <f t="shared" si="314"/>
        <v>-3.36846341676619</v>
      </c>
      <c r="AH604" s="332">
        <f t="shared" si="315"/>
        <v>-79.7393669676695</v>
      </c>
      <c r="AJ604" s="22">
        <f t="shared" si="316"/>
        <v>0</v>
      </c>
      <c r="AK604" s="22">
        <f t="shared" si="328"/>
        <v>0</v>
      </c>
      <c r="AM604" s="22" t="str">
        <f t="shared" si="320"/>
        <v>0.982407979705906+0.999845248436963i</v>
      </c>
      <c r="AN604" s="22" t="str">
        <f t="shared" si="321"/>
        <v>7.83638870616i</v>
      </c>
      <c r="AO604" s="22" t="str">
        <f t="shared" si="322"/>
        <v>0.12759005275619-0.125364886370894i</v>
      </c>
      <c r="AP604" s="22" t="str">
        <f t="shared" si="323"/>
        <v>0.00293200338234902-0.166640874739494i</v>
      </c>
      <c r="AQ604" s="22" t="str">
        <f t="shared" si="324"/>
        <v>0.997067996617651+0.166640874739494i</v>
      </c>
      <c r="AR604" s="22" t="str">
        <f t="shared" si="325"/>
        <v>0.812747283324233-0.135835187464385i</v>
      </c>
    </row>
    <row r="605" spans="7:44">
      <c r="G605" s="257">
        <v>478630</v>
      </c>
      <c r="H605" s="256">
        <f t="shared" si="317"/>
        <v>478.63</v>
      </c>
      <c r="I605" s="298">
        <f t="shared" si="297"/>
        <v>466.971189591567</v>
      </c>
      <c r="J605" s="299">
        <f t="shared" si="298"/>
        <v>1.56865486542298</v>
      </c>
      <c r="K605" s="299">
        <f t="shared" si="299"/>
        <v>1.03290332181488</v>
      </c>
      <c r="L605" s="300">
        <f t="shared" si="300"/>
        <v>0.253084007910862</v>
      </c>
      <c r="M605" s="299">
        <f t="shared" si="301"/>
        <v>1.96958445193152</v>
      </c>
      <c r="N605" s="300">
        <f t="shared" si="302"/>
        <v>-1.03825856364084</v>
      </c>
      <c r="O605" s="298">
        <f t="shared" si="303"/>
        <v>866108.442280609</v>
      </c>
      <c r="P605" s="301">
        <f t="shared" si="304"/>
        <v>1.57079517220507</v>
      </c>
      <c r="Q605" s="320">
        <f t="shared" si="326"/>
        <v>360.879903121818</v>
      </c>
      <c r="R605" s="321">
        <f t="shared" si="327"/>
        <v>1.5680253182929</v>
      </c>
      <c r="S605" s="298">
        <f t="shared" si="305"/>
        <v>2.6054072360485</v>
      </c>
      <c r="T605" s="301">
        <f t="shared" si="306"/>
        <v>1.17686979729164</v>
      </c>
      <c r="U605" s="316">
        <f t="shared" si="318"/>
        <v>0.158482193789613</v>
      </c>
      <c r="V605" s="317">
        <f t="shared" si="319"/>
        <v>-1.26495872122721</v>
      </c>
      <c r="W605" s="318">
        <f t="shared" si="307"/>
        <v>-42.2750533391461</v>
      </c>
      <c r="X605" s="319">
        <f t="shared" si="308"/>
        <v>-274.929661184786</v>
      </c>
      <c r="Y605" s="332">
        <f t="shared" si="309"/>
        <v>-94.9296611847864</v>
      </c>
      <c r="AA605" s="22">
        <f t="shared" si="310"/>
        <v>478630</v>
      </c>
      <c r="AB605" s="22">
        <f t="shared" si="311"/>
        <v>229086676900</v>
      </c>
      <c r="AD605" s="331">
        <f t="shared" si="312"/>
        <v>19.2867458818143</v>
      </c>
      <c r="AE605" s="332">
        <f t="shared" si="313"/>
        <v>-67.5883734374932</v>
      </c>
      <c r="AG605" s="331">
        <f t="shared" si="314"/>
        <v>-4.17307523678385</v>
      </c>
      <c r="AH605" s="332">
        <f t="shared" si="315"/>
        <v>-62.3876956124894</v>
      </c>
      <c r="AJ605" s="22">
        <f t="shared" si="316"/>
        <v>0</v>
      </c>
      <c r="AK605" s="22">
        <f t="shared" si="328"/>
        <v>0</v>
      </c>
      <c r="AM605" s="22" t="str">
        <f t="shared" si="320"/>
        <v>1.67307889266911+0.73957068914562i</v>
      </c>
      <c r="AN605" s="22" t="str">
        <f t="shared" si="321"/>
        <v>8.59234565754i</v>
      </c>
      <c r="AO605" s="22" t="str">
        <f t="shared" si="322"/>
        <v>0.0860732003369334-0.194717363494442i</v>
      </c>
      <c r="AP605" s="22" t="str">
        <f t="shared" si="323"/>
        <v>-0.112179815444852-0.12326178152427i</v>
      </c>
      <c r="AQ605" s="22" t="str">
        <f t="shared" si="324"/>
        <v>1.11217981544485+0.12326178152427i</v>
      </c>
      <c r="AR605" s="22" t="str">
        <f t="shared" si="325"/>
        <v>0.73989146866196-0.0820014347458764i</v>
      </c>
    </row>
    <row r="606" spans="7:44">
      <c r="G606" s="257">
        <v>524810</v>
      </c>
      <c r="H606" s="256">
        <f t="shared" si="317"/>
        <v>524.81</v>
      </c>
      <c r="I606" s="298">
        <f t="shared" si="297"/>
        <v>512.026106737746</v>
      </c>
      <c r="J606" s="299">
        <f t="shared" si="298"/>
        <v>1.56884330013754</v>
      </c>
      <c r="K606" s="299">
        <f t="shared" si="299"/>
        <v>1.03943225004015</v>
      </c>
      <c r="L606" s="300">
        <f t="shared" si="300"/>
        <v>0.276328255608374</v>
      </c>
      <c r="M606" s="299">
        <f t="shared" si="301"/>
        <v>2.1122666116091</v>
      </c>
      <c r="N606" s="300">
        <f t="shared" si="302"/>
        <v>-1.077621137496</v>
      </c>
      <c r="O606" s="298">
        <f t="shared" si="303"/>
        <v>949673.801460911</v>
      </c>
      <c r="P606" s="301">
        <f t="shared" si="304"/>
        <v>1.57079527380175</v>
      </c>
      <c r="Q606" s="320">
        <f t="shared" si="326"/>
        <v>395.698680864913</v>
      </c>
      <c r="R606" s="321">
        <f t="shared" si="327"/>
        <v>1.56826914863435</v>
      </c>
      <c r="S606" s="298">
        <f t="shared" si="305"/>
        <v>2.82116166804647</v>
      </c>
      <c r="T606" s="301">
        <f t="shared" si="306"/>
        <v>1.20845563575297</v>
      </c>
      <c r="U606" s="316">
        <f t="shared" si="318"/>
        <v>0.151570247570615</v>
      </c>
      <c r="V606" s="317">
        <f t="shared" si="319"/>
        <v>-1.56957815379165</v>
      </c>
      <c r="W606" s="318">
        <f t="shared" si="307"/>
        <v>-43.4912639766326</v>
      </c>
      <c r="X606" s="319">
        <f t="shared" si="308"/>
        <v>-295.113148234763</v>
      </c>
      <c r="Y606" s="332">
        <f t="shared" si="309"/>
        <v>-115.113148234763</v>
      </c>
      <c r="AA606" s="22">
        <f t="shared" si="310"/>
        <v>524810</v>
      </c>
      <c r="AB606" s="22">
        <f t="shared" si="311"/>
        <v>275425536100</v>
      </c>
      <c r="AD606" s="331">
        <f t="shared" si="312"/>
        <v>18.5956930845209</v>
      </c>
      <c r="AE606" s="332">
        <f t="shared" si="313"/>
        <v>-69.3841440473411</v>
      </c>
      <c r="AG606" s="331">
        <f t="shared" si="314"/>
        <v>-3.92357250432221</v>
      </c>
      <c r="AH606" s="332">
        <f t="shared" si="315"/>
        <v>-45.8685963255079</v>
      </c>
      <c r="AJ606" s="22">
        <f t="shared" si="316"/>
        <v>0</v>
      </c>
      <c r="AK606" s="22">
        <f t="shared" si="328"/>
        <v>0</v>
      </c>
      <c r="AM606" s="22" t="str">
        <f t="shared" si="320"/>
        <v>1.99999418294494+0.00341087617561343i</v>
      </c>
      <c r="AN606" s="22" t="str">
        <f t="shared" si="321"/>
        <v>9.42136707798i</v>
      </c>
      <c r="AO606" s="22" t="str">
        <f t="shared" si="322"/>
        <v>0.000362036225463019-0.212282799979146i</v>
      </c>
      <c r="AP606" s="22" t="str">
        <f t="shared" si="323"/>
        <v>-0.16666569715749-0.000568479362602238i</v>
      </c>
      <c r="AQ606" s="22" t="str">
        <f t="shared" si="324"/>
        <v>1.16666569715749+0.000568479362602238i</v>
      </c>
      <c r="AR606" s="22" t="str">
        <f t="shared" si="325"/>
        <v>0.714000423814615-0.000347909865539715i</v>
      </c>
    </row>
    <row r="607" spans="7:44">
      <c r="G607" s="257">
        <v>575440</v>
      </c>
      <c r="H607" s="256">
        <f t="shared" si="317"/>
        <v>575.44</v>
      </c>
      <c r="I607" s="298">
        <f t="shared" si="297"/>
        <v>561.422625958959</v>
      </c>
      <c r="J607" s="299">
        <f t="shared" si="298"/>
        <v>1.56901513650698</v>
      </c>
      <c r="K607" s="299">
        <f t="shared" si="299"/>
        <v>1.04722703968785</v>
      </c>
      <c r="L607" s="300">
        <f t="shared" si="300"/>
        <v>0.301464184846339</v>
      </c>
      <c r="M607" s="299">
        <f t="shared" si="301"/>
        <v>2.27196030714487</v>
      </c>
      <c r="N607" s="300">
        <f t="shared" si="302"/>
        <v>-1.11503224020242</v>
      </c>
      <c r="O607" s="298">
        <f t="shared" si="303"/>
        <v>1041291.6909217</v>
      </c>
      <c r="P607" s="301">
        <f t="shared" si="304"/>
        <v>1.57079536644919</v>
      </c>
      <c r="Q607" s="320">
        <f t="shared" si="326"/>
        <v>433.872690297152</v>
      </c>
      <c r="R607" s="321">
        <f t="shared" si="327"/>
        <v>1.56849150119113</v>
      </c>
      <c r="S607" s="298">
        <f t="shared" si="305"/>
        <v>3.06046119535158</v>
      </c>
      <c r="T607" s="301">
        <f t="shared" si="306"/>
        <v>1.23793552430664</v>
      </c>
      <c r="U607" s="316">
        <f t="shared" si="318"/>
        <v>0.130576682750329</v>
      </c>
      <c r="V607" s="317">
        <f t="shared" si="319"/>
        <v>-1.90520990759886</v>
      </c>
      <c r="W607" s="318">
        <f t="shared" si="307"/>
        <v>-45.5954360934078</v>
      </c>
      <c r="X607" s="319">
        <f t="shared" si="308"/>
        <v>-316.732930994345</v>
      </c>
      <c r="Y607" s="332">
        <f t="shared" si="309"/>
        <v>-136.732930994345</v>
      </c>
      <c r="AA607" s="22">
        <f t="shared" si="310"/>
        <v>575440</v>
      </c>
      <c r="AB607" s="22">
        <f t="shared" si="311"/>
        <v>331131193600</v>
      </c>
      <c r="AD607" s="331">
        <f t="shared" si="312"/>
        <v>17.8885103589349</v>
      </c>
      <c r="AE607" s="332">
        <f t="shared" si="313"/>
        <v>-71.0604826891375</v>
      </c>
      <c r="AG607" s="331">
        <f t="shared" si="314"/>
        <v>-2.73062874951431</v>
      </c>
      <c r="AH607" s="332">
        <f t="shared" si="315"/>
        <v>-27.351474471891</v>
      </c>
      <c r="AJ607" s="22">
        <f t="shared" si="316"/>
        <v>0</v>
      </c>
      <c r="AK607" s="22">
        <f t="shared" si="328"/>
        <v>0</v>
      </c>
      <c r="AM607" s="22" t="str">
        <f t="shared" si="320"/>
        <v>1.61729484645299-0.786731893685886i</v>
      </c>
      <c r="AN607" s="22" t="str">
        <f t="shared" si="321"/>
        <v>10.33027471152i</v>
      </c>
      <c r="AO607" s="22" t="str">
        <f t="shared" si="322"/>
        <v>-0.0761578869542111-0.156558745204465i</v>
      </c>
      <c r="AP607" s="22" t="str">
        <f t="shared" si="323"/>
        <v>-0.102882474408832+0.131121982280981i</v>
      </c>
      <c r="AQ607" s="22" t="str">
        <f t="shared" si="324"/>
        <v>1.10288247440883-0.131121982280981i</v>
      </c>
      <c r="AR607" s="22" t="str">
        <f t="shared" si="325"/>
        <v>0.744766339564223+0.0885454625001241i</v>
      </c>
    </row>
    <row r="608" spans="7:44">
      <c r="G608" s="257">
        <v>630960</v>
      </c>
      <c r="H608" s="256">
        <f t="shared" si="317"/>
        <v>630.96</v>
      </c>
      <c r="I608" s="298">
        <f t="shared" si="297"/>
        <v>615.590027690638</v>
      </c>
      <c r="J608" s="299">
        <f t="shared" si="298"/>
        <v>1.56917186831632</v>
      </c>
      <c r="K608" s="299">
        <f t="shared" si="299"/>
        <v>1.05652319235373</v>
      </c>
      <c r="L608" s="300">
        <f t="shared" si="300"/>
        <v>0.328582401462125</v>
      </c>
      <c r="M608" s="299">
        <f t="shared" si="301"/>
        <v>2.45023050438494</v>
      </c>
      <c r="N608" s="300">
        <f t="shared" si="302"/>
        <v>-1.15039719048304</v>
      </c>
      <c r="O608" s="298">
        <f t="shared" si="303"/>
        <v>1141758.31590418</v>
      </c>
      <c r="P608" s="301">
        <f t="shared" si="304"/>
        <v>1.5707954509528</v>
      </c>
      <c r="Q608" s="320">
        <f t="shared" si="326"/>
        <v>475.733682635918</v>
      </c>
      <c r="R608" s="321">
        <f t="shared" si="327"/>
        <v>1.56869430885311</v>
      </c>
      <c r="S608" s="298">
        <f t="shared" si="305"/>
        <v>3.32546763157259</v>
      </c>
      <c r="T608" s="301">
        <f t="shared" si="306"/>
        <v>1.26535973578594</v>
      </c>
      <c r="U608" s="316">
        <f t="shared" si="318"/>
        <v>0.0890938698783302</v>
      </c>
      <c r="V608" s="317">
        <f t="shared" si="319"/>
        <v>-2.35677379557231</v>
      </c>
      <c r="W608" s="318">
        <f t="shared" si="307"/>
        <v>-49.7042585735374</v>
      </c>
      <c r="X608" s="319">
        <f t="shared" si="308"/>
        <v>-344.646795485446</v>
      </c>
      <c r="Y608" s="332">
        <f t="shared" si="309"/>
        <v>-164.646795485446</v>
      </c>
      <c r="AA608" s="22">
        <f t="shared" si="310"/>
        <v>630960</v>
      </c>
      <c r="AB608" s="22">
        <f t="shared" si="311"/>
        <v>398110521600</v>
      </c>
      <c r="AD608" s="331">
        <f t="shared" si="312"/>
        <v>17.1671895237164</v>
      </c>
      <c r="AE608" s="332">
        <f t="shared" si="313"/>
        <v>-72.6201590837732</v>
      </c>
      <c r="AG608" s="331">
        <f t="shared" si="314"/>
        <v>0.522581924824518</v>
      </c>
      <c r="AH608" s="332">
        <f t="shared" si="315"/>
        <v>-1.96025258643464</v>
      </c>
      <c r="AJ608" s="22">
        <f t="shared" si="316"/>
        <v>0</v>
      </c>
      <c r="AK608" s="22">
        <f t="shared" si="328"/>
        <v>0</v>
      </c>
      <c r="AM608" s="22" t="str">
        <f t="shared" si="320"/>
        <v>0.674639324513921-0.945589990877252i</v>
      </c>
      <c r="AN608" s="22" t="str">
        <f t="shared" si="321"/>
        <v>11.32696741968i</v>
      </c>
      <c r="AO608" s="22" t="str">
        <f t="shared" si="322"/>
        <v>-0.0834813022622754-0.0595604542255301i</v>
      </c>
      <c r="AP608" s="22" t="str">
        <f t="shared" si="323"/>
        <v>0.0542267792476798+0.157598331812875i</v>
      </c>
      <c r="AQ608" s="22" t="str">
        <f t="shared" si="324"/>
        <v>0.94577322075232-0.157598331812875i</v>
      </c>
      <c r="AR608" s="22" t="str">
        <f t="shared" si="325"/>
        <v>0.856965449579503+0.142799904154157i</v>
      </c>
    </row>
    <row r="609" spans="7:44">
      <c r="G609" s="257">
        <v>691830</v>
      </c>
      <c r="H609" s="256">
        <f t="shared" si="317"/>
        <v>691.83</v>
      </c>
      <c r="I609" s="298">
        <f t="shared" si="297"/>
        <v>674.977105246645</v>
      </c>
      <c r="J609" s="299">
        <f t="shared" si="298"/>
        <v>1.56931479452062</v>
      </c>
      <c r="K609" s="299">
        <f t="shared" si="299"/>
        <v>1.06759128850624</v>
      </c>
      <c r="L609" s="300">
        <f t="shared" si="300"/>
        <v>0.357747210276808</v>
      </c>
      <c r="M609" s="299">
        <f t="shared" si="301"/>
        <v>2.64870124786117</v>
      </c>
      <c r="N609" s="300">
        <f t="shared" si="302"/>
        <v>-1.18365427614093</v>
      </c>
      <c r="O609" s="298">
        <f t="shared" si="303"/>
        <v>1251906.07279691</v>
      </c>
      <c r="P609" s="301">
        <f t="shared" si="304"/>
        <v>1.57079552801293</v>
      </c>
      <c r="Q609" s="320">
        <f t="shared" si="326"/>
        <v>521.628488869364</v>
      </c>
      <c r="R609" s="321">
        <f t="shared" si="327"/>
        <v>1.56887925241367</v>
      </c>
      <c r="S609" s="298">
        <f t="shared" si="305"/>
        <v>3.61844214729756</v>
      </c>
      <c r="T609" s="301">
        <f t="shared" si="306"/>
        <v>1.29078969172432</v>
      </c>
      <c r="U609" s="316">
        <f t="shared" si="318"/>
        <v>0.0117636863155631</v>
      </c>
      <c r="V609" s="317">
        <f t="shared" si="319"/>
        <v>-3.0391013428876</v>
      </c>
      <c r="W609" s="318">
        <f t="shared" si="307"/>
        <v>-68.0566366531215</v>
      </c>
      <c r="X609" s="319">
        <f t="shared" si="308"/>
        <v>-385.430380576956</v>
      </c>
      <c r="Y609" s="332">
        <f t="shared" si="309"/>
        <v>-205.430380576956</v>
      </c>
      <c r="AA609" s="22">
        <f t="shared" si="310"/>
        <v>691830</v>
      </c>
      <c r="AB609" s="22">
        <f t="shared" si="311"/>
        <v>478628748900</v>
      </c>
      <c r="AD609" s="331">
        <f t="shared" si="312"/>
        <v>16.4338081274887</v>
      </c>
      <c r="AE609" s="332">
        <f t="shared" si="313"/>
        <v>-74.066596163651</v>
      </c>
      <c r="AG609" s="331">
        <f t="shared" si="314"/>
        <v>18.0757607626835</v>
      </c>
      <c r="AH609" s="332">
        <f t="shared" si="315"/>
        <v>36.891576904636</v>
      </c>
      <c r="AJ609" s="22">
        <f t="shared" si="316"/>
        <v>0</v>
      </c>
      <c r="AK609" s="22">
        <f t="shared" si="328"/>
        <v>0</v>
      </c>
      <c r="AM609" s="22" t="str">
        <f t="shared" si="320"/>
        <v>0.010736412470181-0.146142240258017i</v>
      </c>
      <c r="AN609" s="22" t="str">
        <f t="shared" si="321"/>
        <v>12.41970310314i</v>
      </c>
      <c r="AO609" s="22" t="str">
        <f t="shared" si="322"/>
        <v>-0.0117669672973961-0.000864466113321709i</v>
      </c>
      <c r="AP609" s="22" t="str">
        <f t="shared" si="323"/>
        <v>0.164877264588303+0.0243570400430028i</v>
      </c>
      <c r="AQ609" s="22" t="str">
        <f t="shared" si="324"/>
        <v>0.835122735411697-0.0243570400430028i</v>
      </c>
      <c r="AR609" s="22" t="str">
        <f t="shared" si="325"/>
        <v>0.996610413753454+0.0290669607301491i</v>
      </c>
    </row>
    <row r="610" spans="7:44">
      <c r="G610" s="257">
        <v>758580</v>
      </c>
      <c r="H610" s="256">
        <f t="shared" si="317"/>
        <v>758.58</v>
      </c>
      <c r="I610" s="298">
        <f t="shared" si="297"/>
        <v>740.100946701759</v>
      </c>
      <c r="J610" s="299">
        <f t="shared" si="298"/>
        <v>1.56944515935114</v>
      </c>
      <c r="K610" s="299">
        <f t="shared" si="299"/>
        <v>1.08074945955704</v>
      </c>
      <c r="L610" s="300">
        <f t="shared" si="300"/>
        <v>0.389013064654153</v>
      </c>
      <c r="M610" s="299">
        <f t="shared" si="301"/>
        <v>2.86922123142063</v>
      </c>
      <c r="N610" s="300">
        <f t="shared" si="302"/>
        <v>-1.21479761778425</v>
      </c>
      <c r="O610" s="298">
        <f t="shared" si="303"/>
        <v>1372694.02700408</v>
      </c>
      <c r="P610" s="301">
        <f t="shared" si="304"/>
        <v>1.57079559830043</v>
      </c>
      <c r="Q610" s="320">
        <f t="shared" si="326"/>
        <v>571.956718777569</v>
      </c>
      <c r="R610" s="321">
        <f t="shared" si="327"/>
        <v>1.56904794186183</v>
      </c>
      <c r="S610" s="298">
        <f t="shared" si="305"/>
        <v>3.94198758752656</v>
      </c>
      <c r="T610" s="301">
        <f t="shared" si="306"/>
        <v>1.31431440273769</v>
      </c>
      <c r="U610" s="316">
        <f t="shared" si="318"/>
        <v>0.0661212251816148</v>
      </c>
      <c r="V610" s="317">
        <f t="shared" si="319"/>
        <v>-0.682273544546181</v>
      </c>
      <c r="W610" s="318">
        <f t="shared" si="307"/>
        <v>-53.803579626999</v>
      </c>
      <c r="X610" s="319">
        <f t="shared" si="308"/>
        <v>-251.73274992118</v>
      </c>
      <c r="Y610" s="332">
        <f t="shared" si="309"/>
        <v>-71.7327499211802</v>
      </c>
      <c r="AA610" s="22">
        <f t="shared" si="310"/>
        <v>758580</v>
      </c>
      <c r="AB610" s="22">
        <f t="shared" si="311"/>
        <v>575443616400</v>
      </c>
      <c r="AD610" s="331">
        <f t="shared" si="312"/>
        <v>15.6899330610589</v>
      </c>
      <c r="AE610" s="332">
        <f t="shared" si="313"/>
        <v>-75.40480165426</v>
      </c>
      <c r="AG610" s="331">
        <f t="shared" si="314"/>
        <v>3.08079458155241</v>
      </c>
      <c r="AH610" s="332">
        <f t="shared" si="315"/>
        <v>-98.1451590257287</v>
      </c>
      <c r="AJ610" s="22">
        <f t="shared" si="316"/>
        <v>0</v>
      </c>
      <c r="AK610" s="22">
        <f t="shared" si="328"/>
        <v>0</v>
      </c>
      <c r="AM610" s="22" t="str">
        <f t="shared" si="320"/>
        <v>0.503839766160561+0.868230972930817i</v>
      </c>
      <c r="AN610" s="22" t="str">
        <f t="shared" si="321"/>
        <v>13.61799629964i</v>
      </c>
      <c r="AO610" s="22" t="str">
        <f t="shared" si="322"/>
        <v>0.0637561469269726-0.0369980836442055i</v>
      </c>
      <c r="AP610" s="22" t="str">
        <f t="shared" si="323"/>
        <v>0.0826933723065732-0.144705162155136i</v>
      </c>
      <c r="AQ610" s="22" t="str">
        <f t="shared" si="324"/>
        <v>0.917306627693427+0.144705162155136i</v>
      </c>
      <c r="AR610" s="22" t="str">
        <f t="shared" si="325"/>
        <v>0.886044023515205-0.139773484927014i</v>
      </c>
    </row>
    <row r="611" spans="7:44">
      <c r="G611" s="257">
        <v>831760</v>
      </c>
      <c r="H611" s="256">
        <f t="shared" si="317"/>
        <v>831.76</v>
      </c>
      <c r="I611" s="298">
        <f t="shared" si="297"/>
        <v>811.498152996401</v>
      </c>
      <c r="J611" s="299">
        <f t="shared" si="298"/>
        <v>1.56956403778796</v>
      </c>
      <c r="K611" s="299">
        <f t="shared" si="299"/>
        <v>1.09635788816219</v>
      </c>
      <c r="L611" s="300">
        <f t="shared" si="300"/>
        <v>0.422392116818916</v>
      </c>
      <c r="M611" s="299">
        <f t="shared" si="301"/>
        <v>3.11370510759523</v>
      </c>
      <c r="N611" s="300">
        <f t="shared" si="302"/>
        <v>-1.24384136811734</v>
      </c>
      <c r="O611" s="298">
        <f t="shared" si="303"/>
        <v>1505117.4350772</v>
      </c>
      <c r="P611" s="301">
        <f t="shared" si="304"/>
        <v>1.57079566239491</v>
      </c>
      <c r="Q611" s="320">
        <f t="shared" si="326"/>
        <v>627.133061894834</v>
      </c>
      <c r="R611" s="321">
        <f t="shared" si="327"/>
        <v>1.5692017681844</v>
      </c>
      <c r="S611" s="298">
        <f t="shared" si="305"/>
        <v>4.29881057100729</v>
      </c>
      <c r="T611" s="301">
        <f t="shared" si="306"/>
        <v>1.33602305246416</v>
      </c>
      <c r="U611" s="316">
        <f t="shared" si="318"/>
        <v>0.0918006176050077</v>
      </c>
      <c r="V611" s="317">
        <f t="shared" si="319"/>
        <v>-1.28665521438387</v>
      </c>
      <c r="W611" s="318">
        <f t="shared" si="307"/>
        <v>-51.6712650395611</v>
      </c>
      <c r="X611" s="319">
        <f t="shared" si="308"/>
        <v>-287.354689675024</v>
      </c>
      <c r="Y611" s="332">
        <f t="shared" si="309"/>
        <v>-107.354689675024</v>
      </c>
      <c r="AA611" s="22">
        <f t="shared" si="310"/>
        <v>831760</v>
      </c>
      <c r="AB611" s="22">
        <f t="shared" si="311"/>
        <v>691824697600</v>
      </c>
      <c r="AD611" s="331">
        <f t="shared" si="312"/>
        <v>14.9372697134839</v>
      </c>
      <c r="AE611" s="332">
        <f t="shared" si="313"/>
        <v>-76.6398057372078</v>
      </c>
      <c r="AG611" s="331">
        <f t="shared" si="314"/>
        <v>0.265584082670933</v>
      </c>
      <c r="AH611" s="332">
        <f t="shared" si="315"/>
        <v>-63.2750568239496</v>
      </c>
      <c r="AJ611" s="22">
        <f t="shared" si="316"/>
        <v>0</v>
      </c>
      <c r="AK611" s="22">
        <f t="shared" si="328"/>
        <v>0</v>
      </c>
      <c r="AM611" s="22" t="str">
        <f t="shared" si="320"/>
        <v>1.71355095817426+0.70060333291285i</v>
      </c>
      <c r="AN611" s="22" t="str">
        <f t="shared" si="321"/>
        <v>14.93172058608i</v>
      </c>
      <c r="AO611" s="22" t="str">
        <f t="shared" si="322"/>
        <v>0.0469204690024794-0.114759109527653i</v>
      </c>
      <c r="AP611" s="22" t="str">
        <f t="shared" si="323"/>
        <v>-0.11892515969571-0.116767222152142i</v>
      </c>
      <c r="AQ611" s="22" t="str">
        <f t="shared" si="324"/>
        <v>1.11892515969571+0.116767222152142i</v>
      </c>
      <c r="AR611" s="22" t="str">
        <f t="shared" si="325"/>
        <v>0.73644434736496-0.0768528260950349i</v>
      </c>
    </row>
    <row r="612" spans="7:44">
      <c r="G612" s="257">
        <v>912010</v>
      </c>
      <c r="H612" s="256">
        <f t="shared" si="317"/>
        <v>912.01</v>
      </c>
      <c r="I612" s="298">
        <f t="shared" si="297"/>
        <v>889.793132603049</v>
      </c>
      <c r="J612" s="299">
        <f t="shared" si="298"/>
        <v>1.56967246982875</v>
      </c>
      <c r="K612" s="299">
        <f t="shared" si="299"/>
        <v>1.11483627276701</v>
      </c>
      <c r="L612" s="300">
        <f t="shared" si="300"/>
        <v>0.45787762860713</v>
      </c>
      <c r="M612" s="299">
        <f t="shared" si="301"/>
        <v>3.3843694490838</v>
      </c>
      <c r="N612" s="300">
        <f t="shared" si="302"/>
        <v>-1.27084258356954</v>
      </c>
      <c r="O612" s="298">
        <f t="shared" si="303"/>
        <v>1650334.41373077</v>
      </c>
      <c r="P612" s="301">
        <f t="shared" si="304"/>
        <v>1.5707957208571</v>
      </c>
      <c r="Q612" s="320">
        <f t="shared" si="326"/>
        <v>687.640066179333</v>
      </c>
      <c r="R612" s="321">
        <f t="shared" si="327"/>
        <v>1.56934207710577</v>
      </c>
      <c r="S612" s="298">
        <f t="shared" si="305"/>
        <v>4.69206356220618</v>
      </c>
      <c r="T612" s="301">
        <f t="shared" si="306"/>
        <v>1.3560231288603</v>
      </c>
      <c r="U612" s="316">
        <f t="shared" si="318"/>
        <v>0.0846868497078922</v>
      </c>
      <c r="V612" s="317">
        <f t="shared" si="319"/>
        <v>-1.81240135379944</v>
      </c>
      <c r="W612" s="318">
        <f t="shared" si="307"/>
        <v>-53.0630206139053</v>
      </c>
      <c r="X612" s="319">
        <f t="shared" si="308"/>
        <v>-318.135707128167</v>
      </c>
      <c r="Y612" s="332">
        <f t="shared" si="309"/>
        <v>-138.135707128167</v>
      </c>
      <c r="AA612" s="22">
        <f t="shared" si="310"/>
        <v>912010</v>
      </c>
      <c r="AB612" s="22">
        <f t="shared" si="311"/>
        <v>831762240100</v>
      </c>
      <c r="AD612" s="331">
        <f t="shared" si="312"/>
        <v>14.1769562836452</v>
      </c>
      <c r="AE612" s="332">
        <f t="shared" si="313"/>
        <v>-77.7776899465605</v>
      </c>
      <c r="AG612" s="331">
        <f t="shared" si="314"/>
        <v>1.03532694981309</v>
      </c>
      <c r="AH612" s="332">
        <f t="shared" si="315"/>
        <v>-32.6721202312812</v>
      </c>
      <c r="AJ612" s="22">
        <f t="shared" si="316"/>
        <v>0</v>
      </c>
      <c r="AK612" s="22">
        <f t="shared" si="328"/>
        <v>0</v>
      </c>
      <c r="AM612" s="22" t="str">
        <f t="shared" si="320"/>
        <v>1.78728567805562-0.616588404957887i</v>
      </c>
      <c r="AN612" s="22" t="str">
        <f t="shared" si="321"/>
        <v>16.37236521558i</v>
      </c>
      <c r="AO612" s="22" t="str">
        <f t="shared" si="322"/>
        <v>-0.0376603133902205-0.109164781906699i</v>
      </c>
      <c r="AP612" s="22" t="str">
        <f t="shared" si="323"/>
        <v>-0.131214279675936+0.102764734159648i</v>
      </c>
      <c r="AQ612" s="22" t="str">
        <f t="shared" si="324"/>
        <v>1.13121427967594-0.102764734159648i</v>
      </c>
      <c r="AR612" s="22" t="str">
        <f t="shared" si="325"/>
        <v>0.730349454852632+0.0663483204906814i</v>
      </c>
    </row>
    <row r="613" spans="7:44">
      <c r="G613" s="257">
        <v>1000000</v>
      </c>
      <c r="H613" s="256">
        <f t="shared" si="317"/>
        <v>1000</v>
      </c>
      <c r="I613" s="298">
        <f t="shared" si="297"/>
        <v>975.639563234477</v>
      </c>
      <c r="J613" s="299">
        <f t="shared" si="298"/>
        <v>1.5697713579306</v>
      </c>
      <c r="K613" s="299">
        <f t="shared" si="299"/>
        <v>1.13665402648939</v>
      </c>
      <c r="L613" s="300">
        <f t="shared" si="300"/>
        <v>0.495407251874271</v>
      </c>
      <c r="M613" s="299">
        <f t="shared" si="301"/>
        <v>3.68353679457241</v>
      </c>
      <c r="N613" s="300">
        <f t="shared" si="302"/>
        <v>-1.29586772933294</v>
      </c>
      <c r="O613" s="298">
        <f t="shared" si="303"/>
        <v>1809557.36640028</v>
      </c>
      <c r="P613" s="301">
        <f t="shared" si="304"/>
        <v>1.57079577417357</v>
      </c>
      <c r="Q613" s="320">
        <f t="shared" si="326"/>
        <v>753.982899145305</v>
      </c>
      <c r="R613" s="321">
        <f t="shared" si="327"/>
        <v>1.56947003637862</v>
      </c>
      <c r="S613" s="298">
        <f t="shared" si="305"/>
        <v>5.12505484936962</v>
      </c>
      <c r="T613" s="301">
        <f t="shared" si="306"/>
        <v>1.37441666614456</v>
      </c>
      <c r="U613" s="316">
        <f t="shared" si="318"/>
        <v>0.0444675745126936</v>
      </c>
      <c r="V613" s="317">
        <f t="shared" si="319"/>
        <v>-2.54838970012683</v>
      </c>
      <c r="W613" s="318">
        <f t="shared" si="307"/>
        <v>-59.3210835645821</v>
      </c>
      <c r="X613" s="319">
        <f t="shared" si="308"/>
        <v>-360.640488862237</v>
      </c>
      <c r="Y613" s="332">
        <f t="shared" si="309"/>
        <v>-180.640488862237</v>
      </c>
      <c r="AA613" s="22">
        <f t="shared" si="310"/>
        <v>1000000</v>
      </c>
      <c r="AB613" s="22">
        <f t="shared" si="311"/>
        <v>1000000000000</v>
      </c>
      <c r="AD613" s="331">
        <f t="shared" si="312"/>
        <v>13.4102621204797</v>
      </c>
      <c r="AE613" s="332">
        <f t="shared" si="313"/>
        <v>-78.8242335329856</v>
      </c>
      <c r="AG613" s="331">
        <f t="shared" si="314"/>
        <v>6.73485961208832</v>
      </c>
      <c r="AH613" s="332">
        <f t="shared" si="315"/>
        <v>10.207693748189</v>
      </c>
      <c r="AJ613" s="22">
        <f t="shared" si="316"/>
        <v>0</v>
      </c>
      <c r="AK613" s="22">
        <f t="shared" si="328"/>
        <v>0</v>
      </c>
      <c r="AM613" s="22" t="str">
        <f t="shared" si="320"/>
        <v>0.376510214179056-0.78183149525774i</v>
      </c>
      <c r="AN613" s="22" t="str">
        <f t="shared" si="321"/>
        <v>17.951958i</v>
      </c>
      <c r="AO613" s="22" t="str">
        <f t="shared" si="322"/>
        <v>-0.0435513215470836-0.0209732116228801i</v>
      </c>
      <c r="AP613" s="22" t="str">
        <f t="shared" si="323"/>
        <v>0.103914964303491+0.130305249209623i</v>
      </c>
      <c r="AQ613" s="22" t="str">
        <f t="shared" si="324"/>
        <v>0.896085035696509-0.130305249209623i</v>
      </c>
      <c r="AR613" s="22" t="str">
        <f t="shared" si="325"/>
        <v>0.910349158778887+0.132379483282242i</v>
      </c>
    </row>
    <row r="614" spans="7:34">
      <c r="G614" s="335"/>
      <c r="H614" s="335"/>
      <c r="I614" s="339"/>
      <c r="J614" s="339"/>
      <c r="K614" s="339"/>
      <c r="L614" s="339"/>
      <c r="M614" s="299"/>
      <c r="N614" s="300"/>
      <c r="O614" s="339"/>
      <c r="P614" s="339"/>
      <c r="Q614" s="339"/>
      <c r="R614" s="339"/>
      <c r="S614" s="339"/>
      <c r="T614" s="339"/>
      <c r="U614" s="339"/>
      <c r="V614" s="342"/>
      <c r="W614" s="343"/>
      <c r="X614" s="319"/>
      <c r="Y614" s="344"/>
      <c r="AG614" s="331"/>
      <c r="AH614" s="332"/>
    </row>
    <row r="615" spans="7:34">
      <c r="G615" s="335"/>
      <c r="H615" s="335"/>
      <c r="I615" s="339"/>
      <c r="J615" s="339"/>
      <c r="K615" s="339"/>
      <c r="L615" s="339"/>
      <c r="M615" s="299"/>
      <c r="N615" s="300"/>
      <c r="O615" s="339"/>
      <c r="P615" s="339"/>
      <c r="Q615" s="339"/>
      <c r="R615" s="339"/>
      <c r="S615" s="339"/>
      <c r="T615" s="339"/>
      <c r="U615" s="339"/>
      <c r="V615" s="342"/>
      <c r="W615" s="344"/>
      <c r="X615" s="319"/>
      <c r="Y615" s="344"/>
      <c r="AG615" s="331"/>
      <c r="AH615" s="332"/>
    </row>
    <row r="616" spans="7:34">
      <c r="G616" s="22" t="s">
        <v>546</v>
      </c>
      <c r="M616" s="299"/>
      <c r="N616" s="300"/>
      <c r="W616" s="318"/>
      <c r="X616" s="319"/>
      <c r="Y616" s="346"/>
      <c r="AG616" s="331"/>
      <c r="AH616" s="332"/>
    </row>
    <row r="617" spans="7:34">
      <c r="G617" s="336">
        <f>W4*1000</f>
        <v>28348</v>
      </c>
      <c r="H617" s="336"/>
      <c r="I617" s="340">
        <f t="shared" ref="I617:I626" si="329">SQRT(1+(G617/pole1)^2)</f>
        <v>27.6754882400256</v>
      </c>
      <c r="J617" s="320">
        <f t="shared" ref="J617:J626" si="330">ATAN(G617/pole1)</f>
        <v>1.53465540241785</v>
      </c>
      <c r="K617" s="320">
        <f t="shared" ref="K617:K626" si="331">SQRT(1+(G617/Zero1)^2)</f>
        <v>1.00011731296659</v>
      </c>
      <c r="L617" s="321">
        <f t="shared" ref="L617:L626" si="332">ATAN(G617/Zero1)</f>
        <v>0.0153167554740602</v>
      </c>
      <c r="M617" s="299">
        <v>1</v>
      </c>
      <c r="N617" s="300">
        <v>0</v>
      </c>
      <c r="O617" s="340">
        <f t="shared" ref="O617:O626" si="333">SQRT(1+(G617/Pole2)^2)</f>
        <v>51297.3322324543</v>
      </c>
      <c r="P617" s="341">
        <f t="shared" ref="P617:P626" si="334">ATAN(G617/Pole2)</f>
        <v>1.57077683260375</v>
      </c>
      <c r="Q617" s="320">
        <f t="shared" ref="Q617:Q626" si="335">SQRT(1+(G617/Zero2)^2)</f>
        <v>21.3972686680466</v>
      </c>
      <c r="R617" s="321">
        <f t="shared" ref="R617:R626" si="336">ATAN(G617/Zero2)</f>
        <v>1.52404436048109</v>
      </c>
      <c r="S617" s="340">
        <f t="shared" ref="S617:S626" si="337">SQRT(1+(G617/pole4)^2)</f>
        <v>1.01010105339246</v>
      </c>
      <c r="T617" s="341">
        <f t="shared" ref="T617:T626" si="338">ATAN(G617/pole4)</f>
        <v>0.141539774102043</v>
      </c>
      <c r="U617" s="340" t="e">
        <v>#DIV/0!</v>
      </c>
      <c r="V617" s="345" t="e">
        <v>#DIV/0!</v>
      </c>
      <c r="W617" s="318" t="e">
        <f>20*LOG10(((K617*Q617*M617)/(I617*O617*U617*S617))*Adc)</f>
        <v>#DIV/0!</v>
      </c>
      <c r="X617" s="319" t="e">
        <f>((L617+R617+N617)-(J617+P617+V617+T617))*radconv</f>
        <v>#DIV/0!</v>
      </c>
      <c r="Y617" s="332" t="e">
        <f t="shared" ref="Y617:Y628" si="339">IF(X617&gt;0,X617,X617+180)</f>
        <v>#DIV/0!</v>
      </c>
      <c r="Z617" s="22" t="s">
        <v>547</v>
      </c>
      <c r="AD617" s="331">
        <f>20*LOG10((Q617/(O617*S617))*Aea)</f>
        <v>27.5264243881503</v>
      </c>
      <c r="AE617" s="332">
        <f>(R617-(P617+T617))*radconv</f>
        <v>-10.7872051204494</v>
      </c>
      <c r="AG617" s="331" t="e">
        <f>20*LOG10((K617*M617/(I617*U617))*Acs*Am)</f>
        <v>#DIV/0!</v>
      </c>
      <c r="AH617" s="332" t="e">
        <f>(L617+N617-(J617+V617))*radconv</f>
        <v>#DIV/0!</v>
      </c>
    </row>
    <row r="618" spans="7:34">
      <c r="G618" s="336">
        <f>G617</f>
        <v>28348</v>
      </c>
      <c r="H618" s="336"/>
      <c r="I618" s="340"/>
      <c r="J618" s="320"/>
      <c r="K618" s="320"/>
      <c r="L618" s="321"/>
      <c r="M618" s="299"/>
      <c r="N618" s="300"/>
      <c r="O618" s="340"/>
      <c r="P618" s="341"/>
      <c r="Q618" s="320"/>
      <c r="R618" s="321"/>
      <c r="S618" s="298"/>
      <c r="T618" s="301"/>
      <c r="U618" s="340"/>
      <c r="V618" s="317"/>
      <c r="W618" s="318"/>
      <c r="X618" s="319">
        <v>-135</v>
      </c>
      <c r="Y618" s="332"/>
      <c r="AD618" s="331"/>
      <c r="AE618" s="332"/>
      <c r="AG618" s="331"/>
      <c r="AH618" s="332"/>
    </row>
    <row r="619" spans="7:34">
      <c r="G619" s="22">
        <f>G618</f>
        <v>28348</v>
      </c>
      <c r="H619" s="336"/>
      <c r="I619" s="340"/>
      <c r="J619" s="320"/>
      <c r="K619" s="320"/>
      <c r="L619" s="321"/>
      <c r="M619" s="299"/>
      <c r="N619" s="300"/>
      <c r="O619" s="340"/>
      <c r="P619" s="341"/>
      <c r="Q619" s="320"/>
      <c r="R619" s="321"/>
      <c r="S619" s="298"/>
      <c r="T619" s="301"/>
      <c r="U619" s="340"/>
      <c r="V619" s="317"/>
      <c r="W619" s="318"/>
      <c r="X619" s="319"/>
      <c r="Y619" s="332"/>
      <c r="AD619" s="331"/>
      <c r="AE619" s="332"/>
      <c r="AG619" s="331"/>
      <c r="AH619" s="332"/>
    </row>
    <row r="620" spans="7:34">
      <c r="G620" s="336">
        <v>1000000</v>
      </c>
      <c r="H620" s="336"/>
      <c r="I620" s="340"/>
      <c r="J620" s="320"/>
      <c r="K620" s="320"/>
      <c r="L620" s="321"/>
      <c r="M620" s="299"/>
      <c r="N620" s="300"/>
      <c r="O620" s="340"/>
      <c r="P620" s="341"/>
      <c r="Q620" s="320"/>
      <c r="R620" s="321"/>
      <c r="S620" s="298"/>
      <c r="T620" s="301"/>
      <c r="U620" s="340"/>
      <c r="V620" s="317"/>
      <c r="W620" s="318"/>
      <c r="X620" s="319" t="e">
        <f>X617</f>
        <v>#DIV/0!</v>
      </c>
      <c r="Y620" s="332"/>
      <c r="AD620" s="331"/>
      <c r="AE620" s="332"/>
      <c r="AG620" s="331"/>
      <c r="AH620" s="332"/>
    </row>
    <row r="621" spans="7:34">
      <c r="G621" s="336"/>
      <c r="H621" s="336"/>
      <c r="I621" s="340"/>
      <c r="J621" s="320"/>
      <c r="K621" s="320"/>
      <c r="L621" s="321"/>
      <c r="M621" s="299"/>
      <c r="N621" s="300"/>
      <c r="O621" s="340"/>
      <c r="P621" s="341"/>
      <c r="Q621" s="320"/>
      <c r="R621" s="321"/>
      <c r="S621" s="298"/>
      <c r="T621" s="301"/>
      <c r="U621" s="340"/>
      <c r="V621" s="317"/>
      <c r="W621" s="318"/>
      <c r="X621" s="319"/>
      <c r="Y621" s="332"/>
      <c r="AD621" s="331"/>
      <c r="AE621" s="332"/>
      <c r="AG621" s="331"/>
      <c r="AH621" s="332"/>
    </row>
    <row r="622" spans="7:34">
      <c r="G622" s="337">
        <f>pole1</f>
        <v>1024.96922322992</v>
      </c>
      <c r="H622" s="338"/>
      <c r="I622" s="340">
        <f t="shared" si="329"/>
        <v>1.4142135623731</v>
      </c>
      <c r="J622" s="320">
        <f t="shared" si="330"/>
        <v>0.785398163397448</v>
      </c>
      <c r="K622" s="320">
        <f t="shared" si="331"/>
        <v>1.00000015337277</v>
      </c>
      <c r="L622" s="321">
        <f t="shared" si="332"/>
        <v>0.000553846097216214</v>
      </c>
      <c r="M622" s="299">
        <v>1</v>
      </c>
      <c r="N622" s="300">
        <v>0</v>
      </c>
      <c r="O622" s="340">
        <f t="shared" si="333"/>
        <v>1854.74087780844</v>
      </c>
      <c r="P622" s="341">
        <f t="shared" si="334"/>
        <v>1.57025716789652</v>
      </c>
      <c r="Q622" s="320">
        <f t="shared" si="335"/>
        <v>1.26381688221561</v>
      </c>
      <c r="R622" s="321">
        <f t="shared" si="336"/>
        <v>0.65793951649466</v>
      </c>
      <c r="S622" s="298">
        <f t="shared" si="337"/>
        <v>1.00001327175886</v>
      </c>
      <c r="T622" s="301">
        <f t="shared" si="338"/>
        <v>0.00515201166092974</v>
      </c>
      <c r="U622" s="340" t="e">
        <f t="shared" ref="U622:U626" si="340">SQRT((1-(G622^2/(pole3^2)))^2+(G622/(Q*pole3))^2)</f>
        <v>#DIV/0!</v>
      </c>
      <c r="V622" s="317" t="e">
        <f t="shared" ref="V622:V626" si="341">ATAN((G622/(Q*pole3))/(1-G622^2/pole3^2))</f>
        <v>#NAME?</v>
      </c>
      <c r="W622" s="318" t="e">
        <f t="shared" ref="W622:W628" si="342">20*LOG10(((K622*Q622*M622)/(I622*O622*U622*S622))*Adc)</f>
        <v>#DIV/0!</v>
      </c>
      <c r="X622" s="319" t="e">
        <f t="shared" ref="X622:X628" si="343">((L622+R622+N622)-(J622+P622+V622+T622))*radconv</f>
        <v>#NAME?</v>
      </c>
      <c r="Y622" s="332" t="e">
        <f t="shared" si="339"/>
        <v>#NAME?</v>
      </c>
      <c r="Z622" s="22" t="s">
        <v>510</v>
      </c>
      <c r="AD622" s="331">
        <f>20*LOG10((Q622/(O622*S622))*Aea)</f>
        <v>31.8763525654108</v>
      </c>
      <c r="AE622" s="332">
        <f>(R622-(P622+T622))*radconv</f>
        <v>-52.5671395848544</v>
      </c>
      <c r="AG622" s="331" t="e">
        <f t="shared" ref="AG622:AG628" si="344">20*LOG10((K622*M622/(I622*U622))*Acs*Am)</f>
        <v>#DIV/0!</v>
      </c>
      <c r="AH622" s="332" t="e">
        <f t="shared" ref="AH622:AH628" si="345">(L622+N622-(J622+V622))*radconv</f>
        <v>#NAME?</v>
      </c>
    </row>
    <row r="623" spans="7:34">
      <c r="G623" s="337">
        <f>Zero1</f>
        <v>1850638.87527624</v>
      </c>
      <c r="H623" s="338"/>
      <c r="I623" s="340">
        <f t="shared" si="329"/>
        <v>1805.55583247861</v>
      </c>
      <c r="J623" s="320">
        <f t="shared" si="330"/>
        <v>1.57024248069768</v>
      </c>
      <c r="K623" s="320">
        <f t="shared" si="331"/>
        <v>1.4142135623731</v>
      </c>
      <c r="L623" s="321">
        <f t="shared" si="332"/>
        <v>0.785398163397448</v>
      </c>
      <c r="M623" s="299">
        <v>1</v>
      </c>
      <c r="N623" s="300">
        <v>0</v>
      </c>
      <c r="O623" s="340">
        <f t="shared" si="333"/>
        <v>3348837.20930248</v>
      </c>
      <c r="P623" s="341">
        <f t="shared" si="334"/>
        <v>1.57079602818379</v>
      </c>
      <c r="Q623" s="320">
        <f t="shared" si="335"/>
        <v>1395.34919554259</v>
      </c>
      <c r="R623" s="321">
        <f t="shared" si="336"/>
        <v>1.57007966025093</v>
      </c>
      <c r="S623" s="298">
        <f t="shared" si="337"/>
        <v>9.35592118512562</v>
      </c>
      <c r="T623" s="301">
        <f t="shared" si="338"/>
        <v>1.46370757798425</v>
      </c>
      <c r="U623" s="340" t="e">
        <f t="shared" si="340"/>
        <v>#DIV/0!</v>
      </c>
      <c r="V623" s="317" t="e">
        <f t="shared" si="341"/>
        <v>#NAME?</v>
      </c>
      <c r="W623" s="318" t="e">
        <f t="shared" si="342"/>
        <v>#DIV/0!</v>
      </c>
      <c r="X623" s="319" t="e">
        <f t="shared" si="343"/>
        <v>#NAME?</v>
      </c>
      <c r="Y623" s="332" t="e">
        <f t="shared" si="339"/>
        <v>#NAME?</v>
      </c>
      <c r="Z623" s="22" t="s">
        <v>511</v>
      </c>
      <c r="AD623" s="331">
        <f>20*LOG10((Q623/(O623*S623))*Aea)</f>
        <v>8.18249597225144</v>
      </c>
      <c r="AE623" s="332">
        <f>(R623-(P623+T623))*radconv</f>
        <v>-83.9053116148204</v>
      </c>
      <c r="AG623" s="331" t="e">
        <f t="shared" si="344"/>
        <v>#DIV/0!</v>
      </c>
      <c r="AH623" s="332" t="e">
        <f t="shared" si="345"/>
        <v>#NAME?</v>
      </c>
    </row>
    <row r="624" spans="7:34">
      <c r="G624" s="337">
        <f>Pole2</f>
        <v>0.552621330811654</v>
      </c>
      <c r="H624" s="338"/>
      <c r="I624" s="340">
        <f t="shared" si="329"/>
        <v>1.00000014534618</v>
      </c>
      <c r="J624" s="320">
        <f t="shared" si="330"/>
        <v>0.000539158898374161</v>
      </c>
      <c r="K624" s="320">
        <f t="shared" si="331"/>
        <v>1.00000000000004</v>
      </c>
      <c r="L624" s="321">
        <f t="shared" si="332"/>
        <v>2.98611111111102e-7</v>
      </c>
      <c r="M624" s="299">
        <v>1</v>
      </c>
      <c r="N624" s="300">
        <v>0</v>
      </c>
      <c r="O624" s="340">
        <f t="shared" si="333"/>
        <v>1.4142135623731</v>
      </c>
      <c r="P624" s="341">
        <f t="shared" si="334"/>
        <v>0.785398163397448</v>
      </c>
      <c r="Q624" s="320">
        <f t="shared" si="335"/>
        <v>1.00000008680555</v>
      </c>
      <c r="R624" s="321">
        <f t="shared" si="336"/>
        <v>0.000416666642554015</v>
      </c>
      <c r="S624" s="298">
        <f t="shared" si="337"/>
        <v>1.00000000000386</v>
      </c>
      <c r="T624" s="301">
        <f t="shared" si="338"/>
        <v>2.77777777777063e-6</v>
      </c>
      <c r="U624" s="340" t="e">
        <f t="shared" si="340"/>
        <v>#DIV/0!</v>
      </c>
      <c r="V624" s="317" t="e">
        <f t="shared" si="341"/>
        <v>#NAME?</v>
      </c>
      <c r="W624" s="318" t="e">
        <f t="shared" si="342"/>
        <v>#DIV/0!</v>
      </c>
      <c r="X624" s="319" t="e">
        <f t="shared" si="343"/>
        <v>#NAME?</v>
      </c>
      <c r="Y624" s="332" t="e">
        <f t="shared" si="339"/>
        <v>#NAME?</v>
      </c>
      <c r="Z624" s="22" t="s">
        <v>512</v>
      </c>
      <c r="AC624" s="22">
        <f>Pole2</f>
        <v>0.552621330811654</v>
      </c>
      <c r="AD624" s="331">
        <f>20*LOG10((Q624/(O624*S624))*Aea)</f>
        <v>92.1981504657743</v>
      </c>
      <c r="AE624" s="332">
        <f>(R624-(P624+T624))*radconv</f>
        <v>-44.9762859662538</v>
      </c>
      <c r="AG624" s="331" t="e">
        <f t="shared" si="344"/>
        <v>#DIV/0!</v>
      </c>
      <c r="AH624" s="332" t="e">
        <f t="shared" si="345"/>
        <v>#NAME?</v>
      </c>
    </row>
    <row r="625" spans="7:34">
      <c r="G625" s="337">
        <f>Zero2</f>
        <v>1326.29119394797</v>
      </c>
      <c r="H625" s="338"/>
      <c r="I625" s="340">
        <f t="shared" si="329"/>
        <v>1.63535564157067</v>
      </c>
      <c r="J625" s="320">
        <f t="shared" si="330"/>
        <v>0.912856810300237</v>
      </c>
      <c r="K625" s="320">
        <f t="shared" si="331"/>
        <v>1.00000025680552</v>
      </c>
      <c r="L625" s="321">
        <f t="shared" si="332"/>
        <v>0.000716666543970717</v>
      </c>
      <c r="M625" s="299">
        <v>1</v>
      </c>
      <c r="N625" s="300">
        <v>0</v>
      </c>
      <c r="O625" s="340">
        <f t="shared" si="333"/>
        <v>2400.00020833332</v>
      </c>
      <c r="P625" s="341">
        <f t="shared" si="334"/>
        <v>1.57037966015234</v>
      </c>
      <c r="Q625" s="320">
        <f t="shared" si="335"/>
        <v>1.4142135623731</v>
      </c>
      <c r="R625" s="321">
        <f t="shared" si="336"/>
        <v>0.785398163397448</v>
      </c>
      <c r="S625" s="298">
        <f t="shared" si="337"/>
        <v>1.00002222197531</v>
      </c>
      <c r="T625" s="301">
        <f t="shared" si="338"/>
        <v>0.00666656790386823</v>
      </c>
      <c r="U625" s="340" t="e">
        <f t="shared" si="340"/>
        <v>#DIV/0!</v>
      </c>
      <c r="V625" s="317" t="e">
        <f t="shared" si="341"/>
        <v>#NAME?</v>
      </c>
      <c r="W625" s="318" t="e">
        <f t="shared" si="342"/>
        <v>#DIV/0!</v>
      </c>
      <c r="X625" s="319" t="e">
        <f t="shared" si="343"/>
        <v>#NAME?</v>
      </c>
      <c r="Y625" s="332" t="e">
        <f t="shared" si="339"/>
        <v>#NAME?</v>
      </c>
      <c r="Z625" s="22" t="s">
        <v>548</v>
      </c>
      <c r="AC625" s="22">
        <f>Zero2</f>
        <v>1326.29119394797</v>
      </c>
      <c r="AD625" s="331">
        <f>20*LOG10((Q625/(O625*S625))*Aea)</f>
        <v>30.614331021408</v>
      </c>
      <c r="AE625" s="332">
        <f>(R625-(P625+T625))*radconv</f>
        <v>-45.358093016476</v>
      </c>
      <c r="AG625" s="331" t="e">
        <f t="shared" si="344"/>
        <v>#DIV/0!</v>
      </c>
      <c r="AH625" s="332" t="e">
        <f t="shared" si="345"/>
        <v>#NAME?</v>
      </c>
    </row>
    <row r="626" spans="7:34">
      <c r="G626" s="337">
        <f>pole3</f>
        <v>0</v>
      </c>
      <c r="H626" s="338"/>
      <c r="I626" s="340">
        <f t="shared" si="329"/>
        <v>1</v>
      </c>
      <c r="J626" s="320">
        <f t="shared" si="330"/>
        <v>0</v>
      </c>
      <c r="K626" s="320">
        <f t="shared" si="331"/>
        <v>1</v>
      </c>
      <c r="L626" s="321">
        <f t="shared" si="332"/>
        <v>0</v>
      </c>
      <c r="M626" s="299">
        <v>1</v>
      </c>
      <c r="N626" s="300">
        <v>0</v>
      </c>
      <c r="O626" s="340">
        <f t="shared" si="333"/>
        <v>1</v>
      </c>
      <c r="P626" s="341">
        <f t="shared" si="334"/>
        <v>0</v>
      </c>
      <c r="Q626" s="320">
        <f t="shared" si="335"/>
        <v>1</v>
      </c>
      <c r="R626" s="321">
        <f t="shared" si="336"/>
        <v>0</v>
      </c>
      <c r="S626" s="298">
        <f t="shared" si="337"/>
        <v>1</v>
      </c>
      <c r="T626" s="301">
        <f t="shared" si="338"/>
        <v>0</v>
      </c>
      <c r="U626" s="340" t="e">
        <f t="shared" si="340"/>
        <v>#DIV/0!</v>
      </c>
      <c r="V626" s="317" t="e">
        <f t="shared" si="341"/>
        <v>#NAME?</v>
      </c>
      <c r="W626" s="318" t="e">
        <f t="shared" si="342"/>
        <v>#DIV/0!</v>
      </c>
      <c r="X626" s="319" t="e">
        <f t="shared" si="343"/>
        <v>#NAME?</v>
      </c>
      <c r="Y626" s="332" t="e">
        <f t="shared" si="339"/>
        <v>#NAME?</v>
      </c>
      <c r="Z626" s="22" t="s">
        <v>513</v>
      </c>
      <c r="AD626" s="331">
        <f>20*LOG10((Q626/(O626*S626))*Aea)</f>
        <v>95.2084496684642</v>
      </c>
      <c r="AE626" s="332">
        <f>(R626-(P626+T626))*radconv</f>
        <v>0</v>
      </c>
      <c r="AG626" s="331" t="e">
        <f t="shared" si="344"/>
        <v>#DIV/0!</v>
      </c>
      <c r="AH626" s="332" t="e">
        <f t="shared" si="345"/>
        <v>#NAME?</v>
      </c>
    </row>
    <row r="627" ht="13.25" spans="7:34">
      <c r="G627" s="24">
        <v>195034.739268584</v>
      </c>
      <c r="I627" s="340">
        <f>SQRT(1+(G627/pole1)^2)</f>
        <v>190.286135523228</v>
      </c>
      <c r="J627" s="320">
        <f>ATAN(G627/pole1)</f>
        <v>1.56554105898341</v>
      </c>
      <c r="K627" s="320">
        <f>SQRT(1+(G627/Zero1)^2)</f>
        <v>1.00553795854081</v>
      </c>
      <c r="L627" s="321">
        <f>ATAN(G627/Zero1)</f>
        <v>0.105000202396868</v>
      </c>
      <c r="M627" s="299">
        <v>1</v>
      </c>
      <c r="N627" s="300">
        <v>0</v>
      </c>
      <c r="O627" s="340">
        <f>SQRT(1+(G627/Pole2)^2)</f>
        <v>352926.549148787</v>
      </c>
      <c r="P627" s="341">
        <f>ATAN(G627/Pole2)</f>
        <v>1.57079349334413</v>
      </c>
      <c r="Q627" s="320">
        <f>SQRT(1+(G627/Zero2)^2)</f>
        <v>147.056128913012</v>
      </c>
      <c r="R627" s="321">
        <f>ATAN(G627/Zero2)</f>
        <v>1.56399614978425</v>
      </c>
      <c r="S627" s="298">
        <f>SQRT(1+(G627/pole4)^2)</f>
        <v>1.40038891504198</v>
      </c>
      <c r="T627" s="301">
        <f>ATAN(G627/pole4)</f>
        <v>0.775476778409759</v>
      </c>
      <c r="U627" s="340" t="e">
        <v>#DIV/0!</v>
      </c>
      <c r="V627" s="317" t="e">
        <v>#DIV/0!</v>
      </c>
      <c r="W627" s="318" t="e">
        <f t="shared" si="342"/>
        <v>#DIV/0!</v>
      </c>
      <c r="X627" s="319" t="e">
        <f t="shared" si="343"/>
        <v>#DIV/0!</v>
      </c>
      <c r="Y627" s="332" t="e">
        <f t="shared" si="339"/>
        <v>#DIV/0!</v>
      </c>
      <c r="Z627" s="22" t="s">
        <v>549</v>
      </c>
      <c r="AD627" s="347"/>
      <c r="AE627" s="348"/>
      <c r="AG627" s="331" t="e">
        <f t="shared" si="344"/>
        <v>#DIV/0!</v>
      </c>
      <c r="AH627" s="332" t="e">
        <f t="shared" si="345"/>
        <v>#DIV/0!</v>
      </c>
    </row>
    <row r="628" spans="7:34">
      <c r="G628" s="24">
        <f>z_RHP</f>
        <v>282071.530232873</v>
      </c>
      <c r="I628" s="340">
        <f>SQRT(1+(G628/pole1)^2)</f>
        <v>275.201816854467</v>
      </c>
      <c r="J628" s="320">
        <f>ATAN(G628/pole1)</f>
        <v>1.56716262185767</v>
      </c>
      <c r="K628" s="320">
        <f>SQRT(1+(G628/Zero1)^2)</f>
        <v>1.01154900396261</v>
      </c>
      <c r="L628" s="321">
        <f>ATAN(G628/Zero1)</f>
        <v>0.151254347902965</v>
      </c>
      <c r="M628" s="299">
        <v>1</v>
      </c>
      <c r="N628" s="300">
        <v>0</v>
      </c>
      <c r="O628" s="340">
        <f>SQRT(1+(G628/Pole2)^2)</f>
        <v>510424.615385595</v>
      </c>
      <c r="P628" s="341">
        <f>ATAN(G628/Pole2)</f>
        <v>1.57079436764173</v>
      </c>
      <c r="Q628" s="320">
        <f>SQRT(1+(G628/Zero2)^2)</f>
        <v>212.679274047725</v>
      </c>
      <c r="R628" s="321">
        <f>ATAN(G628/Zero2)</f>
        <v>1.56609439385299</v>
      </c>
      <c r="S628" s="298">
        <f>SQRT(1+(G628/pole4)^2)</f>
        <v>1.73501807367426</v>
      </c>
      <c r="T628" s="301">
        <f>ATAN(G628/pole4)</f>
        <v>0.956525411397272</v>
      </c>
      <c r="U628" s="340" t="e">
        <v>#DIV/0!</v>
      </c>
      <c r="V628" s="317" t="e">
        <v>#DIV/0!</v>
      </c>
      <c r="W628" s="318" t="e">
        <f t="shared" si="342"/>
        <v>#DIV/0!</v>
      </c>
      <c r="X628" s="319" t="e">
        <f t="shared" si="343"/>
        <v>#DIV/0!</v>
      </c>
      <c r="Y628" s="332" t="e">
        <f t="shared" si="339"/>
        <v>#DIV/0!</v>
      </c>
      <c r="Z628" s="22" t="s">
        <v>490</v>
      </c>
      <c r="AD628" s="344"/>
      <c r="AE628" s="344"/>
      <c r="AG628" s="331" t="e">
        <f t="shared" si="344"/>
        <v>#DIV/0!</v>
      </c>
      <c r="AH628" s="332" t="e">
        <f t="shared" si="345"/>
        <v>#DIV/0!</v>
      </c>
    </row>
    <row r="629" spans="7:23">
      <c r="G629" s="24">
        <v>195034.739268584</v>
      </c>
      <c r="W629" s="318">
        <v>-25</v>
      </c>
    </row>
    <row r="631" spans="10:11">
      <c r="J631" s="22" t="s">
        <v>550</v>
      </c>
      <c r="K631" s="22" t="s">
        <v>551</v>
      </c>
    </row>
    <row r="632" spans="7:11">
      <c r="G632" s="22" t="s">
        <v>510</v>
      </c>
      <c r="H632" s="22" t="s">
        <v>552</v>
      </c>
      <c r="I632" s="27">
        <f>pole1</f>
        <v>1024.96922322992</v>
      </c>
      <c r="J632" s="27" t="e">
        <f>W622</f>
        <v>#DIV/0!</v>
      </c>
      <c r="K632" s="27" t="e">
        <f>AG622</f>
        <v>#DIV/0!</v>
      </c>
    </row>
    <row r="633" spans="7:11">
      <c r="G633" s="22" t="s">
        <v>511</v>
      </c>
      <c r="H633" s="22" t="s">
        <v>553</v>
      </c>
      <c r="I633" s="27">
        <f>Zero1</f>
        <v>1850638.87527624</v>
      </c>
      <c r="J633" s="27" t="e">
        <f>W623</f>
        <v>#DIV/0!</v>
      </c>
      <c r="K633" s="27" t="e">
        <f>AG623</f>
        <v>#DIV/0!</v>
      </c>
    </row>
    <row r="634" spans="7:11">
      <c r="G634" s="22" t="s">
        <v>512</v>
      </c>
      <c r="H634" s="22" t="s">
        <v>554</v>
      </c>
      <c r="I634" s="27">
        <f>Pole2</f>
        <v>0.552621330811654</v>
      </c>
      <c r="J634" s="27" t="e">
        <f>W624</f>
        <v>#DIV/0!</v>
      </c>
      <c r="K634" s="27" t="e">
        <f>AG624</f>
        <v>#DIV/0!</v>
      </c>
    </row>
    <row r="635" spans="7:11">
      <c r="G635" s="22" t="s">
        <v>548</v>
      </c>
      <c r="H635" s="22" t="s">
        <v>555</v>
      </c>
      <c r="I635" s="27">
        <f>Zero2</f>
        <v>1326.29119394797</v>
      </c>
      <c r="J635" s="27" t="e">
        <f>W625</f>
        <v>#DIV/0!</v>
      </c>
      <c r="K635" s="27" t="e">
        <f>AG625</f>
        <v>#DIV/0!</v>
      </c>
    </row>
    <row r="636" spans="7:11">
      <c r="G636" s="22" t="s">
        <v>513</v>
      </c>
      <c r="H636" s="22" t="s">
        <v>556</v>
      </c>
      <c r="I636" s="22">
        <f>pole3</f>
        <v>0</v>
      </c>
      <c r="J636" s="27" t="e">
        <f>W626</f>
        <v>#DIV/0!</v>
      </c>
      <c r="K636" s="27" t="e">
        <f>AG626</f>
        <v>#DIV/0!</v>
      </c>
    </row>
    <row r="637" spans="9:11">
      <c r="I637" s="24"/>
      <c r="J637" s="27"/>
      <c r="K637" s="27"/>
    </row>
    <row r="639" spans="7:7">
      <c r="G639" s="27">
        <f>W4*1000</f>
        <v>28348</v>
      </c>
    </row>
    <row r="640" spans="7:7">
      <c r="G640" s="27">
        <f>W4*1000</f>
        <v>28348</v>
      </c>
    </row>
    <row r="687" spans="36:37">
      <c r="AJ687" s="22" t="s">
        <v>499</v>
      </c>
      <c r="AK687" s="27">
        <f>SUM(AK689:AK1306)</f>
        <v>0</v>
      </c>
    </row>
  </sheetData>
  <sheetProtection algorithmName="SHA-512" hashValue="6Gww5v8K1u0sMJmRsJzNotHpnJSMw3l6CokmkNZohTjUSKey6Rp18riypwEapPgIbKUiVDnxz7cxslN/Cvw6Gw==" saltValue="9a6yvk4cv1CD78/MdeXtgA==" spinCount="100000" sheet="1" objects="1" scenarios="1"/>
  <mergeCells count="20">
    <mergeCell ref="G2:J2"/>
    <mergeCell ref="K2:M2"/>
    <mergeCell ref="P2:R2"/>
    <mergeCell ref="S2:U2"/>
    <mergeCell ref="V2:X2"/>
    <mergeCell ref="I10:N10"/>
    <mergeCell ref="O10:T10"/>
    <mergeCell ref="U10:V10"/>
    <mergeCell ref="W10:Y10"/>
    <mergeCell ref="AD10:AE10"/>
    <mergeCell ref="AG10:AH10"/>
    <mergeCell ref="I11:J11"/>
    <mergeCell ref="K11:L11"/>
    <mergeCell ref="M11:N11"/>
    <mergeCell ref="O11:P11"/>
    <mergeCell ref="Q11:R11"/>
    <mergeCell ref="S11:T11"/>
    <mergeCell ref="U11:V11"/>
    <mergeCell ref="G10:G12"/>
    <mergeCell ref="H10:H11"/>
  </mergeCells>
  <pageMargins left="0.75" right="0.75" top="1" bottom="1" header="0.5" footer="0.5"/>
  <pageSetup paperSize="1" scale="48" orientation="portrait" horizontalDpi="300" verticalDpi="300"/>
  <headerFooter alignWithMargins="0"/>
  <colBreaks count="1" manualBreakCount="1">
    <brk id="2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740353" name="Drop Down 1" r:id="rId3">
              <controlPr locked="0" defaultSize="0">
                <anchor moveWithCells="1">
                  <from>
                    <xdr:col>0</xdr:col>
                    <xdr:colOff>38100</xdr:colOff>
                    <xdr:row>2</xdr:row>
                    <xdr:rowOff>127000</xdr:rowOff>
                  </from>
                  <to>
                    <xdr:col>1</xdr:col>
                    <xdr:colOff>393700</xdr:colOff>
                    <xdr:row>4</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B1:CJ336"/>
  <sheetViews>
    <sheetView zoomScale="115" zoomScaleNormal="115" workbookViewId="0">
      <pane xSplit="6" ySplit="4" topLeftCell="G309" activePane="bottomRight" state="frozen"/>
      <selection/>
      <selection pane="topRight"/>
      <selection pane="bottomLeft"/>
      <selection pane="bottomRight" activeCell="G331" sqref="G331"/>
    </sheetView>
  </sheetViews>
  <sheetFormatPr defaultColWidth="9" defaultRowHeight="12.5"/>
  <cols>
    <col min="1" max="1" width="2.81818181818182" customWidth="1"/>
    <col min="2" max="2" width="3.54545454545455" customWidth="1"/>
    <col min="3" max="3" width="2.81818181818182" customWidth="1"/>
    <col min="4" max="4" width="3.72727272727273" customWidth="1"/>
    <col min="5" max="5" width="6.18181818181818" customWidth="1"/>
    <col min="6" max="6" width="8.54545454545454" customWidth="1"/>
    <col min="7" max="7" width="7.72727272727273" customWidth="1"/>
    <col min="8" max="8" width="7.81818181818182" customWidth="1"/>
    <col min="9" max="9" width="6.26363636363636" customWidth="1"/>
    <col min="10" max="10" width="9.54545454545454" customWidth="1"/>
    <col min="11" max="11" width="9.26363636363636" customWidth="1"/>
    <col min="12" max="12" width="1.81818181818182" customWidth="1"/>
    <col min="13" max="13" width="8.45454545454546" customWidth="1"/>
    <col min="14" max="15" width="9.54545454545454" customWidth="1"/>
    <col min="16" max="16" width="8.81818181818182" customWidth="1"/>
    <col min="17" max="18" width="8.54545454545454" customWidth="1"/>
    <col min="19" max="19" width="15.4545454545455" customWidth="1"/>
    <col min="20" max="20" width="10.4545454545455" customWidth="1"/>
    <col min="21" max="21" width="7.54545454545455" customWidth="1"/>
    <col min="22" max="22" width="9" customWidth="1"/>
    <col min="23" max="23" width="8.81818181818182" customWidth="1"/>
    <col min="24" max="24" width="10" customWidth="1"/>
    <col min="25" max="25" width="9.54545454545454" customWidth="1"/>
    <col min="26" max="26" width="1.81818181818182" customWidth="1"/>
    <col min="27" max="27" width="9.81818181818182" customWidth="1"/>
    <col min="28" max="28" width="10.4545454545455" customWidth="1"/>
    <col min="29" max="29" width="10.1818181818182" customWidth="1"/>
    <col min="30" max="30" width="2" customWidth="1"/>
    <col min="31" max="31" width="9.18181818181818" customWidth="1"/>
    <col min="32" max="32" width="9.45454545454546" customWidth="1"/>
    <col min="33" max="33" width="10.4545454545455" customWidth="1"/>
    <col min="34" max="34" width="2.18181818181818" customWidth="1"/>
    <col min="36" max="36" width="8" customWidth="1"/>
    <col min="38" max="38" width="2.26363636363636" customWidth="1"/>
    <col min="39" max="39" width="6.54545454545455" customWidth="1"/>
    <col min="40" max="40" width="7.54545454545455" customWidth="1"/>
    <col min="41" max="41" width="2" customWidth="1"/>
    <col min="42" max="42" width="6.45454545454545" customWidth="1"/>
    <col min="43" max="43" width="7.54545454545455" customWidth="1"/>
    <col min="44" max="44" width="2.18181818181818" customWidth="1"/>
    <col min="45" max="48" width="7" customWidth="1"/>
    <col min="49" max="50" width="8.45454545454546" customWidth="1"/>
    <col min="51" max="52" width="11" customWidth="1"/>
    <col min="53" max="53" width="9.45454545454546" customWidth="1"/>
    <col min="54" max="54" width="10.8181818181818" customWidth="1"/>
    <col min="55" max="55" width="9.81818181818182" customWidth="1"/>
    <col min="56" max="56" width="11.7272727272727" customWidth="1"/>
    <col min="57" max="57" width="2" customWidth="1"/>
    <col min="60" max="60" width="2.18181818181818" customWidth="1"/>
    <col min="61" max="61" width="9" customWidth="1"/>
    <col min="62" max="63" width="8.18181818181818" customWidth="1"/>
    <col min="64" max="64" width="8.72727272727273" customWidth="1"/>
    <col min="65" max="66" width="7.54545454545455" customWidth="1"/>
    <col min="67" max="67" width="10.5454545454545" customWidth="1"/>
    <col min="68" max="68" width="8.72727272727273" customWidth="1"/>
    <col min="69" max="70" width="10.2636363636364" customWidth="1"/>
    <col min="71" max="72" width="10.5454545454545" customWidth="1"/>
    <col min="73" max="73" width="8.72727272727273" customWidth="1"/>
    <col min="75" max="75" width="9.81818181818182" customWidth="1"/>
    <col min="76" max="76" width="11.5454545454545" customWidth="1"/>
    <col min="77" max="77" width="12.1818181818182" customWidth="1"/>
    <col min="78" max="78" width="9.18181818181818" customWidth="1"/>
    <col min="80" max="80" width="7.72727272727273" customWidth="1"/>
    <col min="81" max="81" width="10.4545454545455" customWidth="1"/>
    <col min="82" max="82" width="12.4545454545455" customWidth="1"/>
    <col min="83" max="83" width="4.54545454545455" customWidth="1"/>
    <col min="84" max="84" width="5" customWidth="1"/>
    <col min="85" max="85" width="9.54545454545454" customWidth="1"/>
  </cols>
  <sheetData>
    <row r="1" ht="13" spans="2:74">
      <c r="B1" s="204" t="s">
        <v>557</v>
      </c>
      <c r="M1">
        <f>Vfwd2</f>
        <v>0.77</v>
      </c>
      <c r="BC1">
        <f>Ltc</f>
        <v>0.004</v>
      </c>
      <c r="BV1">
        <f>Ta</f>
        <v>120</v>
      </c>
    </row>
    <row r="2" ht="13.25" spans="13:21">
      <c r="M2">
        <f>Vfwd1</f>
        <v>0.4</v>
      </c>
      <c r="U2">
        <f>Isw_max</f>
        <v>1.5</v>
      </c>
    </row>
    <row r="3" ht="13" spans="5:83">
      <c r="E3" s="32" t="s">
        <v>558</v>
      </c>
      <c r="F3" s="205"/>
      <c r="G3" s="205"/>
      <c r="H3" s="205"/>
      <c r="I3" s="113"/>
      <c r="J3" s="114"/>
      <c r="K3" s="208"/>
      <c r="L3" s="208"/>
      <c r="M3" s="116" t="s">
        <v>559</v>
      </c>
      <c r="N3" s="116"/>
      <c r="O3" s="116"/>
      <c r="P3" s="116"/>
      <c r="Q3" s="116"/>
      <c r="R3" s="116"/>
      <c r="S3" s="116"/>
      <c r="T3" s="116"/>
      <c r="U3" s="116"/>
      <c r="V3" s="116"/>
      <c r="W3" s="116"/>
      <c r="X3" s="116"/>
      <c r="Y3" s="116"/>
      <c r="Z3" s="116"/>
      <c r="AA3" s="125"/>
      <c r="AB3" s="200"/>
      <c r="AC3" s="200"/>
      <c r="AD3" s="200"/>
      <c r="AE3" s="200"/>
      <c r="AF3" s="200"/>
      <c r="AG3" s="200"/>
      <c r="AH3" s="200"/>
      <c r="AI3" s="200"/>
      <c r="AJ3" s="200"/>
      <c r="AK3" s="200"/>
      <c r="AL3" s="200"/>
      <c r="AM3" s="200"/>
      <c r="AN3" s="200"/>
      <c r="AO3" s="200"/>
      <c r="AP3" s="200"/>
      <c r="AQ3" s="200"/>
      <c r="AR3" s="200"/>
      <c r="AS3" s="200" t="s">
        <v>560</v>
      </c>
      <c r="AT3" s="200"/>
      <c r="AU3" s="200"/>
      <c r="AV3" s="200"/>
      <c r="AW3" s="200"/>
      <c r="AX3" s="200"/>
      <c r="AY3" s="200"/>
      <c r="AZ3" s="200"/>
      <c r="BA3" s="200" t="s">
        <v>561</v>
      </c>
      <c r="BB3" s="200"/>
      <c r="BC3" s="200"/>
      <c r="BD3" s="200"/>
      <c r="BE3" s="200"/>
      <c r="BF3" s="222" t="s">
        <v>562</v>
      </c>
      <c r="BG3" s="200"/>
      <c r="BH3" s="200"/>
      <c r="BI3" s="222" t="s">
        <v>563</v>
      </c>
      <c r="BJ3" s="200"/>
      <c r="BK3" s="200"/>
      <c r="BL3" s="200"/>
      <c r="BM3" s="200"/>
      <c r="BN3" s="200"/>
      <c r="BO3" s="200"/>
      <c r="BP3" s="200"/>
      <c r="BQ3" s="222" t="s">
        <v>564</v>
      </c>
      <c r="BR3" s="200"/>
      <c r="BS3" s="200"/>
      <c r="BT3" s="200"/>
      <c r="BU3" s="224" t="s">
        <v>565</v>
      </c>
      <c r="BV3" s="200"/>
      <c r="BW3" s="200"/>
      <c r="BX3" s="200"/>
      <c r="BY3" s="200"/>
      <c r="BZ3" s="200"/>
      <c r="CA3" s="222"/>
      <c r="CB3" s="200"/>
      <c r="CC3" s="200"/>
      <c r="CD3" s="200"/>
      <c r="CE3" s="200"/>
    </row>
    <row r="4" ht="45" customHeight="1" spans="5:86">
      <c r="E4" s="38" t="s">
        <v>566</v>
      </c>
      <c r="F4" s="121" t="s">
        <v>567</v>
      </c>
      <c r="G4" s="170"/>
      <c r="H4" s="190" t="s">
        <v>568</v>
      </c>
      <c r="I4" s="117" t="s">
        <v>569</v>
      </c>
      <c r="J4" s="118" t="s">
        <v>570</v>
      </c>
      <c r="K4" s="190" t="s">
        <v>571</v>
      </c>
      <c r="L4" s="190"/>
      <c r="M4" s="120" t="s">
        <v>572</v>
      </c>
      <c r="N4" s="190" t="s">
        <v>573</v>
      </c>
      <c r="O4" s="190" t="s">
        <v>574</v>
      </c>
      <c r="P4" s="190" t="s">
        <v>575</v>
      </c>
      <c r="Q4" s="190" t="s">
        <v>576</v>
      </c>
      <c r="R4" s="190" t="s">
        <v>577</v>
      </c>
      <c r="S4" s="190" t="s">
        <v>578</v>
      </c>
      <c r="T4" s="190" t="s">
        <v>579</v>
      </c>
      <c r="U4" s="190" t="s">
        <v>580</v>
      </c>
      <c r="V4" s="190" t="s">
        <v>581</v>
      </c>
      <c r="W4" s="190" t="s">
        <v>582</v>
      </c>
      <c r="X4" s="228" t="s">
        <v>583</v>
      </c>
      <c r="Y4" s="229" t="s">
        <v>584</v>
      </c>
      <c r="AA4" s="128" t="s">
        <v>585</v>
      </c>
      <c r="AB4" s="128" t="s">
        <v>586</v>
      </c>
      <c r="AC4" s="128" t="s">
        <v>587</v>
      </c>
      <c r="AD4" s="215"/>
      <c r="AE4" s="128" t="s">
        <v>588</v>
      </c>
      <c r="AF4" s="128" t="s">
        <v>589</v>
      </c>
      <c r="AG4" s="128" t="s">
        <v>590</v>
      </c>
      <c r="AH4" s="215"/>
      <c r="AI4" s="128" t="s">
        <v>591</v>
      </c>
      <c r="AJ4" s="218" t="s">
        <v>592</v>
      </c>
      <c r="AK4" s="218" t="s">
        <v>593</v>
      </c>
      <c r="AM4" s="219" t="s">
        <v>594</v>
      </c>
      <c r="AN4" s="219" t="s">
        <v>595</v>
      </c>
      <c r="AP4" s="128" t="s">
        <v>594</v>
      </c>
      <c r="AQ4" s="128" t="s">
        <v>595</v>
      </c>
      <c r="AR4" s="221"/>
      <c r="AS4" s="128" t="s">
        <v>596</v>
      </c>
      <c r="AT4" s="128" t="s">
        <v>597</v>
      </c>
      <c r="AU4" s="128" t="s">
        <v>598</v>
      </c>
      <c r="AV4" s="128" t="s">
        <v>599</v>
      </c>
      <c r="AW4" s="128" t="s">
        <v>572</v>
      </c>
      <c r="AX4" s="221" t="s">
        <v>600</v>
      </c>
      <c r="AY4" s="215" t="s">
        <v>601</v>
      </c>
      <c r="AZ4" s="215" t="s">
        <v>602</v>
      </c>
      <c r="BA4" s="128" t="s">
        <v>603</v>
      </c>
      <c r="BB4" s="128" t="s">
        <v>604</v>
      </c>
      <c r="BC4" s="128" t="s">
        <v>605</v>
      </c>
      <c r="BD4" s="128" t="s">
        <v>606</v>
      </c>
      <c r="BE4" s="215"/>
      <c r="BF4" s="223" t="s">
        <v>607</v>
      </c>
      <c r="BG4" s="128" t="s">
        <v>608</v>
      </c>
      <c r="BH4" s="215"/>
      <c r="BI4" s="223" t="s">
        <v>609</v>
      </c>
      <c r="BJ4" s="128" t="s">
        <v>610</v>
      </c>
      <c r="BK4" s="128" t="s">
        <v>611</v>
      </c>
      <c r="BL4" s="128" t="s">
        <v>612</v>
      </c>
      <c r="BM4" s="128" t="s">
        <v>613</v>
      </c>
      <c r="BN4" s="128" t="s">
        <v>614</v>
      </c>
      <c r="BO4" s="128" t="s">
        <v>615</v>
      </c>
      <c r="BP4" s="128" t="s">
        <v>616</v>
      </c>
      <c r="BQ4" s="223" t="s">
        <v>617</v>
      </c>
      <c r="BR4" s="128" t="s">
        <v>618</v>
      </c>
      <c r="BS4" s="128" t="s">
        <v>619</v>
      </c>
      <c r="BT4" s="128" t="s">
        <v>620</v>
      </c>
      <c r="BU4" s="223" t="s">
        <v>621</v>
      </c>
      <c r="BV4" s="128" t="s">
        <v>622</v>
      </c>
      <c r="BW4" s="128" t="s">
        <v>623</v>
      </c>
      <c r="BX4" s="128" t="s">
        <v>624</v>
      </c>
      <c r="BY4" s="128" t="s">
        <v>625</v>
      </c>
      <c r="BZ4" s="128" t="s">
        <v>626</v>
      </c>
      <c r="CA4" s="223" t="s">
        <v>627</v>
      </c>
      <c r="CB4" s="128" t="s">
        <v>568</v>
      </c>
      <c r="CC4" s="128" t="s">
        <v>183</v>
      </c>
      <c r="CD4" s="128" t="s">
        <v>628</v>
      </c>
      <c r="CE4" s="128"/>
      <c r="CG4" s="226" t="s">
        <v>629</v>
      </c>
      <c r="CH4" s="226" t="s">
        <v>630</v>
      </c>
    </row>
    <row r="5" spans="5:86">
      <c r="E5" s="22">
        <v>0.1</v>
      </c>
      <c r="F5" s="25">
        <v>1e-9</v>
      </c>
      <c r="G5" s="25"/>
      <c r="H5" s="25">
        <f t="shared" ref="H5:H36" si="0">F5*Vout</f>
        <v>1.8e-8</v>
      </c>
      <c r="I5" s="212">
        <f t="shared" ref="I5:I36" si="1">Vin</f>
        <v>12</v>
      </c>
      <c r="J5" s="27">
        <f t="shared" ref="J5:J36" si="2">(T5+Vfwd1)*Nps</f>
        <v>12.2728</v>
      </c>
      <c r="K5" s="131">
        <f t="shared" ref="K5:K36" si="3">(Vout+Vfwd1)*Nps+I5</f>
        <v>24.2728</v>
      </c>
      <c r="L5" s="131"/>
      <c r="M5" s="23">
        <f t="shared" ref="M5:M36" si="4">(Vout+Vfwd1)*Nps/((Vout+Vfwd1)*Nps+I5)</f>
        <v>0.505619458818101</v>
      </c>
      <c r="N5" s="27">
        <f t="shared" ref="N5:N36" si="5">M5*I5*Isw_max*0.5*Efficiency</f>
        <v>4.09551761642662</v>
      </c>
      <c r="O5" s="27">
        <f>T5*F5</f>
        <v>1.8e-8</v>
      </c>
      <c r="P5" s="25">
        <f t="shared" ref="P5:P36" si="6">N5/Vout</f>
        <v>0.227528756468145</v>
      </c>
      <c r="Q5" s="25">
        <f t="shared" ref="Q5:Q36" si="7">MIN(Vout,N5/F5)</f>
        <v>18</v>
      </c>
      <c r="R5" s="25">
        <f t="shared" ref="R5:R36" si="8">Isw_max/2*I5*Nps*(Q5+Vfwd1)/Q5/(I5+Nps*(Q5+Vfwd1))</f>
        <v>0.25280972940905</v>
      </c>
      <c r="S5" s="27">
        <f t="shared" ref="S5:S36" si="9">(SQRT(Isw_max^2*Nps^2*I5^2+4*Isw_max*F5/Efficiency*(Nps^2*Vfwd1*I5-Nps*I5^2)+4*(F5/Efficiency)^2*Nps^2*Vfwd1^2+8*(F5/Efficiency)^2*Nps*Vfwd1*I5+4*(F5/Efficiency)^2*I5^2)-2*F5/Efficiency*I5-2*F5/Efficiency*Nps*Vfwd1+Isw_max*Nps*I5)/(4*F5/Efficiency*Nps)</f>
        <v>8099999982.009</v>
      </c>
      <c r="T5" s="27">
        <f t="shared" ref="T5:T36" si="10">MIN(Vout,S5)</f>
        <v>18</v>
      </c>
      <c r="U5" s="25">
        <f t="shared" ref="U5:U36" si="11">MIN(2*Vout*F5/(Efficiency*I5*M5),Isw_max)</f>
        <v>6.5925732785781e-9</v>
      </c>
      <c r="V5" s="25">
        <f t="shared" ref="V5:V36" si="12">L*U5/I5*1000000</f>
        <v>1.37345276637044e-8</v>
      </c>
      <c r="W5" s="25">
        <f t="shared" ref="W5:W36" si="13">L*U5/J5*1000000</f>
        <v>1.34292363571844e-8</v>
      </c>
      <c r="X5" s="24">
        <f t="shared" ref="X5:X36" si="14">IF(1/((350000*L)*(1/I5+1/J5))&gt;Isw_min,350,0.001/((Isw_min*L)*(1/I5+1/J5)))</f>
        <v>350</v>
      </c>
      <c r="Y5" s="131">
        <f>MIN(1/(V5+W5)*1000,350)</f>
        <v>350</v>
      </c>
      <c r="AA5" s="25">
        <f t="shared" ref="AA5:AA36" si="15">1/((X5*1000*L)*(1/I5+1/J5))</f>
        <v>0.693420972093396</v>
      </c>
      <c r="AB5" s="5">
        <f t="shared" ref="AB5:AB36" si="16">L*AA5/J5*1000000</f>
        <v>1.41251583194828</v>
      </c>
      <c r="AC5" s="5">
        <f t="shared" ref="AC5:AC36" si="17">0.5*AB5*AA5*Nps*X5/1000</f>
        <v>0.114328414122712</v>
      </c>
      <c r="AD5" s="5"/>
      <c r="AE5" s="5">
        <f t="shared" ref="AE5:AE36" si="18">L*Isw_min/J5*1000000</f>
        <v>0.611107489733394</v>
      </c>
      <c r="AF5" s="216">
        <f t="shared" ref="AF5:AF36" si="19">MAX(12,F5/(0.5*AE5/1000000*Isw_min*Nps)/1000)</f>
        <v>12</v>
      </c>
      <c r="AG5" s="217">
        <f t="shared" ref="AG5:AG36" si="20">0.5*AE5/1000000*Isw_min*Nps*X5*1000</f>
        <v>0.0213994565217391</v>
      </c>
      <c r="AI5" s="5">
        <f t="shared" ref="AI5:AI36" si="21">SQRT(F5/Efficiency/(0.5*L/J5*Fsw_DCM*Nps))</f>
        <v>6.83594607425766e-5</v>
      </c>
      <c r="AJ5" s="5">
        <f t="shared" ref="AJ5:AJ36" si="22">MAX(IF(F5&gt;AC5,U5,AI5),Isw_min)</f>
        <v>0.3</v>
      </c>
      <c r="AK5" s="5">
        <f t="shared" ref="AK5:AK36" si="23">IF(F5&gt;AG5,(AJ5-Isw_min)/1.2*0.8+1.2,AF5*0.2/350+1)</f>
        <v>1.00685714285714</v>
      </c>
      <c r="AM5" s="216">
        <f t="shared" ref="AM5:AM36" si="24">F5*1000</f>
        <v>1e-6</v>
      </c>
      <c r="AN5" s="220">
        <f t="shared" ref="AN5:AN36" si="25">IF(F5&gt;AG5,Y5,AF5)</f>
        <v>12</v>
      </c>
      <c r="AP5">
        <f t="shared" ref="AP5:AP36" si="26">IF(H5&gt;N5,"",AM5)</f>
        <v>1e-6</v>
      </c>
      <c r="AQ5" s="220">
        <f t="shared" ref="AQ5:AQ36" si="27">IF(H5&gt;N5,"",AN5)</f>
        <v>12</v>
      </c>
      <c r="AR5" s="220"/>
      <c r="AS5" s="192">
        <f>1/AN5*1000</f>
        <v>83.3333333333333</v>
      </c>
      <c r="AT5" s="192">
        <f t="shared" ref="AT5:AT36" si="28">L*AJ5/I5*1000000</f>
        <v>0.625</v>
      </c>
      <c r="AU5" s="192">
        <f>AS5-AT5</f>
        <v>82.7083333333333</v>
      </c>
      <c r="AV5" s="192">
        <f t="shared" ref="AV5:AV36" si="29">L*AJ5/J5*1000000</f>
        <v>0.611107489733394</v>
      </c>
      <c r="AW5" s="5">
        <f>AT5/AS5</f>
        <v>0.0075</v>
      </c>
      <c r="AX5" s="5">
        <f t="shared" ref="AX5:AX36" si="30">0.5*L*AJ5^2*AN5*1000</f>
        <v>0.0135</v>
      </c>
      <c r="AY5" s="5">
        <f t="shared" ref="AY5:AY36" si="31">AJ5*Nps/2*(1-AW5)</f>
        <v>0.099299625</v>
      </c>
      <c r="AZ5" s="5">
        <f>AX5/AY5</f>
        <v>0.135952175045978</v>
      </c>
      <c r="BA5" s="220">
        <f t="shared" ref="BA5:BA36" si="32">L*Isw_max^2/(2*Vout_ripple*Vout)*1000000000*((1+M5)/2)^2</f>
        <v>4.91946604768167</v>
      </c>
      <c r="BB5" s="220">
        <f t="shared" ref="BB5:BB36" si="33">L*F5^2/(2*Cout*Vout*Nps^2)*1000000000*((1+M5)/(1-M5))^2+F5*RCoutEsr</f>
        <v>3.00000065806813e-9</v>
      </c>
      <c r="BC5" s="192">
        <f t="shared" ref="BC5:BC36" si="34">H5/Efficiency/I5*AU5/Vinripple1</f>
        <v>2.2974537037037e-7</v>
      </c>
      <c r="BD5" s="220">
        <f t="shared" ref="BD5:BD36" si="35">((CB5/I5/Efficiency)*AU5/Cin+(CB5/I5/Efficiency)*RCinEsr)*1000</f>
        <v>1.38347222222222e-6</v>
      </c>
      <c r="BE5" s="192"/>
      <c r="BF5" s="5">
        <f>AJ5*SQRT(AW5/3)</f>
        <v>0.015</v>
      </c>
      <c r="BG5" s="5">
        <f t="shared" ref="BG5:BG36" si="36">AJ5*Nps*SQRT((1-AW5)/3)</f>
        <v>0.115093744291338</v>
      </c>
      <c r="BH5" s="5"/>
      <c r="BI5" s="217">
        <f t="shared" ref="BI5:BI36" si="37">Rdson*BF5^2</f>
        <v>7.875e-5</v>
      </c>
      <c r="BJ5" s="217">
        <f t="shared" ref="BJ5:BJ36" si="38">0.5*K5*AJ5*AN5*1000*Trise</f>
        <v>0.0004369104</v>
      </c>
      <c r="BK5" s="217">
        <f t="shared" ref="BK5:BK36" si="39">Qg*Vdd*AN5*1000</f>
        <v>0.00015</v>
      </c>
      <c r="BL5" s="217">
        <f t="shared" ref="BL5:BL36" si="40">0.5*(Coss+Csw)*K5^2*AN5*1000</f>
        <v>0.000353501291904</v>
      </c>
      <c r="BM5">
        <f t="shared" ref="BM5:BM36" si="41">I5*IQ</f>
        <v>0.00348</v>
      </c>
      <c r="BN5">
        <f t="shared" ref="BN5:BN36" si="42">(I5-Vdd)*Qg*AN5</f>
        <v>2.1e-7</v>
      </c>
      <c r="BO5" s="217">
        <f t="shared" ref="BO5:BO36" si="43">(BJ5+BK5+BL5+BM5+BN5+BI5*(1+RdsonTC*(Ta-25)))/(1-BI5*RdsonTC*ThetaJA)</f>
        <v>0.00453323812518658</v>
      </c>
      <c r="BP5" s="220">
        <f>BO5*1000</f>
        <v>4.53323812518658</v>
      </c>
      <c r="BQ5" s="217">
        <f t="shared" ref="BQ5:BQ36" si="44">(Vfwd2*F5+BG5^2*Rdiode)*(1+Diode_TC/1000*(Ta-25))</f>
        <v>0.00840561163791125</v>
      </c>
      <c r="BR5" s="217"/>
      <c r="BT5" s="220">
        <f>SUM(BQ5:BS5)*1000</f>
        <v>8.40561163791125</v>
      </c>
      <c r="BU5" s="217">
        <f t="shared" ref="BU5:BU36" si="45">Rdcr_pri*BF5^2</f>
        <v>9.225e-6</v>
      </c>
      <c r="BV5" s="217">
        <f t="shared" ref="BV5:BV36" si="46">Rdcr_sec*BG5^2</f>
        <v>0.0013246569975</v>
      </c>
      <c r="BW5" s="217">
        <f t="shared" ref="BW5:BW36" si="47">AJ5^2.5*AN5^2.5*k_core</f>
        <v>0</v>
      </c>
      <c r="BX5" s="217">
        <f t="shared" ref="BX5:BX36" si="48">(BW5+(BU5+BV5)*(1+Ltc*(Ta-25)))/(1-(BU5+BV5)*Ltc*ThetaCa)</f>
        <v>0.00184095360573983</v>
      </c>
      <c r="BY5" s="217">
        <f t="shared" ref="BY5:BY36" si="49">0.5*Lleak*0.000000001*AJ5^2*AN5*1000</f>
        <v>4.32e-5</v>
      </c>
      <c r="BZ5" s="220">
        <f>1000*(BX5+BY5)</f>
        <v>1.88415360573983</v>
      </c>
      <c r="CA5" s="5">
        <f>SUM(BO5,BQ5:BS5,BX5,BY5)</f>
        <v>0.0148230033688377</v>
      </c>
      <c r="CB5" s="192">
        <f>MIN(H5,O5)</f>
        <v>1.8e-8</v>
      </c>
      <c r="CC5" s="5">
        <f>CB5/(CB5+CA5)</f>
        <v>1.21432733260719e-6</v>
      </c>
      <c r="CD5" s="192">
        <f>CC5*100</f>
        <v>0.000121432733260719</v>
      </c>
      <c r="CG5" s="227">
        <f t="shared" ref="CG5:CG36" si="50">IF(ABS(F5-Ioutmax_Vinnom)&lt;Iout/200,AN5,-50)</f>
        <v>-50</v>
      </c>
      <c r="CH5">
        <f t="shared" ref="CH5:CH36" si="51">IF(ABS(F5-Ioutmax_Vinnom)&lt;Iout/200,N5*CC5,-50)</f>
        <v>-50</v>
      </c>
    </row>
    <row r="6" spans="5:86">
      <c r="E6" s="22">
        <v>1</v>
      </c>
      <c r="F6" s="25">
        <f t="shared" ref="F6:F37" si="52">IF(PLOT_TYPE=1,E6/100*Iout_max,min_I*EXP(N6*rr/100))</f>
        <v>0.005</v>
      </c>
      <c r="G6" s="25"/>
      <c r="H6" s="25">
        <f t="shared" si="0"/>
        <v>0.09</v>
      </c>
      <c r="I6" s="212">
        <f t="shared" si="1"/>
        <v>12</v>
      </c>
      <c r="J6" s="27">
        <f t="shared" si="2"/>
        <v>12.2728</v>
      </c>
      <c r="K6" s="131">
        <f t="shared" si="3"/>
        <v>24.2728</v>
      </c>
      <c r="L6" s="131"/>
      <c r="M6" s="25">
        <f t="shared" si="4"/>
        <v>0.505619458818101</v>
      </c>
      <c r="N6" s="27">
        <f t="shared" si="5"/>
        <v>4.09551761642662</v>
      </c>
      <c r="O6" s="27">
        <f t="shared" ref="O6:O69" si="53">T6*F6</f>
        <v>0.09</v>
      </c>
      <c r="P6" s="25">
        <f t="shared" si="6"/>
        <v>0.227528756468145</v>
      </c>
      <c r="Q6" s="25">
        <f t="shared" si="7"/>
        <v>18</v>
      </c>
      <c r="R6" s="25">
        <f t="shared" si="8"/>
        <v>0.25280972940905</v>
      </c>
      <c r="S6" s="27">
        <f t="shared" si="9"/>
        <v>1602.01348647905</v>
      </c>
      <c r="T6" s="27">
        <f t="shared" si="10"/>
        <v>18</v>
      </c>
      <c r="U6" s="25">
        <f t="shared" si="11"/>
        <v>0.0329628663928905</v>
      </c>
      <c r="V6" s="25">
        <f t="shared" si="12"/>
        <v>0.0686726383185219</v>
      </c>
      <c r="W6" s="25">
        <f t="shared" si="13"/>
        <v>0.0671461817859219</v>
      </c>
      <c r="X6" s="24">
        <f t="shared" si="14"/>
        <v>350</v>
      </c>
      <c r="Y6" s="131">
        <f t="shared" ref="Y6:Y69" si="54">MIN(1/(V6+W6)*1000,350)</f>
        <v>350</v>
      </c>
      <c r="AA6" s="25">
        <f t="shared" si="15"/>
        <v>0.693420972093396</v>
      </c>
      <c r="AB6" s="5">
        <f t="shared" si="16"/>
        <v>1.41251583194828</v>
      </c>
      <c r="AC6" s="5">
        <f t="shared" si="17"/>
        <v>0.114328414122712</v>
      </c>
      <c r="AD6" s="5"/>
      <c r="AE6" s="5">
        <f t="shared" si="18"/>
        <v>0.611107489733394</v>
      </c>
      <c r="AF6" s="216">
        <f t="shared" si="19"/>
        <v>81.7777777777778</v>
      </c>
      <c r="AG6" s="217">
        <f t="shared" si="20"/>
        <v>0.0213994565217391</v>
      </c>
      <c r="AI6" s="5">
        <f t="shared" si="21"/>
        <v>0.15285640112563</v>
      </c>
      <c r="AJ6" s="5">
        <f t="shared" si="22"/>
        <v>0.3</v>
      </c>
      <c r="AK6" s="5">
        <f t="shared" si="23"/>
        <v>1.04673015873016</v>
      </c>
      <c r="AM6" s="216">
        <f t="shared" si="24"/>
        <v>5</v>
      </c>
      <c r="AN6" s="220">
        <f t="shared" si="25"/>
        <v>81.7777777777778</v>
      </c>
      <c r="AP6">
        <f t="shared" si="26"/>
        <v>5</v>
      </c>
      <c r="AQ6" s="220">
        <f t="shared" si="27"/>
        <v>81.7777777777778</v>
      </c>
      <c r="AR6" s="220"/>
      <c r="AS6" s="192">
        <f t="shared" ref="AS6:AS69" si="55">1/AN6*1000</f>
        <v>12.2282608695652</v>
      </c>
      <c r="AT6" s="192">
        <f t="shared" si="28"/>
        <v>0.625</v>
      </c>
      <c r="AU6" s="192">
        <f t="shared" ref="AU6:AU69" si="56">AS6-AT6</f>
        <v>11.6032608695652</v>
      </c>
      <c r="AV6" s="192">
        <f t="shared" si="29"/>
        <v>0.611107489733394</v>
      </c>
      <c r="AW6" s="5">
        <f t="shared" ref="AW6:AW69" si="57">AT6/AS6</f>
        <v>0.0511111111111111</v>
      </c>
      <c r="AX6" s="5">
        <f t="shared" si="30"/>
        <v>0.092</v>
      </c>
      <c r="AY6" s="5">
        <f t="shared" si="31"/>
        <v>0.0949363333333333</v>
      </c>
      <c r="AZ6" s="5">
        <f t="shared" ref="AZ6:AZ69" si="58">AX6/AY6</f>
        <v>0.969070499878866</v>
      </c>
      <c r="BA6" s="220">
        <f t="shared" si="32"/>
        <v>4.91946604768167</v>
      </c>
      <c r="BB6" s="220">
        <f t="shared" si="33"/>
        <v>0.0314517033062427</v>
      </c>
      <c r="BC6" s="192">
        <f t="shared" si="34"/>
        <v>0.161156400966184</v>
      </c>
      <c r="BD6" s="220">
        <f t="shared" si="35"/>
        <v>0.991938405797101</v>
      </c>
      <c r="BE6" s="192"/>
      <c r="BF6" s="5">
        <f t="shared" ref="BF6:BF69" si="59">AJ6*SQRT(AW6/3)</f>
        <v>0.0391578004149024</v>
      </c>
      <c r="BG6" s="5">
        <f t="shared" si="36"/>
        <v>0.112536691201877</v>
      </c>
      <c r="BH6" s="5"/>
      <c r="BI6" s="217">
        <f t="shared" si="37"/>
        <v>0.000536666666666667</v>
      </c>
      <c r="BJ6" s="217">
        <f t="shared" si="38"/>
        <v>0.00297746346666667</v>
      </c>
      <c r="BK6" s="217">
        <f t="shared" si="39"/>
        <v>0.00102222222222222</v>
      </c>
      <c r="BL6" s="217">
        <f t="shared" si="40"/>
        <v>0.00240904584112356</v>
      </c>
      <c r="BM6">
        <f t="shared" si="41"/>
        <v>0.00348</v>
      </c>
      <c r="BN6">
        <f t="shared" si="42"/>
        <v>1.43111111111111e-6</v>
      </c>
      <c r="BO6" s="217">
        <f t="shared" si="43"/>
        <v>0.0106594721359413</v>
      </c>
      <c r="BP6" s="220">
        <f t="shared" ref="BP6:BP69" si="60">BO6*1000</f>
        <v>10.6594721359413</v>
      </c>
      <c r="BQ6" s="217">
        <f t="shared" si="44"/>
        <v>0.0113376378322433</v>
      </c>
      <c r="BR6" s="217"/>
      <c r="BT6" s="220">
        <f t="shared" ref="BT6:BT69" si="61">SUM(BQ6:BS6)*1000</f>
        <v>11.3376378322433</v>
      </c>
      <c r="BU6" s="217">
        <f t="shared" si="45"/>
        <v>6.28666666666667e-5</v>
      </c>
      <c r="BV6" s="217">
        <f t="shared" si="46"/>
        <v>0.00126645068666667</v>
      </c>
      <c r="BW6" s="217">
        <f t="shared" si="47"/>
        <v>0</v>
      </c>
      <c r="BX6" s="217">
        <f t="shared" si="48"/>
        <v>0.00183465305449141</v>
      </c>
      <c r="BY6" s="217">
        <f t="shared" si="49"/>
        <v>0.0002944</v>
      </c>
      <c r="BZ6" s="220">
        <f t="shared" ref="BZ6:BZ69" si="62">1000*(BX6+BY6)</f>
        <v>2.12905305449141</v>
      </c>
      <c r="CA6" s="5">
        <f t="shared" ref="CA6:CA69" si="63">SUM(BO6,BQ6:BS6,BX6,BY6)</f>
        <v>0.024126163022676</v>
      </c>
      <c r="CB6" s="192">
        <f t="shared" ref="CB6:CB69" si="64">MIN(H6,O6)</f>
        <v>0.09</v>
      </c>
      <c r="CC6" s="5">
        <f t="shared" ref="CC6:CC69" si="65">CB6/(CB6+CA6)</f>
        <v>0.78860094492196</v>
      </c>
      <c r="CD6" s="192">
        <f t="shared" ref="CD6:CD69" si="66">CC6*100</f>
        <v>78.860094492196</v>
      </c>
      <c r="CG6" s="227">
        <f t="shared" si="50"/>
        <v>-50</v>
      </c>
      <c r="CH6">
        <f t="shared" si="51"/>
        <v>-50</v>
      </c>
    </row>
    <row r="7" spans="5:86">
      <c r="E7" s="22">
        <v>2</v>
      </c>
      <c r="F7" s="25">
        <f t="shared" si="52"/>
        <v>0.01</v>
      </c>
      <c r="G7" s="25"/>
      <c r="H7" s="25">
        <f t="shared" si="0"/>
        <v>0.18</v>
      </c>
      <c r="I7" s="212">
        <f t="shared" si="1"/>
        <v>12</v>
      </c>
      <c r="J7" s="27">
        <f t="shared" si="2"/>
        <v>12.2728</v>
      </c>
      <c r="K7" s="131">
        <f t="shared" si="3"/>
        <v>24.2728</v>
      </c>
      <c r="L7" s="131"/>
      <c r="M7" s="25">
        <f t="shared" si="4"/>
        <v>0.505619458818101</v>
      </c>
      <c r="N7" s="27">
        <f t="shared" si="5"/>
        <v>4.09551761642662</v>
      </c>
      <c r="O7" s="27">
        <f t="shared" si="53"/>
        <v>0.18</v>
      </c>
      <c r="P7" s="25">
        <f t="shared" si="6"/>
        <v>0.227528756468145</v>
      </c>
      <c r="Q7" s="25">
        <f t="shared" si="7"/>
        <v>18</v>
      </c>
      <c r="R7" s="25">
        <f t="shared" si="8"/>
        <v>0.25280972940905</v>
      </c>
      <c r="S7" s="27">
        <f t="shared" si="9"/>
        <v>792.018077074221</v>
      </c>
      <c r="T7" s="27">
        <f t="shared" si="10"/>
        <v>18</v>
      </c>
      <c r="U7" s="25">
        <f t="shared" si="11"/>
        <v>0.065925732785781</v>
      </c>
      <c r="V7" s="25">
        <f t="shared" si="12"/>
        <v>0.137345276637044</v>
      </c>
      <c r="W7" s="25">
        <f t="shared" si="13"/>
        <v>0.134292363571844</v>
      </c>
      <c r="X7" s="24">
        <f t="shared" si="14"/>
        <v>350</v>
      </c>
      <c r="Y7" s="131">
        <f t="shared" si="54"/>
        <v>350</v>
      </c>
      <c r="AA7" s="25">
        <f t="shared" si="15"/>
        <v>0.693420972093396</v>
      </c>
      <c r="AB7" s="5">
        <f t="shared" si="16"/>
        <v>1.41251583194828</v>
      </c>
      <c r="AC7" s="5">
        <f t="shared" si="17"/>
        <v>0.114328414122712</v>
      </c>
      <c r="AD7" s="5"/>
      <c r="AE7" s="5">
        <f t="shared" si="18"/>
        <v>0.611107489733394</v>
      </c>
      <c r="AF7" s="216">
        <f t="shared" si="19"/>
        <v>163.555555555556</v>
      </c>
      <c r="AG7" s="217">
        <f t="shared" si="20"/>
        <v>0.0213994565217391</v>
      </c>
      <c r="AI7" s="5">
        <f t="shared" si="21"/>
        <v>0.216171595567407</v>
      </c>
      <c r="AJ7" s="5">
        <f t="shared" si="22"/>
        <v>0.3</v>
      </c>
      <c r="AK7" s="5">
        <f t="shared" si="23"/>
        <v>1.09346031746032</v>
      </c>
      <c r="AM7" s="216">
        <f t="shared" si="24"/>
        <v>10</v>
      </c>
      <c r="AN7" s="220">
        <f t="shared" si="25"/>
        <v>163.555555555556</v>
      </c>
      <c r="AP7">
        <f t="shared" si="26"/>
        <v>10</v>
      </c>
      <c r="AQ7" s="220">
        <f t="shared" si="27"/>
        <v>163.555555555556</v>
      </c>
      <c r="AR7" s="220"/>
      <c r="AS7" s="192">
        <f t="shared" si="55"/>
        <v>6.11413043478261</v>
      </c>
      <c r="AT7" s="192">
        <f t="shared" si="28"/>
        <v>0.625</v>
      </c>
      <c r="AU7" s="192">
        <f t="shared" si="56"/>
        <v>5.48913043478261</v>
      </c>
      <c r="AV7" s="192">
        <f t="shared" si="29"/>
        <v>0.611107489733394</v>
      </c>
      <c r="AW7" s="5">
        <f t="shared" si="57"/>
        <v>0.102222222222222</v>
      </c>
      <c r="AX7" s="5">
        <f t="shared" si="30"/>
        <v>0.184</v>
      </c>
      <c r="AY7" s="5">
        <f t="shared" si="31"/>
        <v>0.0898226666666667</v>
      </c>
      <c r="AZ7" s="5">
        <f t="shared" si="58"/>
        <v>2.04848071013998</v>
      </c>
      <c r="BA7" s="220">
        <f t="shared" si="32"/>
        <v>4.91946604768167</v>
      </c>
      <c r="BB7" s="220">
        <f t="shared" si="33"/>
        <v>0.0958068132249707</v>
      </c>
      <c r="BC7" s="192">
        <f t="shared" si="34"/>
        <v>0.152475845410628</v>
      </c>
      <c r="BD7" s="220">
        <f t="shared" si="35"/>
        <v>0.964855072463768</v>
      </c>
      <c r="BE7" s="192"/>
      <c r="BF7" s="5">
        <f t="shared" si="59"/>
        <v>0.0553774924194538</v>
      </c>
      <c r="BG7" s="5">
        <f t="shared" si="36"/>
        <v>0.109463892372477</v>
      </c>
      <c r="BH7" s="5"/>
      <c r="BI7" s="217">
        <f t="shared" si="37"/>
        <v>0.00107333333333333</v>
      </c>
      <c r="BJ7" s="217">
        <f t="shared" si="38"/>
        <v>0.00595492693333333</v>
      </c>
      <c r="BK7" s="217">
        <f t="shared" si="39"/>
        <v>0.00204444444444444</v>
      </c>
      <c r="BL7" s="217">
        <f t="shared" si="40"/>
        <v>0.00481809168224711</v>
      </c>
      <c r="BM7">
        <f t="shared" si="41"/>
        <v>0.00348</v>
      </c>
      <c r="BN7">
        <f t="shared" si="42"/>
        <v>2.86222222222222e-6</v>
      </c>
      <c r="BO7" s="217">
        <f t="shared" si="43"/>
        <v>0.0178432814967841</v>
      </c>
      <c r="BP7" s="220">
        <f t="shared" si="60"/>
        <v>17.8432814967841</v>
      </c>
      <c r="BQ7" s="217">
        <f t="shared" si="44"/>
        <v>0.0142061462159867</v>
      </c>
      <c r="BR7" s="217"/>
      <c r="BT7" s="220">
        <f t="shared" si="61"/>
        <v>14.2061462159867</v>
      </c>
      <c r="BU7" s="217">
        <f t="shared" si="45"/>
        <v>0.000125733333333333</v>
      </c>
      <c r="BV7" s="217">
        <f t="shared" si="46"/>
        <v>0.00119823437333333</v>
      </c>
      <c r="BW7" s="217">
        <f t="shared" si="47"/>
        <v>0</v>
      </c>
      <c r="BX7" s="217">
        <f t="shared" si="48"/>
        <v>0.00182726897480912</v>
      </c>
      <c r="BY7" s="217">
        <f t="shared" si="49"/>
        <v>0.0005888</v>
      </c>
      <c r="BZ7" s="220">
        <f t="shared" si="62"/>
        <v>2.41606897480912</v>
      </c>
      <c r="CA7" s="5">
        <f t="shared" si="63"/>
        <v>0.0344654966875799</v>
      </c>
      <c r="CB7" s="192">
        <f t="shared" si="64"/>
        <v>0.18</v>
      </c>
      <c r="CC7" s="5">
        <f t="shared" si="65"/>
        <v>0.839295843760887</v>
      </c>
      <c r="CD7" s="192">
        <f t="shared" si="66"/>
        <v>83.9295843760887</v>
      </c>
      <c r="CG7" s="227">
        <f t="shared" si="50"/>
        <v>-50</v>
      </c>
      <c r="CH7">
        <f t="shared" si="51"/>
        <v>-50</v>
      </c>
    </row>
    <row r="8" spans="5:86">
      <c r="E8" s="22">
        <v>3</v>
      </c>
      <c r="F8" s="25">
        <f t="shared" si="52"/>
        <v>0.015</v>
      </c>
      <c r="G8" s="25"/>
      <c r="H8" s="25">
        <f t="shared" si="0"/>
        <v>0.27</v>
      </c>
      <c r="I8" s="212">
        <f t="shared" si="1"/>
        <v>12</v>
      </c>
      <c r="J8" s="27">
        <f t="shared" si="2"/>
        <v>12.2728</v>
      </c>
      <c r="K8" s="131">
        <f t="shared" si="3"/>
        <v>24.2728</v>
      </c>
      <c r="L8" s="131"/>
      <c r="M8" s="25">
        <f t="shared" si="4"/>
        <v>0.505619458818101</v>
      </c>
      <c r="N8" s="27">
        <f t="shared" si="5"/>
        <v>4.09551761642662</v>
      </c>
      <c r="O8" s="27">
        <f t="shared" si="53"/>
        <v>0.27</v>
      </c>
      <c r="P8" s="25">
        <f t="shared" si="6"/>
        <v>0.227528756468145</v>
      </c>
      <c r="Q8" s="25">
        <f t="shared" si="7"/>
        <v>18</v>
      </c>
      <c r="R8" s="25">
        <f t="shared" si="8"/>
        <v>0.25280972940905</v>
      </c>
      <c r="S8" s="27">
        <f t="shared" si="9"/>
        <v>522.022770556103</v>
      </c>
      <c r="T8" s="27">
        <f t="shared" si="10"/>
        <v>18</v>
      </c>
      <c r="U8" s="25">
        <f t="shared" si="11"/>
        <v>0.0988885991786715</v>
      </c>
      <c r="V8" s="25">
        <f t="shared" si="12"/>
        <v>0.206017914955566</v>
      </c>
      <c r="W8" s="25">
        <f t="shared" si="13"/>
        <v>0.201438545357766</v>
      </c>
      <c r="X8" s="24">
        <f t="shared" si="14"/>
        <v>350</v>
      </c>
      <c r="Y8" s="131">
        <f t="shared" si="54"/>
        <v>350</v>
      </c>
      <c r="AA8" s="25">
        <f t="shared" si="15"/>
        <v>0.693420972093396</v>
      </c>
      <c r="AB8" s="5">
        <f t="shared" si="16"/>
        <v>1.41251583194828</v>
      </c>
      <c r="AC8" s="5">
        <f t="shared" si="17"/>
        <v>0.114328414122712</v>
      </c>
      <c r="AD8" s="5"/>
      <c r="AE8" s="5">
        <f t="shared" si="18"/>
        <v>0.611107489733394</v>
      </c>
      <c r="AF8" s="216">
        <f t="shared" si="19"/>
        <v>245.333333333333</v>
      </c>
      <c r="AG8" s="217">
        <f t="shared" si="20"/>
        <v>0.0213994565217391</v>
      </c>
      <c r="AI8" s="5">
        <f t="shared" si="21"/>
        <v>0.264755053011719</v>
      </c>
      <c r="AJ8" s="5">
        <f t="shared" si="22"/>
        <v>0.3</v>
      </c>
      <c r="AK8" s="5">
        <f t="shared" si="23"/>
        <v>1.14019047619048</v>
      </c>
      <c r="AM8" s="216">
        <f t="shared" si="24"/>
        <v>15</v>
      </c>
      <c r="AN8" s="220">
        <f t="shared" si="25"/>
        <v>245.333333333333</v>
      </c>
      <c r="AP8">
        <f t="shared" si="26"/>
        <v>15</v>
      </c>
      <c r="AQ8" s="220">
        <f t="shared" si="27"/>
        <v>245.333333333333</v>
      </c>
      <c r="AR8" s="220"/>
      <c r="AS8" s="192">
        <f t="shared" si="55"/>
        <v>4.07608695652174</v>
      </c>
      <c r="AT8" s="192">
        <f t="shared" si="28"/>
        <v>0.625</v>
      </c>
      <c r="AU8" s="192">
        <f t="shared" si="56"/>
        <v>3.45108695652174</v>
      </c>
      <c r="AV8" s="192">
        <f t="shared" si="29"/>
        <v>0.611107489733394</v>
      </c>
      <c r="AW8" s="5">
        <f t="shared" si="57"/>
        <v>0.153333333333333</v>
      </c>
      <c r="AX8" s="5">
        <f t="shared" si="30"/>
        <v>0.276</v>
      </c>
      <c r="AY8" s="5">
        <f t="shared" si="31"/>
        <v>0.084709</v>
      </c>
      <c r="AZ8" s="5">
        <f t="shared" si="58"/>
        <v>3.25821341297855</v>
      </c>
      <c r="BA8" s="220">
        <f t="shared" si="32"/>
        <v>4.91946604768167</v>
      </c>
      <c r="BB8" s="220">
        <f t="shared" si="33"/>
        <v>0.193065329756184</v>
      </c>
      <c r="BC8" s="192">
        <f t="shared" si="34"/>
        <v>0.143795289855072</v>
      </c>
      <c r="BD8" s="220">
        <f t="shared" si="35"/>
        <v>0.937771739130435</v>
      </c>
      <c r="BE8" s="192"/>
      <c r="BF8" s="5">
        <f t="shared" si="59"/>
        <v>0.0678232998312527</v>
      </c>
      <c r="BG8" s="5">
        <f t="shared" si="36"/>
        <v>0.106302307594897</v>
      </c>
      <c r="BH8" s="5"/>
      <c r="BI8" s="217">
        <f t="shared" si="37"/>
        <v>0.00161</v>
      </c>
      <c r="BJ8" s="217">
        <f t="shared" si="38"/>
        <v>0.0089323904</v>
      </c>
      <c r="BK8" s="217">
        <f t="shared" si="39"/>
        <v>0.00306666666666667</v>
      </c>
      <c r="BL8" s="217">
        <f t="shared" si="40"/>
        <v>0.00722713752337067</v>
      </c>
      <c r="BM8">
        <f t="shared" si="41"/>
        <v>0.00348</v>
      </c>
      <c r="BN8">
        <f t="shared" si="42"/>
        <v>4.29333333333333e-6</v>
      </c>
      <c r="BO8" s="217">
        <f t="shared" si="43"/>
        <v>0.0250314320139883</v>
      </c>
      <c r="BP8" s="220">
        <f t="shared" si="60"/>
        <v>25.0314320139883</v>
      </c>
      <c r="BQ8" s="217">
        <f t="shared" si="44"/>
        <v>0.01707465459973</v>
      </c>
      <c r="BR8" s="217"/>
      <c r="BT8" s="220">
        <f t="shared" si="61"/>
        <v>17.07465459973</v>
      </c>
      <c r="BU8" s="217">
        <f t="shared" si="45"/>
        <v>0.0001886</v>
      </c>
      <c r="BV8" s="217">
        <f t="shared" si="46"/>
        <v>0.00113001806</v>
      </c>
      <c r="BW8" s="217">
        <f t="shared" si="47"/>
        <v>0</v>
      </c>
      <c r="BX8" s="217">
        <f t="shared" si="48"/>
        <v>0.00181988490144785</v>
      </c>
      <c r="BY8" s="217">
        <f t="shared" si="49"/>
        <v>0.0008832</v>
      </c>
      <c r="BZ8" s="220">
        <f t="shared" si="62"/>
        <v>2.70308490144785</v>
      </c>
      <c r="CA8" s="5">
        <f t="shared" si="63"/>
        <v>0.0448091715151662</v>
      </c>
      <c r="CB8" s="192">
        <f t="shared" si="64"/>
        <v>0.27</v>
      </c>
      <c r="CC8" s="5">
        <f t="shared" si="65"/>
        <v>0.857662433087635</v>
      </c>
      <c r="CD8" s="192">
        <f t="shared" si="66"/>
        <v>85.7662433087635</v>
      </c>
      <c r="CG8" s="227">
        <f t="shared" si="50"/>
        <v>-50</v>
      </c>
      <c r="CH8">
        <f t="shared" si="51"/>
        <v>-50</v>
      </c>
    </row>
    <row r="9" spans="5:86">
      <c r="E9" s="22">
        <v>4</v>
      </c>
      <c r="F9" s="25">
        <f t="shared" si="52"/>
        <v>0.02</v>
      </c>
      <c r="G9" s="25"/>
      <c r="H9" s="25">
        <f t="shared" si="0"/>
        <v>0.36</v>
      </c>
      <c r="I9" s="212">
        <f t="shared" si="1"/>
        <v>12</v>
      </c>
      <c r="J9" s="27">
        <f t="shared" si="2"/>
        <v>12.2728</v>
      </c>
      <c r="K9" s="131">
        <f t="shared" si="3"/>
        <v>24.2728</v>
      </c>
      <c r="L9" s="131"/>
      <c r="M9" s="25">
        <f t="shared" si="4"/>
        <v>0.505619458818101</v>
      </c>
      <c r="N9" s="27">
        <f t="shared" si="5"/>
        <v>4.09551761642662</v>
      </c>
      <c r="O9" s="27">
        <f t="shared" si="53"/>
        <v>0.36</v>
      </c>
      <c r="P9" s="25">
        <f t="shared" si="6"/>
        <v>0.227528756468145</v>
      </c>
      <c r="Q9" s="25">
        <f t="shared" si="7"/>
        <v>18</v>
      </c>
      <c r="R9" s="25">
        <f t="shared" si="8"/>
        <v>0.25280972940905</v>
      </c>
      <c r="S9" s="27">
        <f t="shared" si="9"/>
        <v>387.02757033365</v>
      </c>
      <c r="T9" s="27">
        <f t="shared" si="10"/>
        <v>18</v>
      </c>
      <c r="U9" s="25">
        <f t="shared" si="11"/>
        <v>0.131851465571562</v>
      </c>
      <c r="V9" s="25">
        <f t="shared" si="12"/>
        <v>0.274690553274087</v>
      </c>
      <c r="W9" s="25">
        <f t="shared" si="13"/>
        <v>0.268584727143688</v>
      </c>
      <c r="X9" s="24">
        <f t="shared" si="14"/>
        <v>350</v>
      </c>
      <c r="Y9" s="131">
        <f t="shared" si="54"/>
        <v>350</v>
      </c>
      <c r="AA9" s="25">
        <f t="shared" si="15"/>
        <v>0.693420972093396</v>
      </c>
      <c r="AB9" s="5">
        <f t="shared" si="16"/>
        <v>1.41251583194828</v>
      </c>
      <c r="AC9" s="5">
        <f t="shared" si="17"/>
        <v>0.114328414122712</v>
      </c>
      <c r="AD9" s="5"/>
      <c r="AE9" s="5">
        <f t="shared" si="18"/>
        <v>0.611107489733394</v>
      </c>
      <c r="AF9" s="216">
        <f t="shared" si="19"/>
        <v>327.111111111111</v>
      </c>
      <c r="AG9" s="217">
        <f t="shared" si="20"/>
        <v>0.0213994565217391</v>
      </c>
      <c r="AI9" s="5">
        <f t="shared" si="21"/>
        <v>0.305712802251259</v>
      </c>
      <c r="AJ9" s="5">
        <f t="shared" si="22"/>
        <v>0.305712802251259</v>
      </c>
      <c r="AK9" s="5">
        <f t="shared" si="23"/>
        <v>1.18692063492063</v>
      </c>
      <c r="AM9" s="216">
        <f t="shared" si="24"/>
        <v>20</v>
      </c>
      <c r="AN9" s="220">
        <f t="shared" si="25"/>
        <v>327.111111111111</v>
      </c>
      <c r="AP9">
        <f t="shared" si="26"/>
        <v>20</v>
      </c>
      <c r="AQ9" s="220">
        <f t="shared" si="27"/>
        <v>327.111111111111</v>
      </c>
      <c r="AR9" s="220"/>
      <c r="AS9" s="192">
        <f t="shared" si="55"/>
        <v>3.0570652173913</v>
      </c>
      <c r="AT9" s="192">
        <f t="shared" si="28"/>
        <v>0.63690167135679</v>
      </c>
      <c r="AU9" s="192">
        <f t="shared" si="56"/>
        <v>2.42016354603451</v>
      </c>
      <c r="AV9" s="192">
        <f t="shared" si="29"/>
        <v>0.622744610543762</v>
      </c>
      <c r="AW9" s="5">
        <f t="shared" si="57"/>
        <v>0.208337613386043</v>
      </c>
      <c r="AX9" s="5">
        <f t="shared" si="30"/>
        <v>0.38214885361552</v>
      </c>
      <c r="AY9" s="5">
        <f t="shared" si="31"/>
        <v>0.0807141124373322</v>
      </c>
      <c r="AZ9" s="5">
        <f t="shared" si="58"/>
        <v>4.73459773112449</v>
      </c>
      <c r="BA9" s="220">
        <f t="shared" si="32"/>
        <v>4.91946604768167</v>
      </c>
      <c r="BB9" s="220">
        <f t="shared" si="33"/>
        <v>0.323227252899883</v>
      </c>
      <c r="BC9" s="192">
        <f t="shared" si="34"/>
        <v>0.134453530335251</v>
      </c>
      <c r="BD9" s="220">
        <f t="shared" si="35"/>
        <v>0.906721182011505</v>
      </c>
      <c r="BE9" s="192"/>
      <c r="BF9" s="5">
        <f t="shared" si="59"/>
        <v>0.0805632246251032</v>
      </c>
      <c r="BG9" s="5">
        <f t="shared" si="36"/>
        <v>0.104748747355411</v>
      </c>
      <c r="BH9" s="5"/>
      <c r="BI9" s="217">
        <f t="shared" si="37"/>
        <v>0.00227165160669819</v>
      </c>
      <c r="BJ9" s="217">
        <f t="shared" si="38"/>
        <v>0.0121366493332722</v>
      </c>
      <c r="BK9" s="217">
        <f t="shared" si="39"/>
        <v>0.00408888888888889</v>
      </c>
      <c r="BL9" s="217">
        <f t="shared" si="40"/>
        <v>0.00963618336449422</v>
      </c>
      <c r="BM9">
        <f t="shared" si="41"/>
        <v>0.00348</v>
      </c>
      <c r="BN9">
        <f t="shared" si="42"/>
        <v>5.72444444444445e-6</v>
      </c>
      <c r="BO9" s="217">
        <f t="shared" si="43"/>
        <v>0.0326319259060506</v>
      </c>
      <c r="BP9" s="220">
        <f t="shared" si="60"/>
        <v>32.6319259060506</v>
      </c>
      <c r="BQ9" s="217">
        <f t="shared" si="44"/>
        <v>0.0201679730110224</v>
      </c>
      <c r="BR9" s="217"/>
      <c r="BT9" s="220">
        <f t="shared" si="61"/>
        <v>20.1679730110224</v>
      </c>
      <c r="BU9" s="217">
        <f t="shared" si="45"/>
        <v>0.000266107759641788</v>
      </c>
      <c r="BV9" s="217">
        <f t="shared" si="46"/>
        <v>0.00109723000725277</v>
      </c>
      <c r="BW9" s="217">
        <f t="shared" si="47"/>
        <v>0</v>
      </c>
      <c r="BX9" s="217">
        <f t="shared" si="48"/>
        <v>0.00188161134005869</v>
      </c>
      <c r="BY9" s="217">
        <f t="shared" si="49"/>
        <v>0.00122287633156966</v>
      </c>
      <c r="BZ9" s="220">
        <f t="shared" si="62"/>
        <v>3.10448767162835</v>
      </c>
      <c r="CA9" s="5">
        <f t="shared" si="63"/>
        <v>0.0559043865887014</v>
      </c>
      <c r="CB9" s="192">
        <f t="shared" si="64"/>
        <v>0.36</v>
      </c>
      <c r="CC9" s="5">
        <f t="shared" si="65"/>
        <v>0.865583561050567</v>
      </c>
      <c r="CD9" s="192">
        <f t="shared" si="66"/>
        <v>86.5583561050567</v>
      </c>
      <c r="CG9" s="227">
        <f t="shared" si="50"/>
        <v>-50</v>
      </c>
      <c r="CH9">
        <f t="shared" si="51"/>
        <v>-50</v>
      </c>
    </row>
    <row r="10" spans="5:86">
      <c r="E10" s="22">
        <v>5</v>
      </c>
      <c r="F10" s="25">
        <f t="shared" si="52"/>
        <v>0.025</v>
      </c>
      <c r="G10" s="25"/>
      <c r="H10" s="25">
        <f t="shared" si="0"/>
        <v>0.45</v>
      </c>
      <c r="I10" s="212">
        <f t="shared" si="1"/>
        <v>12</v>
      </c>
      <c r="J10" s="27">
        <f t="shared" si="2"/>
        <v>12.2728</v>
      </c>
      <c r="K10" s="131">
        <f t="shared" si="3"/>
        <v>24.2728</v>
      </c>
      <c r="L10" s="131"/>
      <c r="M10" s="25">
        <f t="shared" si="4"/>
        <v>0.505619458818101</v>
      </c>
      <c r="N10" s="27">
        <f t="shared" si="5"/>
        <v>4.09551761642662</v>
      </c>
      <c r="O10" s="27">
        <f t="shared" si="53"/>
        <v>0.45</v>
      </c>
      <c r="P10" s="25">
        <f t="shared" si="6"/>
        <v>0.227528756468145</v>
      </c>
      <c r="Q10" s="25">
        <f t="shared" si="7"/>
        <v>18</v>
      </c>
      <c r="R10" s="25">
        <f t="shared" si="8"/>
        <v>0.25280972940905</v>
      </c>
      <c r="S10" s="27">
        <f t="shared" si="9"/>
        <v>306.032479963818</v>
      </c>
      <c r="T10" s="27">
        <f t="shared" si="10"/>
        <v>18</v>
      </c>
      <c r="U10" s="25">
        <f t="shared" si="11"/>
        <v>0.164814331964453</v>
      </c>
      <c r="V10" s="25">
        <f t="shared" si="12"/>
        <v>0.34336319159261</v>
      </c>
      <c r="W10" s="25">
        <f t="shared" si="13"/>
        <v>0.335730908929611</v>
      </c>
      <c r="X10" s="24">
        <f t="shared" si="14"/>
        <v>350</v>
      </c>
      <c r="Y10" s="131">
        <f t="shared" si="54"/>
        <v>350</v>
      </c>
      <c r="AA10" s="25">
        <f t="shared" si="15"/>
        <v>0.693420972093396</v>
      </c>
      <c r="AB10" s="5">
        <f t="shared" si="16"/>
        <v>1.41251583194828</v>
      </c>
      <c r="AC10" s="5">
        <f t="shared" si="17"/>
        <v>0.114328414122712</v>
      </c>
      <c r="AD10" s="5"/>
      <c r="AE10" s="5">
        <f t="shared" si="18"/>
        <v>0.611107489733394</v>
      </c>
      <c r="AF10" s="216">
        <f t="shared" si="19"/>
        <v>408.888888888889</v>
      </c>
      <c r="AG10" s="217">
        <f t="shared" si="20"/>
        <v>0.0213994565217391</v>
      </c>
      <c r="AI10" s="5">
        <f t="shared" si="21"/>
        <v>0.341797303712883</v>
      </c>
      <c r="AJ10" s="5">
        <f t="shared" si="22"/>
        <v>0.341797303712883</v>
      </c>
      <c r="AK10" s="5">
        <f t="shared" si="23"/>
        <v>1.22786486914192</v>
      </c>
      <c r="AM10" s="216">
        <f t="shared" si="24"/>
        <v>25</v>
      </c>
      <c r="AN10" s="220">
        <f t="shared" si="25"/>
        <v>350</v>
      </c>
      <c r="AP10">
        <f t="shared" si="26"/>
        <v>25</v>
      </c>
      <c r="AQ10" s="220">
        <f t="shared" si="27"/>
        <v>350</v>
      </c>
      <c r="AR10" s="220"/>
      <c r="AS10" s="192">
        <f t="shared" si="55"/>
        <v>2.85714285714286</v>
      </c>
      <c r="AT10" s="192">
        <f t="shared" si="28"/>
        <v>0.712077716068506</v>
      </c>
      <c r="AU10" s="192">
        <f t="shared" si="56"/>
        <v>2.14506514107435</v>
      </c>
      <c r="AV10" s="192">
        <f t="shared" si="29"/>
        <v>0.696249640898742</v>
      </c>
      <c r="AW10" s="5">
        <f t="shared" si="57"/>
        <v>0.249227200623977</v>
      </c>
      <c r="AX10" s="5">
        <f t="shared" si="30"/>
        <v>0.511111111111111</v>
      </c>
      <c r="AY10" s="5">
        <f t="shared" si="31"/>
        <v>0.0855801415289872</v>
      </c>
      <c r="AZ10" s="5">
        <f t="shared" si="58"/>
        <v>5.97230972021693</v>
      </c>
      <c r="BA10" s="220">
        <f t="shared" si="32"/>
        <v>4.91946604768167</v>
      </c>
      <c r="BB10" s="220">
        <f t="shared" si="33"/>
        <v>0.486292582656067</v>
      </c>
      <c r="BC10" s="192">
        <f t="shared" si="34"/>
        <v>0.148962857019052</v>
      </c>
      <c r="BD10" s="220">
        <f t="shared" si="35"/>
        <v>1.01877714211431</v>
      </c>
      <c r="BE10" s="192"/>
      <c r="BF10" s="5">
        <f t="shared" si="59"/>
        <v>0.0985157628886175</v>
      </c>
      <c r="BG10" s="5">
        <f t="shared" si="36"/>
        <v>0.114048112959766</v>
      </c>
      <c r="BH10" s="5"/>
      <c r="BI10" s="217">
        <f t="shared" si="37"/>
        <v>0.00339687443813421</v>
      </c>
      <c r="BJ10" s="217">
        <f t="shared" si="38"/>
        <v>0.0145186607887336</v>
      </c>
      <c r="BK10" s="217">
        <f t="shared" si="39"/>
        <v>0.004375</v>
      </c>
      <c r="BL10" s="217">
        <f t="shared" si="40"/>
        <v>0.0103104543472</v>
      </c>
      <c r="BM10">
        <f t="shared" si="41"/>
        <v>0.00348</v>
      </c>
      <c r="BN10">
        <f t="shared" si="42"/>
        <v>6.125e-6</v>
      </c>
      <c r="BO10" s="217">
        <f t="shared" si="43"/>
        <v>0.0376111435832478</v>
      </c>
      <c r="BP10" s="220">
        <f t="shared" si="60"/>
        <v>37.6111435832478</v>
      </c>
      <c r="BQ10" s="217">
        <f t="shared" si="44"/>
        <v>0.0247604491268176</v>
      </c>
      <c r="BR10" s="217"/>
      <c r="BT10" s="220">
        <f t="shared" si="61"/>
        <v>24.7604491268176</v>
      </c>
      <c r="BU10" s="217">
        <f t="shared" si="45"/>
        <v>0.000397919577038579</v>
      </c>
      <c r="BV10" s="217">
        <f t="shared" si="46"/>
        <v>0.00130069720696835</v>
      </c>
      <c r="BW10" s="217">
        <f t="shared" si="47"/>
        <v>0</v>
      </c>
      <c r="BX10" s="217">
        <f t="shared" si="48"/>
        <v>0.00234440974222849</v>
      </c>
      <c r="BY10" s="217">
        <f t="shared" si="49"/>
        <v>0.00163555555555556</v>
      </c>
      <c r="BZ10" s="220">
        <f t="shared" si="62"/>
        <v>3.97996529778405</v>
      </c>
      <c r="CA10" s="5">
        <f t="shared" si="63"/>
        <v>0.0663515580078495</v>
      </c>
      <c r="CB10" s="192">
        <f t="shared" si="64"/>
        <v>0.45</v>
      </c>
      <c r="CC10" s="5">
        <f t="shared" si="65"/>
        <v>0.871499258637192</v>
      </c>
      <c r="CD10" s="192">
        <f t="shared" si="66"/>
        <v>87.1499258637192</v>
      </c>
      <c r="CG10" s="227">
        <f t="shared" si="50"/>
        <v>-50</v>
      </c>
      <c r="CH10">
        <f t="shared" si="51"/>
        <v>-50</v>
      </c>
    </row>
    <row r="11" spans="5:86">
      <c r="E11" s="22">
        <v>6</v>
      </c>
      <c r="F11" s="25">
        <f t="shared" si="52"/>
        <v>0.03</v>
      </c>
      <c r="G11" s="25"/>
      <c r="H11" s="25">
        <f t="shared" si="0"/>
        <v>0.54</v>
      </c>
      <c r="I11" s="212">
        <f t="shared" si="1"/>
        <v>12</v>
      </c>
      <c r="J11" s="27">
        <f t="shared" si="2"/>
        <v>12.2728</v>
      </c>
      <c r="K11" s="131">
        <f t="shared" si="3"/>
        <v>24.2728</v>
      </c>
      <c r="L11" s="131"/>
      <c r="M11" s="25">
        <f t="shared" si="4"/>
        <v>0.505619458818101</v>
      </c>
      <c r="N11" s="27">
        <f t="shared" si="5"/>
        <v>4.09551761642662</v>
      </c>
      <c r="O11" s="27">
        <f t="shared" si="53"/>
        <v>0.54</v>
      </c>
      <c r="P11" s="25">
        <f t="shared" si="6"/>
        <v>0.227528756468145</v>
      </c>
      <c r="Q11" s="25">
        <f t="shared" si="7"/>
        <v>18</v>
      </c>
      <c r="R11" s="25">
        <f t="shared" si="8"/>
        <v>0.25280972940905</v>
      </c>
      <c r="S11" s="27">
        <f t="shared" si="9"/>
        <v>252.037503159428</v>
      </c>
      <c r="T11" s="27">
        <f t="shared" si="10"/>
        <v>18</v>
      </c>
      <c r="U11" s="25">
        <f t="shared" si="11"/>
        <v>0.197777198357343</v>
      </c>
      <c r="V11" s="25">
        <f t="shared" si="12"/>
        <v>0.412035829911131</v>
      </c>
      <c r="W11" s="25">
        <f t="shared" si="13"/>
        <v>0.402877090715532</v>
      </c>
      <c r="X11" s="24">
        <f t="shared" si="14"/>
        <v>350</v>
      </c>
      <c r="Y11" s="131">
        <f t="shared" si="54"/>
        <v>350</v>
      </c>
      <c r="AA11" s="25">
        <f t="shared" si="15"/>
        <v>0.693420972093396</v>
      </c>
      <c r="AB11" s="5">
        <f t="shared" si="16"/>
        <v>1.41251583194828</v>
      </c>
      <c r="AC11" s="5">
        <f t="shared" si="17"/>
        <v>0.114328414122712</v>
      </c>
      <c r="AD11" s="5"/>
      <c r="AE11" s="5">
        <f t="shared" si="18"/>
        <v>0.611107489733394</v>
      </c>
      <c r="AF11" s="216">
        <f t="shared" si="19"/>
        <v>490.666666666667</v>
      </c>
      <c r="AG11" s="217">
        <f t="shared" si="20"/>
        <v>0.0213994565217391</v>
      </c>
      <c r="AI11" s="5">
        <f t="shared" si="21"/>
        <v>0.374420186675981</v>
      </c>
      <c r="AJ11" s="5">
        <f t="shared" si="22"/>
        <v>0.374420186675981</v>
      </c>
      <c r="AK11" s="5">
        <f t="shared" si="23"/>
        <v>1.24961345778399</v>
      </c>
      <c r="AM11" s="216">
        <f t="shared" si="24"/>
        <v>30</v>
      </c>
      <c r="AN11" s="220">
        <f t="shared" si="25"/>
        <v>350</v>
      </c>
      <c r="AP11">
        <f t="shared" si="26"/>
        <v>30</v>
      </c>
      <c r="AQ11" s="220">
        <f t="shared" si="27"/>
        <v>350</v>
      </c>
      <c r="AR11" s="220"/>
      <c r="AS11" s="192">
        <f t="shared" si="55"/>
        <v>2.85714285714286</v>
      </c>
      <c r="AT11" s="192">
        <f t="shared" si="28"/>
        <v>0.78004205557496</v>
      </c>
      <c r="AU11" s="192">
        <f t="shared" si="56"/>
        <v>2.0771008015679</v>
      </c>
      <c r="AV11" s="192">
        <f t="shared" si="29"/>
        <v>0.762703267950224</v>
      </c>
      <c r="AW11" s="5">
        <f t="shared" si="57"/>
        <v>0.273014719451236</v>
      </c>
      <c r="AX11" s="5">
        <f t="shared" si="30"/>
        <v>0.613333333333333</v>
      </c>
      <c r="AY11" s="5">
        <f t="shared" si="31"/>
        <v>0.0907780211453284</v>
      </c>
      <c r="AZ11" s="5">
        <f t="shared" si="58"/>
        <v>6.75640783523398</v>
      </c>
      <c r="BA11" s="220">
        <f t="shared" si="32"/>
        <v>4.91946604768167</v>
      </c>
      <c r="BB11" s="220">
        <f t="shared" si="33"/>
        <v>0.682261319024737</v>
      </c>
      <c r="BC11" s="192">
        <f t="shared" si="34"/>
        <v>0.173091733463991</v>
      </c>
      <c r="BD11" s="220">
        <f t="shared" si="35"/>
        <v>1.18855040078395</v>
      </c>
      <c r="BE11" s="192"/>
      <c r="BF11" s="5">
        <f t="shared" si="59"/>
        <v>0.112951410684533</v>
      </c>
      <c r="BG11" s="5">
        <f t="shared" si="36"/>
        <v>0.122938319105552</v>
      </c>
      <c r="BH11" s="5"/>
      <c r="BI11" s="217">
        <f t="shared" si="37"/>
        <v>0.0044653074114691</v>
      </c>
      <c r="BJ11" s="217">
        <f t="shared" si="38"/>
        <v>0.0159043960375103</v>
      </c>
      <c r="BK11" s="217">
        <f t="shared" si="39"/>
        <v>0.004375</v>
      </c>
      <c r="BL11" s="217">
        <f t="shared" si="40"/>
        <v>0.0103104543472</v>
      </c>
      <c r="BM11">
        <f t="shared" si="41"/>
        <v>0.00348</v>
      </c>
      <c r="BN11">
        <f t="shared" si="42"/>
        <v>6.125e-6</v>
      </c>
      <c r="BO11" s="217">
        <f t="shared" si="43"/>
        <v>0.0405520577543554</v>
      </c>
      <c r="BP11" s="220">
        <f t="shared" si="60"/>
        <v>40.5520577543554</v>
      </c>
      <c r="BQ11" s="217">
        <f t="shared" si="44"/>
        <v>0.0293987310197195</v>
      </c>
      <c r="BR11" s="217"/>
      <c r="BT11" s="220">
        <f t="shared" si="61"/>
        <v>29.3987310197195</v>
      </c>
      <c r="BU11" s="217">
        <f t="shared" si="45"/>
        <v>0.000523078868200666</v>
      </c>
      <c r="BV11" s="217">
        <f t="shared" si="46"/>
        <v>0.00151138303044985</v>
      </c>
      <c r="BW11" s="217">
        <f t="shared" si="47"/>
        <v>0</v>
      </c>
      <c r="BX11" s="217">
        <f t="shared" si="48"/>
        <v>0.00280801444400949</v>
      </c>
      <c r="BY11" s="217">
        <f t="shared" si="49"/>
        <v>0.00196266666666667</v>
      </c>
      <c r="BZ11" s="220">
        <f t="shared" si="62"/>
        <v>4.77068111067615</v>
      </c>
      <c r="CA11" s="5">
        <f t="shared" si="63"/>
        <v>0.0747214698847511</v>
      </c>
      <c r="CB11" s="192">
        <f t="shared" si="64"/>
        <v>0.54</v>
      </c>
      <c r="CC11" s="5">
        <f t="shared" si="65"/>
        <v>0.878446624129201</v>
      </c>
      <c r="CD11" s="192">
        <f t="shared" si="66"/>
        <v>87.8446624129201</v>
      </c>
      <c r="CG11" s="227">
        <f t="shared" si="50"/>
        <v>-50</v>
      </c>
      <c r="CH11">
        <f t="shared" si="51"/>
        <v>-50</v>
      </c>
    </row>
    <row r="12" spans="5:86">
      <c r="E12" s="22">
        <v>7</v>
      </c>
      <c r="F12" s="25">
        <f t="shared" si="52"/>
        <v>0.035</v>
      </c>
      <c r="G12" s="25"/>
      <c r="H12" s="25">
        <f t="shared" si="0"/>
        <v>0.63</v>
      </c>
      <c r="I12" s="212">
        <f t="shared" si="1"/>
        <v>12</v>
      </c>
      <c r="J12" s="27">
        <f t="shared" si="2"/>
        <v>12.2728</v>
      </c>
      <c r="K12" s="131">
        <f t="shared" si="3"/>
        <v>24.2728</v>
      </c>
      <c r="L12" s="131"/>
      <c r="M12" s="25">
        <f t="shared" si="4"/>
        <v>0.505619458818101</v>
      </c>
      <c r="N12" s="27">
        <f t="shared" si="5"/>
        <v>4.09551761642662</v>
      </c>
      <c r="O12" s="27">
        <f t="shared" si="53"/>
        <v>0.63</v>
      </c>
      <c r="P12" s="25">
        <f t="shared" si="6"/>
        <v>0.227528756468145</v>
      </c>
      <c r="Q12" s="25">
        <f t="shared" si="7"/>
        <v>18</v>
      </c>
      <c r="R12" s="25">
        <f t="shared" si="8"/>
        <v>0.25280972940905</v>
      </c>
      <c r="S12" s="27">
        <f t="shared" si="9"/>
        <v>213.471215226088</v>
      </c>
      <c r="T12" s="27">
        <f t="shared" si="10"/>
        <v>18</v>
      </c>
      <c r="U12" s="25">
        <f t="shared" si="11"/>
        <v>0.230740064750234</v>
      </c>
      <c r="V12" s="25">
        <f t="shared" si="12"/>
        <v>0.480708468229654</v>
      </c>
      <c r="W12" s="25">
        <f t="shared" si="13"/>
        <v>0.470023272501454</v>
      </c>
      <c r="X12" s="24">
        <f t="shared" si="14"/>
        <v>350</v>
      </c>
      <c r="Y12" s="131">
        <f t="shared" si="54"/>
        <v>350</v>
      </c>
      <c r="AA12" s="25">
        <f t="shared" si="15"/>
        <v>0.693420972093396</v>
      </c>
      <c r="AB12" s="5">
        <f t="shared" si="16"/>
        <v>1.41251583194828</v>
      </c>
      <c r="AC12" s="5">
        <f t="shared" si="17"/>
        <v>0.114328414122712</v>
      </c>
      <c r="AD12" s="5"/>
      <c r="AE12" s="5">
        <f t="shared" si="18"/>
        <v>0.611107489733394</v>
      </c>
      <c r="AF12" s="216">
        <f t="shared" si="19"/>
        <v>572.444444444444</v>
      </c>
      <c r="AG12" s="217">
        <f t="shared" si="20"/>
        <v>0.0213994565217391</v>
      </c>
      <c r="AI12" s="5">
        <f t="shared" si="21"/>
        <v>0.404420023682749</v>
      </c>
      <c r="AJ12" s="5">
        <f t="shared" si="22"/>
        <v>0.404420023682749</v>
      </c>
      <c r="AK12" s="5">
        <f t="shared" si="23"/>
        <v>1.26961334912183</v>
      </c>
      <c r="AM12" s="216">
        <f t="shared" si="24"/>
        <v>35</v>
      </c>
      <c r="AN12" s="220">
        <f t="shared" si="25"/>
        <v>350</v>
      </c>
      <c r="AP12">
        <f t="shared" si="26"/>
        <v>35</v>
      </c>
      <c r="AQ12" s="220">
        <f t="shared" si="27"/>
        <v>350</v>
      </c>
      <c r="AR12" s="220"/>
      <c r="AS12" s="192">
        <f t="shared" si="55"/>
        <v>2.85714285714286</v>
      </c>
      <c r="AT12" s="192">
        <f t="shared" si="28"/>
        <v>0.842541716005728</v>
      </c>
      <c r="AU12" s="192">
        <f t="shared" si="56"/>
        <v>2.01460114113713</v>
      </c>
      <c r="AV12" s="192">
        <f t="shared" si="29"/>
        <v>0.823813684902282</v>
      </c>
      <c r="AW12" s="5">
        <f t="shared" si="57"/>
        <v>0.294889600602005</v>
      </c>
      <c r="AX12" s="5">
        <f t="shared" si="30"/>
        <v>0.715555555555555</v>
      </c>
      <c r="AY12" s="5">
        <f t="shared" si="31"/>
        <v>0.0951011149352339</v>
      </c>
      <c r="AZ12" s="5">
        <f t="shared" si="58"/>
        <v>7.5241552745503</v>
      </c>
      <c r="BA12" s="220">
        <f t="shared" si="32"/>
        <v>4.91946604768167</v>
      </c>
      <c r="BB12" s="220">
        <f t="shared" si="33"/>
        <v>0.911133462005892</v>
      </c>
      <c r="BC12" s="192">
        <f t="shared" si="34"/>
        <v>0.195863999832776</v>
      </c>
      <c r="BD12" s="220">
        <f t="shared" si="35"/>
        <v>1.35018399899666</v>
      </c>
      <c r="BE12" s="192"/>
      <c r="BF12" s="5">
        <f t="shared" si="59"/>
        <v>0.126794890083705</v>
      </c>
      <c r="BG12" s="5">
        <f t="shared" si="36"/>
        <v>0.130775508328739</v>
      </c>
      <c r="BH12" s="5"/>
      <c r="BI12" s="217">
        <f t="shared" si="37"/>
        <v>0.00562693045296862</v>
      </c>
      <c r="BJ12" s="217">
        <f t="shared" si="38"/>
        <v>0.0171787111139816</v>
      </c>
      <c r="BK12" s="217">
        <f t="shared" si="39"/>
        <v>0.004375</v>
      </c>
      <c r="BL12" s="217">
        <f t="shared" si="40"/>
        <v>0.0103104543472</v>
      </c>
      <c r="BM12">
        <f t="shared" si="41"/>
        <v>0.00348</v>
      </c>
      <c r="BN12">
        <f t="shared" si="42"/>
        <v>6.125e-6</v>
      </c>
      <c r="BO12" s="217">
        <f t="shared" si="43"/>
        <v>0.0435204824673638</v>
      </c>
      <c r="BP12" s="220">
        <f t="shared" si="60"/>
        <v>43.5204824673638</v>
      </c>
      <c r="BQ12" s="217">
        <f t="shared" si="44"/>
        <v>0.0339618473173261</v>
      </c>
      <c r="BR12" s="217"/>
      <c r="BT12" s="220">
        <f t="shared" si="61"/>
        <v>33.9618473173261</v>
      </c>
      <c r="BU12" s="217">
        <f t="shared" si="45"/>
        <v>0.000659154710204896</v>
      </c>
      <c r="BV12" s="217">
        <f t="shared" si="46"/>
        <v>0.00171022335786402</v>
      </c>
      <c r="BW12" s="217">
        <f t="shared" si="47"/>
        <v>0</v>
      </c>
      <c r="BX12" s="217">
        <f t="shared" si="48"/>
        <v>0.0032703616317851</v>
      </c>
      <c r="BY12" s="217">
        <f t="shared" si="49"/>
        <v>0.00228977777777778</v>
      </c>
      <c r="BZ12" s="220">
        <f t="shared" si="62"/>
        <v>5.56013940956288</v>
      </c>
      <c r="CA12" s="5">
        <f t="shared" si="63"/>
        <v>0.0830424691942528</v>
      </c>
      <c r="CB12" s="192">
        <f t="shared" si="64"/>
        <v>0.63</v>
      </c>
      <c r="CC12" s="5">
        <f t="shared" si="65"/>
        <v>0.883537835708311</v>
      </c>
      <c r="CD12" s="192">
        <f t="shared" si="66"/>
        <v>88.3537835708311</v>
      </c>
      <c r="CG12" s="227">
        <f t="shared" si="50"/>
        <v>-50</v>
      </c>
      <c r="CH12">
        <f t="shared" si="51"/>
        <v>-50</v>
      </c>
    </row>
    <row r="13" s="2" customFormat="1" spans="5:86">
      <c r="E13" s="37">
        <v>8</v>
      </c>
      <c r="F13" s="25">
        <f t="shared" si="52"/>
        <v>0.04</v>
      </c>
      <c r="G13" s="25"/>
      <c r="H13" s="25">
        <f t="shared" si="0"/>
        <v>0.72</v>
      </c>
      <c r="I13" s="212">
        <f t="shared" si="1"/>
        <v>12</v>
      </c>
      <c r="J13" s="27">
        <f t="shared" si="2"/>
        <v>12.2728</v>
      </c>
      <c r="K13" s="194">
        <f t="shared" si="3"/>
        <v>24.2728</v>
      </c>
      <c r="L13" s="194"/>
      <c r="M13" s="181">
        <f t="shared" si="4"/>
        <v>0.505619458818101</v>
      </c>
      <c r="N13" s="27">
        <f t="shared" si="5"/>
        <v>4.09551761642662</v>
      </c>
      <c r="O13" s="27">
        <f t="shared" si="53"/>
        <v>0.72</v>
      </c>
      <c r="P13" s="181">
        <f t="shared" si="6"/>
        <v>0.227528756468145</v>
      </c>
      <c r="Q13" s="25">
        <f t="shared" si="7"/>
        <v>18</v>
      </c>
      <c r="R13" s="25">
        <f t="shared" si="8"/>
        <v>0.25280972940905</v>
      </c>
      <c r="S13" s="27">
        <f t="shared" si="9"/>
        <v>184.547905928204</v>
      </c>
      <c r="T13" s="27">
        <f t="shared" si="10"/>
        <v>18</v>
      </c>
      <c r="U13" s="25">
        <f t="shared" si="11"/>
        <v>0.263702931143124</v>
      </c>
      <c r="V13" s="181">
        <f t="shared" si="12"/>
        <v>0.549381106548175</v>
      </c>
      <c r="W13" s="25">
        <f t="shared" si="13"/>
        <v>0.537169454287375</v>
      </c>
      <c r="X13" s="201">
        <f t="shared" si="14"/>
        <v>350</v>
      </c>
      <c r="Y13" s="194">
        <f t="shared" si="54"/>
        <v>350</v>
      </c>
      <c r="AA13" s="181">
        <f t="shared" si="15"/>
        <v>0.693420972093396</v>
      </c>
      <c r="AB13" s="5">
        <f t="shared" si="16"/>
        <v>1.41251583194828</v>
      </c>
      <c r="AC13" s="202">
        <f t="shared" si="17"/>
        <v>0.114328414122712</v>
      </c>
      <c r="AD13" s="202"/>
      <c r="AE13" s="5">
        <f t="shared" si="18"/>
        <v>0.611107489733394</v>
      </c>
      <c r="AF13" s="216">
        <f t="shared" si="19"/>
        <v>654.222222222222</v>
      </c>
      <c r="AG13" s="217">
        <f t="shared" si="20"/>
        <v>0.0213994565217391</v>
      </c>
      <c r="AH13"/>
      <c r="AI13" s="5">
        <f t="shared" si="21"/>
        <v>0.432343191134815</v>
      </c>
      <c r="AJ13" s="5">
        <f t="shared" si="22"/>
        <v>0.432343191134815</v>
      </c>
      <c r="AK13" s="5">
        <f t="shared" si="23"/>
        <v>1.28822879408988</v>
      </c>
      <c r="AM13" s="216">
        <f t="shared" si="24"/>
        <v>40</v>
      </c>
      <c r="AN13" s="220">
        <f t="shared" si="25"/>
        <v>350</v>
      </c>
      <c r="AP13">
        <f t="shared" si="26"/>
        <v>40</v>
      </c>
      <c r="AQ13" s="220">
        <f t="shared" si="27"/>
        <v>350</v>
      </c>
      <c r="AR13" s="220"/>
      <c r="AS13" s="192">
        <f t="shared" si="55"/>
        <v>2.85714285714286</v>
      </c>
      <c r="AT13" s="192">
        <f t="shared" si="28"/>
        <v>0.900714981530864</v>
      </c>
      <c r="AU13" s="192">
        <f t="shared" si="56"/>
        <v>1.95642787561199</v>
      </c>
      <c r="AV13" s="192">
        <f t="shared" si="29"/>
        <v>0.880693874125739</v>
      </c>
      <c r="AW13" s="5">
        <f t="shared" si="57"/>
        <v>0.315250243535802</v>
      </c>
      <c r="AX13" s="5">
        <f t="shared" si="30"/>
        <v>0.817777777777778</v>
      </c>
      <c r="AY13" s="5">
        <f t="shared" si="31"/>
        <v>0.0987316394286459</v>
      </c>
      <c r="AZ13" s="5">
        <f t="shared" si="58"/>
        <v>8.28283397814732</v>
      </c>
      <c r="BA13" s="220">
        <f t="shared" si="32"/>
        <v>4.91946604768167</v>
      </c>
      <c r="BB13" s="220">
        <f t="shared" si="33"/>
        <v>1.17290901159953</v>
      </c>
      <c r="BC13" s="192">
        <f t="shared" si="34"/>
        <v>0.217380875067999</v>
      </c>
      <c r="BD13" s="220">
        <f t="shared" si="35"/>
        <v>1.504285250408</v>
      </c>
      <c r="BE13" s="192"/>
      <c r="BF13" s="5">
        <f t="shared" si="59"/>
        <v>0.140150842167284</v>
      </c>
      <c r="BG13" s="5">
        <f t="shared" si="36"/>
        <v>0.13777162267492</v>
      </c>
      <c r="BH13" s="5"/>
      <c r="BI13" s="217">
        <f t="shared" si="37"/>
        <v>0.00687479049606964</v>
      </c>
      <c r="BJ13" s="217">
        <f t="shared" si="38"/>
        <v>0.01836481466711</v>
      </c>
      <c r="BK13" s="217">
        <f t="shared" si="39"/>
        <v>0.004375</v>
      </c>
      <c r="BL13" s="217">
        <f t="shared" si="40"/>
        <v>0.0103104543472</v>
      </c>
      <c r="BM13">
        <f t="shared" si="41"/>
        <v>0.00348</v>
      </c>
      <c r="BN13">
        <f t="shared" si="42"/>
        <v>6.125e-6</v>
      </c>
      <c r="BO13" s="217">
        <f t="shared" si="43"/>
        <v>0.0465300925563738</v>
      </c>
      <c r="BP13" s="220">
        <f t="shared" si="60"/>
        <v>46.5300925563738</v>
      </c>
      <c r="BQ13" s="217">
        <f t="shared" si="44"/>
        <v>0.0384554062501886</v>
      </c>
      <c r="BR13" s="217"/>
      <c r="BT13" s="220">
        <f t="shared" si="61"/>
        <v>38.4554062501886</v>
      </c>
      <c r="BU13" s="217">
        <f t="shared" si="45"/>
        <v>0.000805332600968159</v>
      </c>
      <c r="BV13" s="217">
        <f t="shared" si="46"/>
        <v>0.00189810200144804</v>
      </c>
      <c r="BW13" s="217">
        <f t="shared" si="47"/>
        <v>0</v>
      </c>
      <c r="BX13" s="217">
        <f t="shared" si="48"/>
        <v>0.00373154679075153</v>
      </c>
      <c r="BY13" s="217">
        <f t="shared" si="49"/>
        <v>0.00261688888888889</v>
      </c>
      <c r="BZ13" s="220">
        <f t="shared" si="62"/>
        <v>6.34843567964042</v>
      </c>
      <c r="CA13" s="5">
        <f t="shared" si="63"/>
        <v>0.0913339344862028</v>
      </c>
      <c r="CB13" s="192">
        <f t="shared" si="64"/>
        <v>0.72</v>
      </c>
      <c r="CC13" s="5">
        <f t="shared" si="65"/>
        <v>0.88742744435552</v>
      </c>
      <c r="CD13" s="192">
        <f t="shared" si="66"/>
        <v>88.742744435552</v>
      </c>
      <c r="CG13" s="227">
        <f t="shared" si="50"/>
        <v>-50</v>
      </c>
      <c r="CH13">
        <f t="shared" si="51"/>
        <v>-50</v>
      </c>
    </row>
    <row r="14" spans="5:86">
      <c r="E14" s="22">
        <v>9</v>
      </c>
      <c r="F14" s="25">
        <f t="shared" si="52"/>
        <v>0.045</v>
      </c>
      <c r="G14" s="25"/>
      <c r="H14" s="25">
        <f t="shared" si="0"/>
        <v>0.81</v>
      </c>
      <c r="I14" s="212">
        <f t="shared" si="1"/>
        <v>12</v>
      </c>
      <c r="J14" s="27">
        <f t="shared" si="2"/>
        <v>12.2728</v>
      </c>
      <c r="K14" s="131">
        <f t="shared" si="3"/>
        <v>24.2728</v>
      </c>
      <c r="L14" s="131"/>
      <c r="M14" s="25">
        <f t="shared" si="4"/>
        <v>0.505619458818101</v>
      </c>
      <c r="N14" s="27">
        <f t="shared" si="5"/>
        <v>4.09551761642662</v>
      </c>
      <c r="O14" s="27">
        <f t="shared" si="53"/>
        <v>0.81</v>
      </c>
      <c r="P14" s="25">
        <f t="shared" si="6"/>
        <v>0.227528756468145</v>
      </c>
      <c r="Q14" s="25">
        <f t="shared" si="7"/>
        <v>18</v>
      </c>
      <c r="R14" s="25">
        <f t="shared" si="8"/>
        <v>0.25280972940905</v>
      </c>
      <c r="S14" s="27">
        <f t="shared" si="9"/>
        <v>162.053293784121</v>
      </c>
      <c r="T14" s="27">
        <f t="shared" si="10"/>
        <v>18</v>
      </c>
      <c r="U14" s="25">
        <f t="shared" si="11"/>
        <v>0.296665797536015</v>
      </c>
      <c r="V14" s="25">
        <f t="shared" si="12"/>
        <v>0.618053744866698</v>
      </c>
      <c r="W14" s="25">
        <f t="shared" si="13"/>
        <v>0.604315636073298</v>
      </c>
      <c r="X14" s="24">
        <f t="shared" si="14"/>
        <v>350</v>
      </c>
      <c r="Y14" s="131">
        <f t="shared" si="54"/>
        <v>350</v>
      </c>
      <c r="AA14" s="25">
        <f t="shared" si="15"/>
        <v>0.693420972093396</v>
      </c>
      <c r="AB14" s="5">
        <f t="shared" si="16"/>
        <v>1.41251583194828</v>
      </c>
      <c r="AC14" s="5">
        <f t="shared" si="17"/>
        <v>0.114328414122712</v>
      </c>
      <c r="AD14" s="5"/>
      <c r="AE14" s="5">
        <f t="shared" si="18"/>
        <v>0.611107489733394</v>
      </c>
      <c r="AF14" s="216">
        <f t="shared" si="19"/>
        <v>736</v>
      </c>
      <c r="AG14" s="217">
        <f t="shared" si="20"/>
        <v>0.0213994565217391</v>
      </c>
      <c r="AI14" s="5">
        <f t="shared" si="21"/>
        <v>0.458569203376889</v>
      </c>
      <c r="AJ14" s="5">
        <f t="shared" si="22"/>
        <v>0.458569203376889</v>
      </c>
      <c r="AK14" s="5">
        <f t="shared" si="23"/>
        <v>1.30571280225126</v>
      </c>
      <c r="AM14" s="216">
        <f t="shared" si="24"/>
        <v>45</v>
      </c>
      <c r="AN14" s="220">
        <f t="shared" si="25"/>
        <v>350</v>
      </c>
      <c r="AP14">
        <f t="shared" si="26"/>
        <v>45</v>
      </c>
      <c r="AQ14" s="220">
        <f t="shared" si="27"/>
        <v>350</v>
      </c>
      <c r="AR14" s="220"/>
      <c r="AS14" s="192">
        <f t="shared" si="55"/>
        <v>2.85714285714286</v>
      </c>
      <c r="AT14" s="192">
        <f t="shared" si="28"/>
        <v>0.955352507035185</v>
      </c>
      <c r="AU14" s="192">
        <f t="shared" si="56"/>
        <v>1.90179035010767</v>
      </c>
      <c r="AV14" s="192">
        <f t="shared" si="29"/>
        <v>0.934116915815642</v>
      </c>
      <c r="AW14" s="5">
        <f t="shared" si="57"/>
        <v>0.334373377462315</v>
      </c>
      <c r="AX14" s="5">
        <f t="shared" si="30"/>
        <v>0.92</v>
      </c>
      <c r="AY14" s="5">
        <f t="shared" si="31"/>
        <v>0.101796162659526</v>
      </c>
      <c r="AZ14" s="5">
        <f t="shared" si="58"/>
        <v>9.03766876829232</v>
      </c>
      <c r="BA14" s="220">
        <f t="shared" si="32"/>
        <v>4.91946604768167</v>
      </c>
      <c r="BB14" s="220">
        <f t="shared" si="33"/>
        <v>1.46758796780566</v>
      </c>
      <c r="BC14" s="192">
        <f t="shared" si="34"/>
        <v>0.237723793763459</v>
      </c>
      <c r="BD14" s="220">
        <f t="shared" si="35"/>
        <v>1.65134276258075</v>
      </c>
      <c r="BE14" s="192"/>
      <c r="BF14" s="5">
        <f t="shared" si="59"/>
        <v>0.153094681507653</v>
      </c>
      <c r="BG14" s="5">
        <f t="shared" si="36"/>
        <v>0.144073940137558</v>
      </c>
      <c r="BH14" s="5"/>
      <c r="BI14" s="217">
        <f t="shared" si="37"/>
        <v>0.00820329352707545</v>
      </c>
      <c r="BJ14" s="217">
        <f t="shared" si="38"/>
        <v>0.0194788274795214</v>
      </c>
      <c r="BK14" s="217">
        <f t="shared" si="39"/>
        <v>0.004375</v>
      </c>
      <c r="BL14" s="217">
        <f t="shared" si="40"/>
        <v>0.0103104543472</v>
      </c>
      <c r="BM14">
        <f t="shared" si="41"/>
        <v>0.00348</v>
      </c>
      <c r="BN14">
        <f t="shared" si="42"/>
        <v>6.125e-6</v>
      </c>
      <c r="BO14" s="217">
        <f t="shared" si="43"/>
        <v>0.0495894314590526</v>
      </c>
      <c r="BP14" s="220">
        <f t="shared" si="60"/>
        <v>49.5894314590526</v>
      </c>
      <c r="BQ14" s="217">
        <f t="shared" si="44"/>
        <v>0.042883919858891</v>
      </c>
      <c r="BR14" s="217"/>
      <c r="BT14" s="220">
        <f t="shared" si="61"/>
        <v>42.883919858891</v>
      </c>
      <c r="BU14" s="217">
        <f t="shared" si="45"/>
        <v>0.000960957241743124</v>
      </c>
      <c r="BV14" s="217">
        <f t="shared" si="46"/>
        <v>0.00207573002267608</v>
      </c>
      <c r="BW14" s="217">
        <f t="shared" si="47"/>
        <v>0</v>
      </c>
      <c r="BX14" s="217">
        <f t="shared" si="48"/>
        <v>0.00419164672251603</v>
      </c>
      <c r="BY14" s="217">
        <f t="shared" si="49"/>
        <v>0.002944</v>
      </c>
      <c r="BZ14" s="220">
        <f t="shared" si="62"/>
        <v>7.13564672251603</v>
      </c>
      <c r="CA14" s="5">
        <f t="shared" si="63"/>
        <v>0.0996089980404596</v>
      </c>
      <c r="CB14" s="192">
        <f t="shared" si="64"/>
        <v>0.81</v>
      </c>
      <c r="CC14" s="5">
        <f t="shared" si="65"/>
        <v>0.890492510237867</v>
      </c>
      <c r="CD14" s="192">
        <f t="shared" si="66"/>
        <v>89.0492510237867</v>
      </c>
      <c r="CG14" s="227">
        <f t="shared" si="50"/>
        <v>-50</v>
      </c>
      <c r="CH14">
        <f t="shared" si="51"/>
        <v>-50</v>
      </c>
    </row>
    <row r="15" spans="5:86">
      <c r="E15" s="22">
        <v>10</v>
      </c>
      <c r="F15" s="25">
        <f t="shared" si="52"/>
        <v>0.05</v>
      </c>
      <c r="G15" s="25"/>
      <c r="H15" s="25">
        <f t="shared" si="0"/>
        <v>0.9</v>
      </c>
      <c r="I15" s="212">
        <f t="shared" si="1"/>
        <v>12</v>
      </c>
      <c r="J15" s="27">
        <f t="shared" si="2"/>
        <v>12.2728</v>
      </c>
      <c r="K15" s="131">
        <f t="shared" si="3"/>
        <v>24.2728</v>
      </c>
      <c r="L15" s="131"/>
      <c r="M15" s="25">
        <f t="shared" si="4"/>
        <v>0.505619458818101</v>
      </c>
      <c r="N15" s="27">
        <f t="shared" si="5"/>
        <v>4.09551761642662</v>
      </c>
      <c r="O15" s="27">
        <f t="shared" si="53"/>
        <v>0.9</v>
      </c>
      <c r="P15" s="25">
        <f t="shared" si="6"/>
        <v>0.227528756468145</v>
      </c>
      <c r="Q15" s="25">
        <f t="shared" si="7"/>
        <v>18</v>
      </c>
      <c r="R15" s="25">
        <f t="shared" si="8"/>
        <v>0.25280972940905</v>
      </c>
      <c r="S15" s="27">
        <f t="shared" si="9"/>
        <v>144.058811790434</v>
      </c>
      <c r="T15" s="27">
        <f t="shared" si="10"/>
        <v>18</v>
      </c>
      <c r="U15" s="25">
        <f t="shared" si="11"/>
        <v>0.329628663928905</v>
      </c>
      <c r="V15" s="25">
        <f t="shared" si="12"/>
        <v>0.686726383185219</v>
      </c>
      <c r="W15" s="25">
        <f t="shared" si="13"/>
        <v>0.671461817859219</v>
      </c>
      <c r="X15" s="24">
        <f t="shared" si="14"/>
        <v>350</v>
      </c>
      <c r="Y15" s="131">
        <f t="shared" si="54"/>
        <v>350</v>
      </c>
      <c r="AA15" s="25">
        <f t="shared" si="15"/>
        <v>0.693420972093396</v>
      </c>
      <c r="AB15" s="5">
        <f t="shared" si="16"/>
        <v>1.41251583194828</v>
      </c>
      <c r="AC15" s="5">
        <f t="shared" si="17"/>
        <v>0.114328414122712</v>
      </c>
      <c r="AD15" s="5"/>
      <c r="AE15" s="5">
        <f t="shared" si="18"/>
        <v>0.611107489733394</v>
      </c>
      <c r="AF15" s="216">
        <f t="shared" si="19"/>
        <v>817.777777777778</v>
      </c>
      <c r="AG15" s="217">
        <f t="shared" si="20"/>
        <v>0.0213994565217391</v>
      </c>
      <c r="AI15" s="5">
        <f t="shared" si="21"/>
        <v>0.483374382493315</v>
      </c>
      <c r="AJ15" s="5">
        <f t="shared" si="22"/>
        <v>0.483374382493315</v>
      </c>
      <c r="AK15" s="5">
        <f t="shared" si="23"/>
        <v>1.32224958832888</v>
      </c>
      <c r="AM15" s="216">
        <f t="shared" si="24"/>
        <v>50</v>
      </c>
      <c r="AN15" s="220">
        <f t="shared" si="25"/>
        <v>350</v>
      </c>
      <c r="AP15">
        <f t="shared" si="26"/>
        <v>50</v>
      </c>
      <c r="AQ15" s="220">
        <f t="shared" si="27"/>
        <v>350</v>
      </c>
      <c r="AR15" s="220"/>
      <c r="AS15" s="192">
        <f t="shared" si="55"/>
        <v>2.85714285714286</v>
      </c>
      <c r="AT15" s="192">
        <f t="shared" si="28"/>
        <v>1.00702996352774</v>
      </c>
      <c r="AU15" s="192">
        <f t="shared" si="56"/>
        <v>1.85011289361512</v>
      </c>
      <c r="AV15" s="192">
        <f t="shared" si="29"/>
        <v>0.984645684956398</v>
      </c>
      <c r="AW15" s="5">
        <f t="shared" si="57"/>
        <v>0.352460487234709</v>
      </c>
      <c r="AX15" s="5">
        <f t="shared" si="30"/>
        <v>1.02222222222222</v>
      </c>
      <c r="AY15" s="5">
        <f t="shared" si="31"/>
        <v>0.104386838043002</v>
      </c>
      <c r="AZ15" s="5">
        <f t="shared" si="58"/>
        <v>9.79263517687085</v>
      </c>
      <c r="BA15" s="220">
        <f t="shared" si="32"/>
        <v>4.91946604768167</v>
      </c>
      <c r="BB15" s="220">
        <f t="shared" si="33"/>
        <v>1.79517033062427</v>
      </c>
      <c r="BC15" s="192">
        <f t="shared" si="34"/>
        <v>0.256960124113211</v>
      </c>
      <c r="BD15" s="220">
        <f t="shared" si="35"/>
        <v>1.79176074467926</v>
      </c>
      <c r="BE15" s="192"/>
      <c r="BF15" s="5">
        <f t="shared" si="59"/>
        <v>0.165683103718047</v>
      </c>
      <c r="BG15" s="5">
        <f t="shared" si="36"/>
        <v>0.149789707911021</v>
      </c>
      <c r="BH15" s="5"/>
      <c r="BI15" s="217">
        <f t="shared" si="37"/>
        <v>0.00960781180017576</v>
      </c>
      <c r="BJ15" s="217">
        <f t="shared" si="38"/>
        <v>0.0205324869949215</v>
      </c>
      <c r="BK15" s="217">
        <f t="shared" si="39"/>
        <v>0.004375</v>
      </c>
      <c r="BL15" s="217">
        <f t="shared" si="40"/>
        <v>0.0103104543472</v>
      </c>
      <c r="BM15">
        <f t="shared" si="41"/>
        <v>0.00348</v>
      </c>
      <c r="BN15">
        <f t="shared" si="42"/>
        <v>6.125e-6</v>
      </c>
      <c r="BO15" s="217">
        <f t="shared" si="43"/>
        <v>0.0527040511519457</v>
      </c>
      <c r="BP15" s="220">
        <f t="shared" si="60"/>
        <v>52.7040511519457</v>
      </c>
      <c r="BQ15" s="217">
        <f t="shared" si="44"/>
        <v>0.0472511208080357</v>
      </c>
      <c r="BR15" s="217"/>
      <c r="BT15" s="220">
        <f t="shared" si="61"/>
        <v>47.2511208080357</v>
      </c>
      <c r="BU15" s="217">
        <f t="shared" si="45"/>
        <v>0.00112548652516345</v>
      </c>
      <c r="BV15" s="217">
        <f t="shared" si="46"/>
        <v>0.00224369565960691</v>
      </c>
      <c r="BW15" s="217">
        <f t="shared" si="47"/>
        <v>0</v>
      </c>
      <c r="BX15" s="217">
        <f t="shared" si="48"/>
        <v>0.00465072494615388</v>
      </c>
      <c r="BY15" s="217">
        <f t="shared" si="49"/>
        <v>0.00327111111111111</v>
      </c>
      <c r="BZ15" s="220">
        <f t="shared" si="62"/>
        <v>7.92183605726499</v>
      </c>
      <c r="CA15" s="5">
        <f t="shared" si="63"/>
        <v>0.107877008017246</v>
      </c>
      <c r="CB15" s="192">
        <f t="shared" si="64"/>
        <v>0.9</v>
      </c>
      <c r="CC15" s="5">
        <f t="shared" si="65"/>
        <v>0.892966098879993</v>
      </c>
      <c r="CD15" s="192">
        <f t="shared" si="66"/>
        <v>89.2966098879993</v>
      </c>
      <c r="CG15" s="227">
        <f t="shared" si="50"/>
        <v>-50</v>
      </c>
      <c r="CH15">
        <f t="shared" si="51"/>
        <v>-50</v>
      </c>
    </row>
    <row r="16" spans="5:86">
      <c r="E16" s="22">
        <v>11</v>
      </c>
      <c r="F16" s="25">
        <f t="shared" si="52"/>
        <v>0.055</v>
      </c>
      <c r="G16" s="25"/>
      <c r="H16" s="25">
        <f t="shared" si="0"/>
        <v>0.99</v>
      </c>
      <c r="I16" s="212">
        <f t="shared" si="1"/>
        <v>12</v>
      </c>
      <c r="J16" s="27">
        <f t="shared" si="2"/>
        <v>12.2728</v>
      </c>
      <c r="K16" s="131">
        <f t="shared" si="3"/>
        <v>24.2728</v>
      </c>
      <c r="L16" s="131"/>
      <c r="M16" s="25">
        <f t="shared" si="4"/>
        <v>0.505619458818101</v>
      </c>
      <c r="N16" s="27">
        <f t="shared" si="5"/>
        <v>4.09551761642662</v>
      </c>
      <c r="O16" s="27">
        <f t="shared" si="53"/>
        <v>0.99</v>
      </c>
      <c r="P16" s="25">
        <f t="shared" si="6"/>
        <v>0.227528756468145</v>
      </c>
      <c r="Q16" s="25">
        <f t="shared" si="7"/>
        <v>18</v>
      </c>
      <c r="R16" s="25">
        <f t="shared" si="8"/>
        <v>0.25280972940905</v>
      </c>
      <c r="S16" s="27">
        <f t="shared" si="9"/>
        <v>129.337191848236</v>
      </c>
      <c r="T16" s="27">
        <f t="shared" si="10"/>
        <v>18</v>
      </c>
      <c r="U16" s="25">
        <f t="shared" si="11"/>
        <v>0.362591530321796</v>
      </c>
      <c r="V16" s="25">
        <f t="shared" si="12"/>
        <v>0.755399021503742</v>
      </c>
      <c r="W16" s="25">
        <f t="shared" si="13"/>
        <v>0.738607999645142</v>
      </c>
      <c r="X16" s="24">
        <f t="shared" si="14"/>
        <v>350</v>
      </c>
      <c r="Y16" s="131">
        <f t="shared" si="54"/>
        <v>350</v>
      </c>
      <c r="AA16" s="25">
        <f t="shared" si="15"/>
        <v>0.693420972093396</v>
      </c>
      <c r="AB16" s="5">
        <f t="shared" si="16"/>
        <v>1.41251583194828</v>
      </c>
      <c r="AC16" s="5">
        <f t="shared" si="17"/>
        <v>0.114328414122712</v>
      </c>
      <c r="AD16" s="5"/>
      <c r="AE16" s="5">
        <f t="shared" si="18"/>
        <v>0.611107489733394</v>
      </c>
      <c r="AF16" s="216">
        <f t="shared" si="19"/>
        <v>899.555555555556</v>
      </c>
      <c r="AG16" s="217">
        <f t="shared" si="20"/>
        <v>0.0213994565217391</v>
      </c>
      <c r="AI16" s="5">
        <f t="shared" si="21"/>
        <v>0.506967329337772</v>
      </c>
      <c r="AJ16" s="5">
        <f t="shared" si="22"/>
        <v>0.506967329337772</v>
      </c>
      <c r="AK16" s="5">
        <f t="shared" si="23"/>
        <v>1.33797821955851</v>
      </c>
      <c r="AM16" s="216">
        <f t="shared" si="24"/>
        <v>55</v>
      </c>
      <c r="AN16" s="220">
        <f t="shared" si="25"/>
        <v>350</v>
      </c>
      <c r="AP16">
        <f t="shared" si="26"/>
        <v>55</v>
      </c>
      <c r="AQ16" s="220">
        <f t="shared" si="27"/>
        <v>350</v>
      </c>
      <c r="AR16" s="220"/>
      <c r="AS16" s="192">
        <f t="shared" si="55"/>
        <v>2.85714285714286</v>
      </c>
      <c r="AT16" s="192">
        <f t="shared" si="28"/>
        <v>1.05618193612036</v>
      </c>
      <c r="AU16" s="192">
        <f t="shared" si="56"/>
        <v>1.8009609210225</v>
      </c>
      <c r="AV16" s="192">
        <f t="shared" si="29"/>
        <v>1.03270510669483</v>
      </c>
      <c r="AW16" s="5">
        <f t="shared" si="57"/>
        <v>0.369663677642125</v>
      </c>
      <c r="AX16" s="5">
        <f t="shared" si="30"/>
        <v>1.12444444444444</v>
      </c>
      <c r="AY16" s="5">
        <f t="shared" si="31"/>
        <v>0.106573233963777</v>
      </c>
      <c r="AZ16" s="5">
        <f t="shared" si="58"/>
        <v>10.5509085407564</v>
      </c>
      <c r="BA16" s="220">
        <f t="shared" si="32"/>
        <v>4.91946604768167</v>
      </c>
      <c r="BB16" s="220">
        <f t="shared" si="33"/>
        <v>2.15565610005536</v>
      </c>
      <c r="BC16" s="192">
        <f t="shared" si="34"/>
        <v>0.275146807378437</v>
      </c>
      <c r="BD16" s="220">
        <f t="shared" si="35"/>
        <v>1.92588084427062</v>
      </c>
      <c r="BE16" s="192"/>
      <c r="BF16" s="5">
        <f t="shared" si="59"/>
        <v>0.177960138637326</v>
      </c>
      <c r="BG16" s="5">
        <f t="shared" si="36"/>
        <v>0.154999874373291</v>
      </c>
      <c r="BH16" s="5"/>
      <c r="BI16" s="217">
        <f t="shared" si="37"/>
        <v>0.0110844338303357</v>
      </c>
      <c r="BJ16" s="217">
        <f t="shared" si="38"/>
        <v>0.0215346540352123</v>
      </c>
      <c r="BK16" s="217">
        <f t="shared" si="39"/>
        <v>0.004375</v>
      </c>
      <c r="BL16" s="217">
        <f t="shared" si="40"/>
        <v>0.0103104543472</v>
      </c>
      <c r="BM16">
        <f t="shared" si="41"/>
        <v>0.00348</v>
      </c>
      <c r="BN16">
        <f t="shared" si="42"/>
        <v>6.125e-6</v>
      </c>
      <c r="BO16" s="217">
        <f t="shared" si="43"/>
        <v>0.0558776595488899</v>
      </c>
      <c r="BP16" s="220">
        <f t="shared" si="60"/>
        <v>55.8776595488899</v>
      </c>
      <c r="BQ16" s="217">
        <f t="shared" si="44"/>
        <v>0.0515601640379173</v>
      </c>
      <c r="BR16" s="217"/>
      <c r="BT16" s="220">
        <f t="shared" si="61"/>
        <v>51.5601640379173</v>
      </c>
      <c r="BU16" s="217">
        <f t="shared" si="45"/>
        <v>0.00129846224869647</v>
      </c>
      <c r="BV16" s="217">
        <f t="shared" si="46"/>
        <v>0.00240249610557361</v>
      </c>
      <c r="BW16" s="217">
        <f t="shared" si="47"/>
        <v>0</v>
      </c>
      <c r="BX16" s="217">
        <f t="shared" si="48"/>
        <v>0.00510883513577881</v>
      </c>
      <c r="BY16" s="217">
        <f t="shared" si="49"/>
        <v>0.00359822222222222</v>
      </c>
      <c r="BZ16" s="220">
        <f t="shared" si="62"/>
        <v>8.70705735800104</v>
      </c>
      <c r="CA16" s="5">
        <f t="shared" si="63"/>
        <v>0.116144880944808</v>
      </c>
      <c r="CB16" s="192">
        <f t="shared" si="64"/>
        <v>0.99</v>
      </c>
      <c r="CC16" s="5">
        <f t="shared" si="65"/>
        <v>0.895000299738671</v>
      </c>
      <c r="CD16" s="192">
        <f t="shared" si="66"/>
        <v>89.5000299738671</v>
      </c>
      <c r="CG16" s="227">
        <f t="shared" si="50"/>
        <v>-50</v>
      </c>
      <c r="CH16">
        <f t="shared" si="51"/>
        <v>-50</v>
      </c>
    </row>
    <row r="17" spans="5:86">
      <c r="E17" s="22">
        <v>12</v>
      </c>
      <c r="F17" s="25">
        <f t="shared" si="52"/>
        <v>0.06</v>
      </c>
      <c r="G17" s="25"/>
      <c r="H17" s="25">
        <f t="shared" si="0"/>
        <v>1.08</v>
      </c>
      <c r="I17" s="212">
        <f t="shared" si="1"/>
        <v>12</v>
      </c>
      <c r="J17" s="27">
        <f t="shared" si="2"/>
        <v>12.2728</v>
      </c>
      <c r="K17" s="131">
        <f t="shared" si="3"/>
        <v>24.2728</v>
      </c>
      <c r="L17" s="131"/>
      <c r="M17" s="25">
        <f t="shared" si="4"/>
        <v>0.505619458818101</v>
      </c>
      <c r="N17" s="27">
        <f t="shared" si="5"/>
        <v>4.09551761642662</v>
      </c>
      <c r="O17" s="27">
        <f t="shared" si="53"/>
        <v>1.08</v>
      </c>
      <c r="P17" s="25">
        <f t="shared" si="6"/>
        <v>0.227528756468145</v>
      </c>
      <c r="Q17" s="25">
        <f t="shared" si="7"/>
        <v>18</v>
      </c>
      <c r="R17" s="25">
        <f t="shared" si="8"/>
        <v>0.25280972940905</v>
      </c>
      <c r="S17" s="27">
        <f t="shared" si="9"/>
        <v>117.070256982252</v>
      </c>
      <c r="T17" s="27">
        <f t="shared" si="10"/>
        <v>18</v>
      </c>
      <c r="U17" s="25">
        <f t="shared" si="11"/>
        <v>0.395554396714686</v>
      </c>
      <c r="V17" s="25">
        <f t="shared" si="12"/>
        <v>0.824071659822262</v>
      </c>
      <c r="W17" s="25">
        <f t="shared" si="13"/>
        <v>0.805754181431063</v>
      </c>
      <c r="X17" s="24">
        <f t="shared" si="14"/>
        <v>350</v>
      </c>
      <c r="Y17" s="131">
        <f t="shared" si="54"/>
        <v>350</v>
      </c>
      <c r="AA17" s="25">
        <f t="shared" si="15"/>
        <v>0.693420972093396</v>
      </c>
      <c r="AB17" s="5">
        <f t="shared" si="16"/>
        <v>1.41251583194828</v>
      </c>
      <c r="AC17" s="5">
        <f t="shared" si="17"/>
        <v>0.114328414122712</v>
      </c>
      <c r="AD17" s="5"/>
      <c r="AE17" s="5">
        <f t="shared" si="18"/>
        <v>0.611107489733394</v>
      </c>
      <c r="AF17" s="216">
        <f t="shared" si="19"/>
        <v>981.333333333333</v>
      </c>
      <c r="AG17" s="217">
        <f t="shared" si="20"/>
        <v>0.0213994565217391</v>
      </c>
      <c r="AI17" s="5">
        <f t="shared" si="21"/>
        <v>0.529510106023438</v>
      </c>
      <c r="AJ17" s="5">
        <f t="shared" si="22"/>
        <v>0.529510106023438</v>
      </c>
      <c r="AK17" s="5">
        <f t="shared" si="23"/>
        <v>1.35300673734896</v>
      </c>
      <c r="AM17" s="216">
        <f t="shared" si="24"/>
        <v>60</v>
      </c>
      <c r="AN17" s="220">
        <f t="shared" si="25"/>
        <v>350</v>
      </c>
      <c r="AP17">
        <f t="shared" si="26"/>
        <v>60</v>
      </c>
      <c r="AQ17" s="220">
        <f t="shared" si="27"/>
        <v>350</v>
      </c>
      <c r="AR17" s="220"/>
      <c r="AS17" s="192">
        <f t="shared" si="55"/>
        <v>2.85714285714286</v>
      </c>
      <c r="AT17" s="192">
        <f t="shared" si="28"/>
        <v>1.1031460542155</v>
      </c>
      <c r="AU17" s="192">
        <f t="shared" si="56"/>
        <v>1.75399680292736</v>
      </c>
      <c r="AV17" s="192">
        <f t="shared" si="29"/>
        <v>1.07862530560149</v>
      </c>
      <c r="AW17" s="5">
        <f t="shared" si="57"/>
        <v>0.386101118975423</v>
      </c>
      <c r="AX17" s="5">
        <f t="shared" si="30"/>
        <v>1.22666666666667</v>
      </c>
      <c r="AY17" s="5">
        <f t="shared" si="31"/>
        <v>0.108409398136594</v>
      </c>
      <c r="AZ17" s="5">
        <f t="shared" si="58"/>
        <v>11.315132154143</v>
      </c>
      <c r="BA17" s="220">
        <f t="shared" si="32"/>
        <v>4.91946604768167</v>
      </c>
      <c r="BB17" s="220">
        <f t="shared" si="33"/>
        <v>2.54904527609895</v>
      </c>
      <c r="BC17" s="192">
        <f t="shared" si="34"/>
        <v>0.292332800487894</v>
      </c>
      <c r="BD17" s="220">
        <f t="shared" si="35"/>
        <v>2.05399680292736</v>
      </c>
      <c r="BE17" s="192"/>
      <c r="BF17" s="5">
        <f t="shared" si="59"/>
        <v>0.189960872684948</v>
      </c>
      <c r="BG17" s="5">
        <f t="shared" si="36"/>
        <v>0.159767294438152</v>
      </c>
      <c r="BH17" s="5"/>
      <c r="BI17" s="217">
        <f t="shared" si="37"/>
        <v>0.0126297966029294</v>
      </c>
      <c r="BJ17" s="217">
        <f t="shared" si="38"/>
        <v>0.0224922125776</v>
      </c>
      <c r="BK17" s="217">
        <f t="shared" si="39"/>
        <v>0.004375</v>
      </c>
      <c r="BL17" s="217">
        <f t="shared" si="40"/>
        <v>0.0103104543472</v>
      </c>
      <c r="BM17">
        <f t="shared" si="41"/>
        <v>0.00348</v>
      </c>
      <c r="BN17">
        <f t="shared" si="42"/>
        <v>6.125e-6</v>
      </c>
      <c r="BO17" s="217">
        <f t="shared" si="43"/>
        <v>0.059112779162803</v>
      </c>
      <c r="BP17" s="220">
        <f t="shared" si="60"/>
        <v>59.112779162803</v>
      </c>
      <c r="BQ17" s="217">
        <f t="shared" si="44"/>
        <v>0.0558137621015078</v>
      </c>
      <c r="BR17" s="217"/>
      <c r="BT17" s="220">
        <f t="shared" si="61"/>
        <v>55.8137621015078</v>
      </c>
      <c r="BU17" s="217">
        <f t="shared" si="45"/>
        <v>0.0014794904592003</v>
      </c>
      <c r="BV17" s="217">
        <f t="shared" si="46"/>
        <v>0.0025525588372087</v>
      </c>
      <c r="BW17" s="217">
        <f t="shared" si="47"/>
        <v>0</v>
      </c>
      <c r="BX17" s="217">
        <f t="shared" si="48"/>
        <v>0.005566023427512</v>
      </c>
      <c r="BY17" s="217">
        <f t="shared" si="49"/>
        <v>0.00392533333333333</v>
      </c>
      <c r="BZ17" s="220">
        <f t="shared" si="62"/>
        <v>9.49135676084533</v>
      </c>
      <c r="CA17" s="5">
        <f t="shared" si="63"/>
        <v>0.124417898025156</v>
      </c>
      <c r="CB17" s="192">
        <f t="shared" si="64"/>
        <v>1.08</v>
      </c>
      <c r="CC17" s="5">
        <f t="shared" si="65"/>
        <v>0.89669873037493</v>
      </c>
      <c r="CD17" s="192">
        <f t="shared" si="66"/>
        <v>89.669873037493</v>
      </c>
      <c r="CG17" s="227">
        <f t="shared" si="50"/>
        <v>-50</v>
      </c>
      <c r="CH17">
        <f t="shared" si="51"/>
        <v>-50</v>
      </c>
    </row>
    <row r="18" spans="5:86">
      <c r="E18" s="22">
        <v>13</v>
      </c>
      <c r="F18" s="25">
        <f t="shared" si="52"/>
        <v>0.065</v>
      </c>
      <c r="G18" s="25"/>
      <c r="H18" s="25">
        <f t="shared" si="0"/>
        <v>1.17</v>
      </c>
      <c r="I18" s="212">
        <f t="shared" si="1"/>
        <v>12</v>
      </c>
      <c r="J18" s="27">
        <f t="shared" si="2"/>
        <v>12.2728</v>
      </c>
      <c r="K18" s="131">
        <f t="shared" si="3"/>
        <v>24.2728</v>
      </c>
      <c r="L18" s="131"/>
      <c r="M18" s="25">
        <f t="shared" si="4"/>
        <v>0.505619458818101</v>
      </c>
      <c r="N18" s="27">
        <f t="shared" si="5"/>
        <v>4.09551761642662</v>
      </c>
      <c r="O18" s="27">
        <f t="shared" si="53"/>
        <v>1.17</v>
      </c>
      <c r="P18" s="25">
        <f t="shared" si="6"/>
        <v>0.227528756468145</v>
      </c>
      <c r="Q18" s="25">
        <f t="shared" si="7"/>
        <v>18</v>
      </c>
      <c r="R18" s="25">
        <f t="shared" si="8"/>
        <v>0.25280972940905</v>
      </c>
      <c r="S18" s="27">
        <f t="shared" si="9"/>
        <v>106.691578695587</v>
      </c>
      <c r="T18" s="27">
        <f t="shared" si="10"/>
        <v>18</v>
      </c>
      <c r="U18" s="25">
        <f t="shared" si="11"/>
        <v>0.428517263107577</v>
      </c>
      <c r="V18" s="25">
        <f t="shared" si="12"/>
        <v>0.892744298140785</v>
      </c>
      <c r="W18" s="25">
        <f t="shared" si="13"/>
        <v>0.872900363216986</v>
      </c>
      <c r="X18" s="24">
        <f t="shared" si="14"/>
        <v>350</v>
      </c>
      <c r="Y18" s="131">
        <f t="shared" si="54"/>
        <v>350</v>
      </c>
      <c r="AA18" s="25">
        <f t="shared" si="15"/>
        <v>0.693420972093396</v>
      </c>
      <c r="AB18" s="5">
        <f t="shared" si="16"/>
        <v>1.41251583194828</v>
      </c>
      <c r="AC18" s="5">
        <f t="shared" si="17"/>
        <v>0.114328414122712</v>
      </c>
      <c r="AD18" s="5"/>
      <c r="AE18" s="5">
        <f t="shared" si="18"/>
        <v>0.611107489733394</v>
      </c>
      <c r="AF18" s="216">
        <f t="shared" si="19"/>
        <v>1063.11111111111</v>
      </c>
      <c r="AG18" s="217">
        <f t="shared" si="20"/>
        <v>0.0213994565217391</v>
      </c>
      <c r="AI18" s="5">
        <f t="shared" si="21"/>
        <v>0.551131592041349</v>
      </c>
      <c r="AJ18" s="5">
        <f t="shared" si="22"/>
        <v>0.551131592041349</v>
      </c>
      <c r="AK18" s="5">
        <f t="shared" si="23"/>
        <v>1.3674210613609</v>
      </c>
      <c r="AM18" s="216">
        <f t="shared" si="24"/>
        <v>65</v>
      </c>
      <c r="AN18" s="220">
        <f t="shared" si="25"/>
        <v>350</v>
      </c>
      <c r="AP18">
        <f t="shared" si="26"/>
        <v>65</v>
      </c>
      <c r="AQ18" s="220">
        <f t="shared" si="27"/>
        <v>350</v>
      </c>
      <c r="AR18" s="220"/>
      <c r="AS18" s="192">
        <f t="shared" si="55"/>
        <v>2.85714285714286</v>
      </c>
      <c r="AT18" s="192">
        <f t="shared" si="28"/>
        <v>1.14819081675281</v>
      </c>
      <c r="AU18" s="192">
        <f t="shared" si="56"/>
        <v>1.70895204039005</v>
      </c>
      <c r="AV18" s="192">
        <f t="shared" si="29"/>
        <v>1.12266881241719</v>
      </c>
      <c r="AW18" s="5">
        <f t="shared" si="57"/>
        <v>0.401866785863484</v>
      </c>
      <c r="AX18" s="5">
        <f t="shared" si="30"/>
        <v>1.32888888888889</v>
      </c>
      <c r="AY18" s="5">
        <f t="shared" si="31"/>
        <v>0.109938311871716</v>
      </c>
      <c r="AZ18" s="5">
        <f t="shared" si="58"/>
        <v>12.0875868135899</v>
      </c>
      <c r="BA18" s="220">
        <f t="shared" si="32"/>
        <v>4.91946604768167</v>
      </c>
      <c r="BB18" s="220">
        <f t="shared" si="33"/>
        <v>2.97533785875501</v>
      </c>
      <c r="BC18" s="192">
        <f t="shared" si="34"/>
        <v>0.308560785070425</v>
      </c>
      <c r="BD18" s="220">
        <f t="shared" si="35"/>
        <v>2.17636471042255</v>
      </c>
      <c r="BE18" s="192"/>
      <c r="BF18" s="5">
        <f t="shared" si="59"/>
        <v>0.201713857974248</v>
      </c>
      <c r="BG18" s="5">
        <f t="shared" si="36"/>
        <v>0.164141906202626</v>
      </c>
      <c r="BH18" s="5"/>
      <c r="BI18" s="217">
        <f t="shared" si="37"/>
        <v>0.0142409681745993</v>
      </c>
      <c r="BJ18" s="217">
        <f t="shared" si="38"/>
        <v>0.0234106370877772</v>
      </c>
      <c r="BK18" s="217">
        <f t="shared" si="39"/>
        <v>0.004375</v>
      </c>
      <c r="BL18" s="217">
        <f t="shared" si="40"/>
        <v>0.0103104543472</v>
      </c>
      <c r="BM18">
        <f t="shared" si="41"/>
        <v>0.00348</v>
      </c>
      <c r="BN18">
        <f t="shared" si="42"/>
        <v>6.125e-6</v>
      </c>
      <c r="BO18" s="217">
        <f t="shared" si="43"/>
        <v>0.0624111457708405</v>
      </c>
      <c r="BP18" s="220">
        <f t="shared" si="60"/>
        <v>62.4111457708405</v>
      </c>
      <c r="BQ18" s="217">
        <f t="shared" si="44"/>
        <v>0.0600142798566958</v>
      </c>
      <c r="BR18" s="217"/>
      <c r="BT18" s="220">
        <f t="shared" si="61"/>
        <v>60.0142798566958</v>
      </c>
      <c r="BU18" s="217">
        <f t="shared" si="45"/>
        <v>0.00166822770045306</v>
      </c>
      <c r="BV18" s="217">
        <f t="shared" si="46"/>
        <v>0.00269425653718316</v>
      </c>
      <c r="BW18" s="217">
        <f t="shared" si="47"/>
        <v>0</v>
      </c>
      <c r="BX18" s="217">
        <f t="shared" si="48"/>
        <v>0.0060223300335256</v>
      </c>
      <c r="BY18" s="217">
        <f t="shared" si="49"/>
        <v>0.00425244444444445</v>
      </c>
      <c r="BZ18" s="220">
        <f t="shared" si="62"/>
        <v>10.27477447797</v>
      </c>
      <c r="CA18" s="5">
        <f t="shared" si="63"/>
        <v>0.132700200105506</v>
      </c>
      <c r="CB18" s="192">
        <f t="shared" si="64"/>
        <v>1.17</v>
      </c>
      <c r="CC18" s="5">
        <f t="shared" si="65"/>
        <v>0.898134505471974</v>
      </c>
      <c r="CD18" s="192">
        <f t="shared" si="66"/>
        <v>89.8134505471974</v>
      </c>
      <c r="CG18" s="227">
        <f t="shared" si="50"/>
        <v>-50</v>
      </c>
      <c r="CH18">
        <f t="shared" si="51"/>
        <v>-50</v>
      </c>
    </row>
    <row r="19" spans="5:86">
      <c r="E19" s="22">
        <v>14</v>
      </c>
      <c r="F19" s="25">
        <f t="shared" si="52"/>
        <v>0.07</v>
      </c>
      <c r="G19" s="25"/>
      <c r="H19" s="25">
        <f t="shared" si="0"/>
        <v>1.26</v>
      </c>
      <c r="I19" s="212">
        <f t="shared" si="1"/>
        <v>12</v>
      </c>
      <c r="J19" s="27">
        <f t="shared" si="2"/>
        <v>12.2728</v>
      </c>
      <c r="K19" s="131">
        <f t="shared" si="3"/>
        <v>24.2728</v>
      </c>
      <c r="L19" s="131"/>
      <c r="M19" s="25">
        <f t="shared" si="4"/>
        <v>0.505619458818101</v>
      </c>
      <c r="N19" s="27">
        <f t="shared" si="5"/>
        <v>4.09551761642662</v>
      </c>
      <c r="O19" s="27">
        <f t="shared" si="53"/>
        <v>1.26</v>
      </c>
      <c r="P19" s="25">
        <f t="shared" si="6"/>
        <v>0.227528756468145</v>
      </c>
      <c r="Q19" s="25">
        <f t="shared" si="7"/>
        <v>18</v>
      </c>
      <c r="R19" s="25">
        <f t="shared" si="8"/>
        <v>0.25280972940905</v>
      </c>
      <c r="S19" s="27">
        <f t="shared" si="9"/>
        <v>97.796566892672</v>
      </c>
      <c r="T19" s="27">
        <f t="shared" si="10"/>
        <v>18</v>
      </c>
      <c r="U19" s="25">
        <f t="shared" si="11"/>
        <v>0.461480129500467</v>
      </c>
      <c r="V19" s="25">
        <f t="shared" si="12"/>
        <v>0.961416936459306</v>
      </c>
      <c r="W19" s="25">
        <f t="shared" si="13"/>
        <v>0.940046545002907</v>
      </c>
      <c r="X19" s="24">
        <f t="shared" si="14"/>
        <v>350</v>
      </c>
      <c r="Y19" s="131">
        <f t="shared" si="54"/>
        <v>350</v>
      </c>
      <c r="AA19" s="25">
        <f t="shared" si="15"/>
        <v>0.693420972093396</v>
      </c>
      <c r="AB19" s="5">
        <f t="shared" si="16"/>
        <v>1.41251583194828</v>
      </c>
      <c r="AC19" s="5">
        <f t="shared" si="17"/>
        <v>0.114328414122712</v>
      </c>
      <c r="AD19" s="5"/>
      <c r="AE19" s="5">
        <f t="shared" si="18"/>
        <v>0.611107489733394</v>
      </c>
      <c r="AF19" s="216">
        <f t="shared" si="19"/>
        <v>1144.88888888889</v>
      </c>
      <c r="AG19" s="217">
        <f t="shared" si="20"/>
        <v>0.0213994565217391</v>
      </c>
      <c r="AI19" s="5">
        <f t="shared" si="21"/>
        <v>0.571936282387392</v>
      </c>
      <c r="AJ19" s="5">
        <f t="shared" si="22"/>
        <v>0.571936282387392</v>
      </c>
      <c r="AK19" s="5">
        <f t="shared" si="23"/>
        <v>1.38129085492493</v>
      </c>
      <c r="AM19" s="216">
        <f t="shared" si="24"/>
        <v>70</v>
      </c>
      <c r="AN19" s="220">
        <f t="shared" si="25"/>
        <v>350</v>
      </c>
      <c r="AP19">
        <f t="shared" si="26"/>
        <v>70</v>
      </c>
      <c r="AQ19" s="220">
        <f t="shared" si="27"/>
        <v>350</v>
      </c>
      <c r="AR19" s="220"/>
      <c r="AS19" s="192">
        <f t="shared" si="55"/>
        <v>2.85714285714286</v>
      </c>
      <c r="AT19" s="192">
        <f t="shared" si="28"/>
        <v>1.1915339216404</v>
      </c>
      <c r="AU19" s="192">
        <f t="shared" si="56"/>
        <v>1.66560893550246</v>
      </c>
      <c r="AV19" s="192">
        <f t="shared" si="29"/>
        <v>1.16504848605736</v>
      </c>
      <c r="AW19" s="5">
        <f t="shared" si="57"/>
        <v>0.41703687257414</v>
      </c>
      <c r="AX19" s="5">
        <f t="shared" si="30"/>
        <v>1.43111111111111</v>
      </c>
      <c r="AY19" s="5">
        <f t="shared" si="31"/>
        <v>0.111194824250269</v>
      </c>
      <c r="AZ19" s="5">
        <f t="shared" si="58"/>
        <v>12.8703032785957</v>
      </c>
      <c r="BA19" s="220">
        <f t="shared" si="32"/>
        <v>4.91946604768167</v>
      </c>
      <c r="BB19" s="220">
        <f t="shared" si="33"/>
        <v>3.43453384802357</v>
      </c>
      <c r="BC19" s="192">
        <f t="shared" si="34"/>
        <v>0.323868404125478</v>
      </c>
      <c r="BD19" s="220">
        <f t="shared" si="35"/>
        <v>2.29321042475287</v>
      </c>
      <c r="BE19" s="192"/>
      <c r="BF19" s="5">
        <f t="shared" si="59"/>
        <v>0.213242737087753</v>
      </c>
      <c r="BG19" s="5">
        <f t="shared" si="36"/>
        <v>0.168164142801834</v>
      </c>
      <c r="BH19" s="5"/>
      <c r="BI19" s="217">
        <f t="shared" si="37"/>
        <v>0.0159153627222368</v>
      </c>
      <c r="BJ19" s="217">
        <f t="shared" si="38"/>
        <v>0.0242943662414822</v>
      </c>
      <c r="BK19" s="217">
        <f t="shared" si="39"/>
        <v>0.004375</v>
      </c>
      <c r="BL19" s="217">
        <f t="shared" si="40"/>
        <v>0.0103104543472</v>
      </c>
      <c r="BM19">
        <f t="shared" si="41"/>
        <v>0.00348</v>
      </c>
      <c r="BN19">
        <f t="shared" si="42"/>
        <v>6.125e-6</v>
      </c>
      <c r="BO19" s="217">
        <f t="shared" si="43"/>
        <v>0.0657739601182149</v>
      </c>
      <c r="BP19" s="220">
        <f t="shared" si="60"/>
        <v>65.7739601182149</v>
      </c>
      <c r="BQ19" s="217">
        <f t="shared" si="44"/>
        <v>0.064163802986399</v>
      </c>
      <c r="BR19" s="217"/>
      <c r="BT19" s="220">
        <f t="shared" si="61"/>
        <v>64.163802986399</v>
      </c>
      <c r="BU19" s="217">
        <f t="shared" si="45"/>
        <v>0.00186437106174774</v>
      </c>
      <c r="BV19" s="217">
        <f t="shared" si="46"/>
        <v>0.00282791789242755</v>
      </c>
      <c r="BW19" s="217">
        <f t="shared" si="47"/>
        <v>0</v>
      </c>
      <c r="BX19" s="217">
        <f t="shared" si="48"/>
        <v>0.00647779040991293</v>
      </c>
      <c r="BY19" s="217">
        <f t="shared" si="49"/>
        <v>0.00457955555555555</v>
      </c>
      <c r="BZ19" s="220">
        <f t="shared" si="62"/>
        <v>11.0573459654685</v>
      </c>
      <c r="CA19" s="5">
        <f t="shared" si="63"/>
        <v>0.140995109070082</v>
      </c>
      <c r="CB19" s="192">
        <f t="shared" si="64"/>
        <v>1.26</v>
      </c>
      <c r="CC19" s="5">
        <f t="shared" si="65"/>
        <v>0.899360741406393</v>
      </c>
      <c r="CD19" s="192">
        <f t="shared" si="66"/>
        <v>89.9360741406393</v>
      </c>
      <c r="CG19" s="227">
        <f t="shared" si="50"/>
        <v>-50</v>
      </c>
      <c r="CH19">
        <f t="shared" si="51"/>
        <v>-50</v>
      </c>
    </row>
    <row r="20" spans="5:86">
      <c r="E20" s="22">
        <v>15</v>
      </c>
      <c r="F20" s="25">
        <f t="shared" si="52"/>
        <v>0.075</v>
      </c>
      <c r="G20" s="25"/>
      <c r="H20" s="25">
        <f t="shared" si="0"/>
        <v>1.35</v>
      </c>
      <c r="I20" s="212">
        <f t="shared" si="1"/>
        <v>12</v>
      </c>
      <c r="J20" s="27">
        <f t="shared" si="2"/>
        <v>12.2728</v>
      </c>
      <c r="K20" s="131">
        <f t="shared" si="3"/>
        <v>24.2728</v>
      </c>
      <c r="L20" s="131"/>
      <c r="M20" s="25">
        <f t="shared" si="4"/>
        <v>0.505619458818101</v>
      </c>
      <c r="N20" s="27">
        <f t="shared" si="5"/>
        <v>4.09551761642662</v>
      </c>
      <c r="O20" s="27">
        <f t="shared" si="53"/>
        <v>1.35</v>
      </c>
      <c r="P20" s="25">
        <f t="shared" si="6"/>
        <v>0.227528756468145</v>
      </c>
      <c r="Q20" s="25">
        <f t="shared" si="7"/>
        <v>18</v>
      </c>
      <c r="R20" s="25">
        <f t="shared" si="8"/>
        <v>0.25280972940905</v>
      </c>
      <c r="S20" s="27">
        <f t="shared" si="9"/>
        <v>90.0885238390345</v>
      </c>
      <c r="T20" s="27">
        <f t="shared" si="10"/>
        <v>18</v>
      </c>
      <c r="U20" s="25">
        <f t="shared" si="11"/>
        <v>0.494442995893358</v>
      </c>
      <c r="V20" s="25">
        <f t="shared" si="12"/>
        <v>1.03008957477783</v>
      </c>
      <c r="W20" s="25">
        <f t="shared" si="13"/>
        <v>1.00719272678883</v>
      </c>
      <c r="X20" s="24">
        <f t="shared" si="14"/>
        <v>350</v>
      </c>
      <c r="Y20" s="131">
        <f t="shared" si="54"/>
        <v>350</v>
      </c>
      <c r="AA20" s="25">
        <f t="shared" si="15"/>
        <v>0.693420972093396</v>
      </c>
      <c r="AB20" s="5">
        <f t="shared" si="16"/>
        <v>1.41251583194828</v>
      </c>
      <c r="AC20" s="5">
        <f t="shared" si="17"/>
        <v>0.114328414122712</v>
      </c>
      <c r="AD20" s="5"/>
      <c r="AE20" s="5">
        <f t="shared" si="18"/>
        <v>0.611107489733394</v>
      </c>
      <c r="AF20" s="216">
        <f t="shared" si="19"/>
        <v>1226.66666666667</v>
      </c>
      <c r="AG20" s="217">
        <f t="shared" si="20"/>
        <v>0.0213994565217391</v>
      </c>
      <c r="AI20" s="5">
        <f t="shared" si="21"/>
        <v>0.592010295920764</v>
      </c>
      <c r="AJ20" s="5">
        <f t="shared" si="22"/>
        <v>0.592010295920764</v>
      </c>
      <c r="AK20" s="5">
        <f t="shared" si="23"/>
        <v>1.39467353061384</v>
      </c>
      <c r="AM20" s="216">
        <f t="shared" si="24"/>
        <v>75</v>
      </c>
      <c r="AN20" s="220">
        <f t="shared" si="25"/>
        <v>350</v>
      </c>
      <c r="AP20">
        <f t="shared" si="26"/>
        <v>75</v>
      </c>
      <c r="AQ20" s="220">
        <f t="shared" si="27"/>
        <v>350</v>
      </c>
      <c r="AR20" s="220"/>
      <c r="AS20" s="192">
        <f t="shared" si="55"/>
        <v>2.85714285714286</v>
      </c>
      <c r="AT20" s="192">
        <f t="shared" si="28"/>
        <v>1.23335478316826</v>
      </c>
      <c r="AU20" s="192">
        <f t="shared" si="56"/>
        <v>1.6237880739746</v>
      </c>
      <c r="AV20" s="192">
        <f t="shared" si="29"/>
        <v>1.20593975278821</v>
      </c>
      <c r="AW20" s="5">
        <f t="shared" si="57"/>
        <v>0.43167417410889</v>
      </c>
      <c r="AX20" s="5">
        <f t="shared" si="30"/>
        <v>1.53333333333333</v>
      </c>
      <c r="AY20" s="5">
        <f t="shared" si="31"/>
        <v>0.112207655911797</v>
      </c>
      <c r="AZ20" s="5">
        <f t="shared" si="58"/>
        <v>13.6651400554935</v>
      </c>
      <c r="BA20" s="220">
        <f t="shared" si="32"/>
        <v>4.91946604768167</v>
      </c>
      <c r="BB20" s="220">
        <f t="shared" si="33"/>
        <v>3.9266332439046</v>
      </c>
      <c r="BC20" s="192">
        <f t="shared" si="34"/>
        <v>0.338289182078041</v>
      </c>
      <c r="BD20" s="220">
        <f t="shared" si="35"/>
        <v>2.40473509246825</v>
      </c>
      <c r="BE20" s="192"/>
      <c r="BF20" s="5">
        <f t="shared" si="59"/>
        <v>0.224567376725887</v>
      </c>
      <c r="BG20" s="5">
        <f t="shared" si="36"/>
        <v>0.171867263542678</v>
      </c>
      <c r="BH20" s="5"/>
      <c r="BI20" s="217">
        <f t="shared" si="37"/>
        <v>0.0176506773413413</v>
      </c>
      <c r="BJ20" s="217">
        <f t="shared" si="38"/>
        <v>0.0251470581439447</v>
      </c>
      <c r="BK20" s="217">
        <f t="shared" si="39"/>
        <v>0.004375</v>
      </c>
      <c r="BL20" s="217">
        <f t="shared" si="40"/>
        <v>0.0103104543472</v>
      </c>
      <c r="BM20">
        <f t="shared" si="41"/>
        <v>0.00348</v>
      </c>
      <c r="BN20">
        <f t="shared" si="42"/>
        <v>6.125e-6</v>
      </c>
      <c r="BO20" s="217">
        <f t="shared" si="43"/>
        <v>0.0692020523885733</v>
      </c>
      <c r="BP20" s="220">
        <f t="shared" si="60"/>
        <v>69.2020523885733</v>
      </c>
      <c r="BQ20" s="217">
        <f t="shared" si="44"/>
        <v>0.0682641889759817</v>
      </c>
      <c r="BR20" s="217"/>
      <c r="BT20" s="220">
        <f t="shared" si="61"/>
        <v>68.2641889759817</v>
      </c>
      <c r="BU20" s="217">
        <f t="shared" si="45"/>
        <v>0.00206765077427141</v>
      </c>
      <c r="BV20" s="217">
        <f t="shared" si="46"/>
        <v>0.00295383562776483</v>
      </c>
      <c r="BW20" s="217">
        <f t="shared" si="47"/>
        <v>0</v>
      </c>
      <c r="BX20" s="217">
        <f t="shared" si="48"/>
        <v>0.00693243612550899</v>
      </c>
      <c r="BY20" s="217">
        <f t="shared" si="49"/>
        <v>0.00490666666666667</v>
      </c>
      <c r="BZ20" s="220">
        <f t="shared" si="62"/>
        <v>11.8391027921757</v>
      </c>
      <c r="CA20" s="5">
        <f t="shared" si="63"/>
        <v>0.149305344156731</v>
      </c>
      <c r="CB20" s="192">
        <f t="shared" si="64"/>
        <v>1.35</v>
      </c>
      <c r="CC20" s="5">
        <f t="shared" si="65"/>
        <v>0.900416986614087</v>
      </c>
      <c r="CD20" s="192">
        <f t="shared" si="66"/>
        <v>90.0416986614087</v>
      </c>
      <c r="CG20" s="227">
        <f t="shared" si="50"/>
        <v>-50</v>
      </c>
      <c r="CH20">
        <f t="shared" si="51"/>
        <v>-50</v>
      </c>
    </row>
    <row r="21" s="2" customFormat="1" spans="5:86">
      <c r="E21" s="37">
        <v>16</v>
      </c>
      <c r="F21" s="181">
        <f t="shared" si="52"/>
        <v>0.08</v>
      </c>
      <c r="G21" s="25"/>
      <c r="H21" s="25">
        <f t="shared" si="0"/>
        <v>1.44</v>
      </c>
      <c r="I21" s="212">
        <f t="shared" si="1"/>
        <v>12</v>
      </c>
      <c r="J21" s="27">
        <f t="shared" si="2"/>
        <v>12.2728</v>
      </c>
      <c r="K21" s="194">
        <f t="shared" si="3"/>
        <v>24.2728</v>
      </c>
      <c r="L21" s="194"/>
      <c r="M21" s="181">
        <f t="shared" si="4"/>
        <v>0.505619458818101</v>
      </c>
      <c r="N21" s="27">
        <f t="shared" si="5"/>
        <v>4.09551761642662</v>
      </c>
      <c r="O21" s="27">
        <f t="shared" si="53"/>
        <v>1.44</v>
      </c>
      <c r="P21" s="181">
        <f t="shared" si="6"/>
        <v>0.227528756468145</v>
      </c>
      <c r="Q21" s="25">
        <f t="shared" si="7"/>
        <v>18</v>
      </c>
      <c r="R21" s="25">
        <f t="shared" si="8"/>
        <v>0.25280972940905</v>
      </c>
      <c r="S21" s="27">
        <f t="shared" si="9"/>
        <v>83.3449278921886</v>
      </c>
      <c r="T21" s="27">
        <f t="shared" si="10"/>
        <v>18</v>
      </c>
      <c r="U21" s="25">
        <f t="shared" si="11"/>
        <v>0.527405862286248</v>
      </c>
      <c r="V21" s="181">
        <f t="shared" si="12"/>
        <v>1.09876221309635</v>
      </c>
      <c r="W21" s="25">
        <f t="shared" si="13"/>
        <v>1.07433890857475</v>
      </c>
      <c r="X21" s="201">
        <f t="shared" si="14"/>
        <v>350</v>
      </c>
      <c r="Y21" s="194">
        <f t="shared" si="54"/>
        <v>350</v>
      </c>
      <c r="AA21" s="181">
        <f t="shared" si="15"/>
        <v>0.693420972093396</v>
      </c>
      <c r="AB21" s="5">
        <f t="shared" si="16"/>
        <v>1.41251583194828</v>
      </c>
      <c r="AC21" s="202">
        <f t="shared" si="17"/>
        <v>0.114328414122712</v>
      </c>
      <c r="AD21" s="202"/>
      <c r="AE21" s="5">
        <f t="shared" si="18"/>
        <v>0.611107489733394</v>
      </c>
      <c r="AF21" s="216">
        <f t="shared" si="19"/>
        <v>1308.44444444444</v>
      </c>
      <c r="AG21" s="217">
        <f t="shared" si="20"/>
        <v>0.0213994565217391</v>
      </c>
      <c r="AH21"/>
      <c r="AI21" s="5">
        <f t="shared" si="21"/>
        <v>0.611425604502518</v>
      </c>
      <c r="AJ21" s="5">
        <f t="shared" si="22"/>
        <v>0.611425604502518</v>
      </c>
      <c r="AK21" s="5">
        <f t="shared" si="23"/>
        <v>1.40761706966835</v>
      </c>
      <c r="AM21" s="216">
        <f t="shared" si="24"/>
        <v>80</v>
      </c>
      <c r="AN21" s="220">
        <f t="shared" si="25"/>
        <v>350</v>
      </c>
      <c r="AP21">
        <f t="shared" si="26"/>
        <v>80</v>
      </c>
      <c r="AQ21" s="220">
        <f t="shared" si="27"/>
        <v>350</v>
      </c>
      <c r="AR21" s="220"/>
      <c r="AS21" s="192">
        <f t="shared" si="55"/>
        <v>2.85714285714286</v>
      </c>
      <c r="AT21" s="192">
        <f t="shared" si="28"/>
        <v>1.27380334271358</v>
      </c>
      <c r="AU21" s="192">
        <f t="shared" si="56"/>
        <v>1.58333951442928</v>
      </c>
      <c r="AV21" s="192">
        <f t="shared" si="29"/>
        <v>1.24548922108752</v>
      </c>
      <c r="AW21" s="5">
        <f t="shared" si="57"/>
        <v>0.445831169949753</v>
      </c>
      <c r="AX21" s="5">
        <f t="shared" si="30"/>
        <v>1.63555555555556</v>
      </c>
      <c r="AY21" s="5">
        <f t="shared" si="31"/>
        <v>0.11300080947196</v>
      </c>
      <c r="AZ21" s="5">
        <f t="shared" si="58"/>
        <v>14.4738392866239</v>
      </c>
      <c r="BA21" s="220">
        <f t="shared" si="32"/>
        <v>4.91946604768167</v>
      </c>
      <c r="BB21" s="220">
        <f t="shared" si="33"/>
        <v>4.45163604639813</v>
      </c>
      <c r="BC21" s="192">
        <f t="shared" si="34"/>
        <v>0.351853225428728</v>
      </c>
      <c r="BD21" s="220">
        <f t="shared" si="35"/>
        <v>2.51111935257237</v>
      </c>
      <c r="BE21" s="192"/>
      <c r="BF21" s="5">
        <f t="shared" si="59"/>
        <v>0.235704681546517</v>
      </c>
      <c r="BG21" s="5">
        <f t="shared" si="36"/>
        <v>0.175278995426387</v>
      </c>
      <c r="BH21" s="5"/>
      <c r="BI21" s="217">
        <f t="shared" si="37"/>
        <v>0.0194448439160307</v>
      </c>
      <c r="BJ21" s="217">
        <f t="shared" si="38"/>
        <v>0.0259717699726953</v>
      </c>
      <c r="BK21" s="217">
        <f t="shared" si="39"/>
        <v>0.004375</v>
      </c>
      <c r="BL21" s="217">
        <f t="shared" si="40"/>
        <v>0.0103104543472</v>
      </c>
      <c r="BM21">
        <f t="shared" si="41"/>
        <v>0.00348</v>
      </c>
      <c r="BN21">
        <f t="shared" si="42"/>
        <v>6.125e-6</v>
      </c>
      <c r="BO21" s="217">
        <f t="shared" si="43"/>
        <v>0.0726959927658968</v>
      </c>
      <c r="BP21" s="220">
        <f t="shared" si="60"/>
        <v>72.6959927658968</v>
      </c>
      <c r="BQ21" s="217">
        <f t="shared" si="44"/>
        <v>0.072317105934122</v>
      </c>
      <c r="BR21" s="217"/>
      <c r="BT21" s="220">
        <f t="shared" si="61"/>
        <v>72.317105934122</v>
      </c>
      <c r="BU21" s="217">
        <f t="shared" si="45"/>
        <v>0.00227782457302074</v>
      </c>
      <c r="BV21" s="217">
        <f t="shared" si="46"/>
        <v>0.00307227262376833</v>
      </c>
      <c r="BW21" s="217">
        <f t="shared" si="47"/>
        <v>0</v>
      </c>
      <c r="BX21" s="217">
        <f t="shared" si="48"/>
        <v>0.00738629552348691</v>
      </c>
      <c r="BY21" s="217">
        <f t="shared" si="49"/>
        <v>0.00523377777777778</v>
      </c>
      <c r="BZ21" s="220">
        <f t="shared" si="62"/>
        <v>12.6200733012647</v>
      </c>
      <c r="CA21" s="5">
        <f t="shared" si="63"/>
        <v>0.157633172001283</v>
      </c>
      <c r="CB21" s="192">
        <f t="shared" si="64"/>
        <v>1.44</v>
      </c>
      <c r="CC21" s="5">
        <f t="shared" si="65"/>
        <v>0.901333313075978</v>
      </c>
      <c r="CD21" s="192">
        <f t="shared" si="66"/>
        <v>90.1333313075978</v>
      </c>
      <c r="CG21" s="227">
        <f t="shared" si="50"/>
        <v>-50</v>
      </c>
      <c r="CH21">
        <f t="shared" si="51"/>
        <v>-50</v>
      </c>
    </row>
    <row r="22" spans="5:86">
      <c r="E22" s="22">
        <v>17</v>
      </c>
      <c r="F22" s="25">
        <f t="shared" si="52"/>
        <v>0.085</v>
      </c>
      <c r="G22" s="25"/>
      <c r="H22" s="25">
        <f t="shared" si="0"/>
        <v>1.53</v>
      </c>
      <c r="I22" s="212">
        <f t="shared" si="1"/>
        <v>12</v>
      </c>
      <c r="J22" s="27">
        <f t="shared" si="2"/>
        <v>12.2728</v>
      </c>
      <c r="K22" s="131">
        <f t="shared" si="3"/>
        <v>24.2728</v>
      </c>
      <c r="L22" s="131"/>
      <c r="M22" s="25">
        <f t="shared" si="4"/>
        <v>0.505619458818101</v>
      </c>
      <c r="N22" s="27">
        <f t="shared" si="5"/>
        <v>4.09551761642662</v>
      </c>
      <c r="O22" s="27">
        <f t="shared" si="53"/>
        <v>1.53</v>
      </c>
      <c r="P22" s="25">
        <f t="shared" si="6"/>
        <v>0.227528756468145</v>
      </c>
      <c r="Q22" s="25">
        <f t="shared" si="7"/>
        <v>18</v>
      </c>
      <c r="R22" s="25">
        <f t="shared" si="8"/>
        <v>0.25280972940905</v>
      </c>
      <c r="S22" s="27">
        <f t="shared" si="9"/>
        <v>77.3956170983413</v>
      </c>
      <c r="T22" s="27">
        <f t="shared" si="10"/>
        <v>18</v>
      </c>
      <c r="U22" s="25">
        <f t="shared" si="11"/>
        <v>0.560368728679139</v>
      </c>
      <c r="V22" s="25">
        <f t="shared" si="12"/>
        <v>1.16743485141487</v>
      </c>
      <c r="W22" s="25">
        <f t="shared" si="13"/>
        <v>1.14148509036067</v>
      </c>
      <c r="X22" s="24">
        <f t="shared" si="14"/>
        <v>350</v>
      </c>
      <c r="Y22" s="131">
        <f t="shared" si="54"/>
        <v>350</v>
      </c>
      <c r="AA22" s="25">
        <f t="shared" si="15"/>
        <v>0.693420972093396</v>
      </c>
      <c r="AB22" s="5">
        <f t="shared" si="16"/>
        <v>1.41251583194828</v>
      </c>
      <c r="AC22" s="5">
        <f t="shared" si="17"/>
        <v>0.114328414122712</v>
      </c>
      <c r="AD22" s="5"/>
      <c r="AE22" s="5">
        <f t="shared" si="18"/>
        <v>0.611107489733394</v>
      </c>
      <c r="AF22" s="216">
        <f t="shared" si="19"/>
        <v>1390.22222222222</v>
      </c>
      <c r="AG22" s="217">
        <f t="shared" si="20"/>
        <v>0.0213994565217391</v>
      </c>
      <c r="AI22" s="5">
        <f t="shared" si="21"/>
        <v>0.630243087392753</v>
      </c>
      <c r="AJ22" s="5">
        <f t="shared" si="22"/>
        <v>0.630243087392753</v>
      </c>
      <c r="AK22" s="5">
        <f t="shared" si="23"/>
        <v>1.42016205826184</v>
      </c>
      <c r="AM22" s="216">
        <f t="shared" si="24"/>
        <v>85</v>
      </c>
      <c r="AN22" s="220">
        <f t="shared" si="25"/>
        <v>350</v>
      </c>
      <c r="AP22">
        <f t="shared" si="26"/>
        <v>85</v>
      </c>
      <c r="AQ22" s="220">
        <f t="shared" si="27"/>
        <v>350</v>
      </c>
      <c r="AR22" s="220"/>
      <c r="AS22" s="192">
        <f t="shared" si="55"/>
        <v>2.85714285714286</v>
      </c>
      <c r="AT22" s="192">
        <f t="shared" si="28"/>
        <v>1.31300643206824</v>
      </c>
      <c r="AU22" s="192">
        <f t="shared" si="56"/>
        <v>1.54413642507462</v>
      </c>
      <c r="AV22" s="192">
        <f t="shared" si="29"/>
        <v>1.28382090352803</v>
      </c>
      <c r="AW22" s="5">
        <f t="shared" si="57"/>
        <v>0.459552251223882</v>
      </c>
      <c r="AX22" s="5">
        <f t="shared" si="30"/>
        <v>1.73777777777778</v>
      </c>
      <c r="AY22" s="5">
        <f t="shared" si="31"/>
        <v>0.113594588164002</v>
      </c>
      <c r="AZ22" s="5">
        <f t="shared" si="58"/>
        <v>15.2980683839345</v>
      </c>
      <c r="BA22" s="220">
        <f t="shared" si="32"/>
        <v>4.91946604768167</v>
      </c>
      <c r="BB22" s="220">
        <f t="shared" si="33"/>
        <v>5.00954225550414</v>
      </c>
      <c r="BC22" s="192">
        <f t="shared" si="34"/>
        <v>0.364587767031508</v>
      </c>
      <c r="BD22" s="220">
        <f t="shared" si="35"/>
        <v>2.61252660218905</v>
      </c>
      <c r="BE22" s="192"/>
      <c r="BF22" s="5">
        <f t="shared" si="59"/>
        <v>0.246669192765126</v>
      </c>
      <c r="BG22" s="5">
        <f t="shared" si="36"/>
        <v>0.178422719103403</v>
      </c>
      <c r="BH22" s="5"/>
      <c r="BI22" s="217">
        <f t="shared" si="37"/>
        <v>0.0212959917307897</v>
      </c>
      <c r="BJ22" s="217">
        <f t="shared" si="38"/>
        <v>0.0267710877204169</v>
      </c>
      <c r="BK22" s="217">
        <f t="shared" si="39"/>
        <v>0.004375</v>
      </c>
      <c r="BL22" s="217">
        <f t="shared" si="40"/>
        <v>0.0103104543472</v>
      </c>
      <c r="BM22">
        <f t="shared" si="41"/>
        <v>0.00348</v>
      </c>
      <c r="BN22">
        <f t="shared" si="42"/>
        <v>6.125e-6</v>
      </c>
      <c r="BO22" s="217">
        <f t="shared" si="43"/>
        <v>0.0762561675395755</v>
      </c>
      <c r="BP22" s="220">
        <f t="shared" si="60"/>
        <v>76.2561675395755</v>
      </c>
      <c r="BQ22" s="217">
        <f t="shared" si="44"/>
        <v>0.0763240627495683</v>
      </c>
      <c r="BR22" s="217"/>
      <c r="BT22" s="220">
        <f t="shared" si="61"/>
        <v>76.3240627495684</v>
      </c>
      <c r="BU22" s="217">
        <f t="shared" si="45"/>
        <v>0.00249467331703536</v>
      </c>
      <c r="BV22" s="217">
        <f t="shared" si="46"/>
        <v>0.00318346666922518</v>
      </c>
      <c r="BW22" s="217">
        <f t="shared" si="47"/>
        <v>0</v>
      </c>
      <c r="BX22" s="217">
        <f t="shared" si="48"/>
        <v>0.00783939423526957</v>
      </c>
      <c r="BY22" s="217">
        <f t="shared" si="49"/>
        <v>0.00556088888888889</v>
      </c>
      <c r="BZ22" s="220">
        <f t="shared" si="62"/>
        <v>13.4002831241585</v>
      </c>
      <c r="CA22" s="5">
        <f t="shared" si="63"/>
        <v>0.165980513413302</v>
      </c>
      <c r="CB22" s="192">
        <f t="shared" si="64"/>
        <v>1.53</v>
      </c>
      <c r="CC22" s="5">
        <f t="shared" si="65"/>
        <v>0.902133006776562</v>
      </c>
      <c r="CD22" s="192">
        <f t="shared" si="66"/>
        <v>90.2133006776562</v>
      </c>
      <c r="CG22" s="227">
        <f t="shared" si="50"/>
        <v>-50</v>
      </c>
      <c r="CH22">
        <f t="shared" si="51"/>
        <v>-50</v>
      </c>
    </row>
    <row r="23" spans="5:86">
      <c r="E23" s="22">
        <v>18</v>
      </c>
      <c r="F23" s="25">
        <f t="shared" si="52"/>
        <v>0.09</v>
      </c>
      <c r="G23" s="25"/>
      <c r="H23" s="25">
        <f t="shared" si="0"/>
        <v>1.62</v>
      </c>
      <c r="I23" s="212">
        <f t="shared" si="1"/>
        <v>12</v>
      </c>
      <c r="J23" s="27">
        <f t="shared" si="2"/>
        <v>12.2728</v>
      </c>
      <c r="K23" s="131">
        <f t="shared" si="3"/>
        <v>24.2728</v>
      </c>
      <c r="L23" s="131"/>
      <c r="M23" s="25">
        <f t="shared" si="4"/>
        <v>0.505619458818101</v>
      </c>
      <c r="N23" s="27">
        <f t="shared" si="5"/>
        <v>4.09551761642662</v>
      </c>
      <c r="O23" s="27">
        <f t="shared" si="53"/>
        <v>1.62</v>
      </c>
      <c r="P23" s="25">
        <f t="shared" si="6"/>
        <v>0.227528756468145</v>
      </c>
      <c r="Q23" s="25">
        <f t="shared" si="7"/>
        <v>18</v>
      </c>
      <c r="R23" s="25">
        <f t="shared" si="8"/>
        <v>0.25280972940905</v>
      </c>
      <c r="S23" s="27">
        <f t="shared" si="9"/>
        <v>72.1082449297598</v>
      </c>
      <c r="T23" s="27">
        <f t="shared" si="10"/>
        <v>18</v>
      </c>
      <c r="U23" s="25">
        <f t="shared" si="11"/>
        <v>0.593331595072029</v>
      </c>
      <c r="V23" s="25">
        <f t="shared" si="12"/>
        <v>1.23610748973339</v>
      </c>
      <c r="W23" s="25">
        <f t="shared" si="13"/>
        <v>1.20863127214659</v>
      </c>
      <c r="X23" s="24">
        <f t="shared" si="14"/>
        <v>350</v>
      </c>
      <c r="Y23" s="131">
        <f t="shared" si="54"/>
        <v>350</v>
      </c>
      <c r="AA23" s="25">
        <f t="shared" si="15"/>
        <v>0.693420972093396</v>
      </c>
      <c r="AB23" s="5">
        <f t="shared" si="16"/>
        <v>1.41251583194828</v>
      </c>
      <c r="AC23" s="5">
        <f t="shared" si="17"/>
        <v>0.114328414122712</v>
      </c>
      <c r="AD23" s="5"/>
      <c r="AE23" s="5">
        <f t="shared" si="18"/>
        <v>0.611107489733394</v>
      </c>
      <c r="AF23" s="216">
        <f t="shared" si="19"/>
        <v>1472</v>
      </c>
      <c r="AG23" s="217">
        <f t="shared" si="20"/>
        <v>0.0213994565217391</v>
      </c>
      <c r="AI23" s="5">
        <f t="shared" si="21"/>
        <v>0.648514786702222</v>
      </c>
      <c r="AJ23" s="5">
        <f t="shared" si="22"/>
        <v>0.648514786702222</v>
      </c>
      <c r="AK23" s="5">
        <f t="shared" si="23"/>
        <v>1.43234319113481</v>
      </c>
      <c r="AM23" s="216">
        <f t="shared" si="24"/>
        <v>90</v>
      </c>
      <c r="AN23" s="220">
        <f t="shared" si="25"/>
        <v>350</v>
      </c>
      <c r="AP23">
        <f t="shared" si="26"/>
        <v>90</v>
      </c>
      <c r="AQ23" s="220">
        <f t="shared" si="27"/>
        <v>350</v>
      </c>
      <c r="AR23" s="220"/>
      <c r="AS23" s="192">
        <f t="shared" si="55"/>
        <v>2.85714285714286</v>
      </c>
      <c r="AT23" s="192">
        <f t="shared" si="28"/>
        <v>1.3510724722963</v>
      </c>
      <c r="AU23" s="192">
        <f t="shared" si="56"/>
        <v>1.50607038484656</v>
      </c>
      <c r="AV23" s="192">
        <f t="shared" si="29"/>
        <v>1.32104081118861</v>
      </c>
      <c r="AW23" s="5">
        <f t="shared" si="57"/>
        <v>0.472875365303704</v>
      </c>
      <c r="AX23" s="5">
        <f t="shared" si="30"/>
        <v>1.84</v>
      </c>
      <c r="AY23" s="5">
        <f t="shared" si="31"/>
        <v>0.114006348031858</v>
      </c>
      <c r="AZ23" s="5">
        <f t="shared" si="58"/>
        <v>16.1394521600309</v>
      </c>
      <c r="BA23" s="220">
        <f t="shared" si="32"/>
        <v>4.91946604768167</v>
      </c>
      <c r="BB23" s="220">
        <f t="shared" si="33"/>
        <v>5.60035187122263</v>
      </c>
      <c r="BC23" s="192">
        <f t="shared" si="34"/>
        <v>0.37651759621164</v>
      </c>
      <c r="BD23" s="220">
        <f t="shared" si="35"/>
        <v>2.70910557726984</v>
      </c>
      <c r="BE23" s="192"/>
      <c r="BF23" s="5">
        <f t="shared" si="59"/>
        <v>0.25747353774839</v>
      </c>
      <c r="BG23" s="5">
        <f t="shared" si="36"/>
        <v>0.181318344819048</v>
      </c>
      <c r="BH23" s="5"/>
      <c r="BI23" s="217">
        <f t="shared" si="37"/>
        <v>0.0232024179242351</v>
      </c>
      <c r="BJ23" s="217">
        <f t="shared" si="38"/>
        <v>0.027547222000665</v>
      </c>
      <c r="BK23" s="217">
        <f t="shared" si="39"/>
        <v>0.004375</v>
      </c>
      <c r="BL23" s="217">
        <f t="shared" si="40"/>
        <v>0.0103104543472</v>
      </c>
      <c r="BM23">
        <f t="shared" si="41"/>
        <v>0.00348</v>
      </c>
      <c r="BN23">
        <f t="shared" si="42"/>
        <v>6.125e-6</v>
      </c>
      <c r="BO23" s="217">
        <f t="shared" si="43"/>
        <v>0.0798828325466778</v>
      </c>
      <c r="BP23" s="220">
        <f t="shared" si="60"/>
        <v>79.8828325466778</v>
      </c>
      <c r="BQ23" s="217">
        <f t="shared" si="44"/>
        <v>0.080286432922653</v>
      </c>
      <c r="BR23" s="217"/>
      <c r="BT23" s="220">
        <f t="shared" si="61"/>
        <v>80.286432922653</v>
      </c>
      <c r="BU23" s="217">
        <f t="shared" si="45"/>
        <v>0.00271799752826753</v>
      </c>
      <c r="BV23" s="217">
        <f t="shared" si="46"/>
        <v>0.0032876342167919</v>
      </c>
      <c r="BW23" s="217">
        <f t="shared" si="47"/>
        <v>0</v>
      </c>
      <c r="BX23" s="217">
        <f t="shared" si="48"/>
        <v>0.00829175558662789</v>
      </c>
      <c r="BY23" s="217">
        <f t="shared" si="49"/>
        <v>0.005888</v>
      </c>
      <c r="BZ23" s="220">
        <f t="shared" si="62"/>
        <v>14.1797555866279</v>
      </c>
      <c r="CA23" s="5">
        <f t="shared" si="63"/>
        <v>0.174349021055959</v>
      </c>
      <c r="CB23" s="192">
        <f t="shared" si="64"/>
        <v>1.62</v>
      </c>
      <c r="CC23" s="5">
        <f t="shared" si="65"/>
        <v>0.902834387842029</v>
      </c>
      <c r="CD23" s="192">
        <f t="shared" si="66"/>
        <v>90.2834387842029</v>
      </c>
      <c r="CG23" s="227">
        <f t="shared" si="50"/>
        <v>-50</v>
      </c>
      <c r="CH23">
        <f t="shared" si="51"/>
        <v>-50</v>
      </c>
    </row>
    <row r="24" spans="5:86">
      <c r="E24" s="22">
        <v>19</v>
      </c>
      <c r="F24" s="25">
        <f t="shared" si="52"/>
        <v>0.095</v>
      </c>
      <c r="G24" s="25"/>
      <c r="H24" s="25">
        <f t="shared" si="0"/>
        <v>1.71</v>
      </c>
      <c r="I24" s="212">
        <f t="shared" si="1"/>
        <v>12</v>
      </c>
      <c r="J24" s="27">
        <f t="shared" si="2"/>
        <v>12.2728</v>
      </c>
      <c r="K24" s="131">
        <f t="shared" si="3"/>
        <v>24.2728</v>
      </c>
      <c r="L24" s="131"/>
      <c r="M24" s="25">
        <f t="shared" si="4"/>
        <v>0.505619458818101</v>
      </c>
      <c r="N24" s="27">
        <f t="shared" si="5"/>
        <v>4.09551761642662</v>
      </c>
      <c r="O24" s="27">
        <f t="shared" si="53"/>
        <v>1.71</v>
      </c>
      <c r="P24" s="25">
        <f t="shared" si="6"/>
        <v>0.227528756468145</v>
      </c>
      <c r="Q24" s="25">
        <f t="shared" si="7"/>
        <v>18</v>
      </c>
      <c r="R24" s="25">
        <f t="shared" si="8"/>
        <v>0.25280972940905</v>
      </c>
      <c r="S24" s="27">
        <f t="shared" si="9"/>
        <v>67.3783289535421</v>
      </c>
      <c r="T24" s="27">
        <f t="shared" si="10"/>
        <v>18</v>
      </c>
      <c r="U24" s="25">
        <f t="shared" si="11"/>
        <v>0.62629446146492</v>
      </c>
      <c r="V24" s="25">
        <f t="shared" si="12"/>
        <v>1.30478012805192</v>
      </c>
      <c r="W24" s="25">
        <f t="shared" si="13"/>
        <v>1.27577745393252</v>
      </c>
      <c r="X24" s="24">
        <f t="shared" si="14"/>
        <v>350</v>
      </c>
      <c r="Y24" s="131">
        <f t="shared" si="54"/>
        <v>350</v>
      </c>
      <c r="AA24" s="25">
        <f t="shared" si="15"/>
        <v>0.693420972093396</v>
      </c>
      <c r="AB24" s="5">
        <f t="shared" si="16"/>
        <v>1.41251583194828</v>
      </c>
      <c r="AC24" s="5">
        <f t="shared" si="17"/>
        <v>0.114328414122712</v>
      </c>
      <c r="AD24" s="5"/>
      <c r="AE24" s="5">
        <f t="shared" si="18"/>
        <v>0.611107489733394</v>
      </c>
      <c r="AF24" s="216">
        <f t="shared" si="19"/>
        <v>1553.77777777778</v>
      </c>
      <c r="AG24" s="217">
        <f t="shared" si="20"/>
        <v>0.0213994565217391</v>
      </c>
      <c r="AI24" s="5">
        <f t="shared" si="21"/>
        <v>0.666285605379936</v>
      </c>
      <c r="AJ24" s="5">
        <f t="shared" si="22"/>
        <v>0.666285605379936</v>
      </c>
      <c r="AK24" s="5">
        <f t="shared" si="23"/>
        <v>1.44419040358662</v>
      </c>
      <c r="AM24" s="216">
        <f t="shared" si="24"/>
        <v>95</v>
      </c>
      <c r="AN24" s="220">
        <f t="shared" si="25"/>
        <v>350</v>
      </c>
      <c r="AP24">
        <f t="shared" si="26"/>
        <v>95</v>
      </c>
      <c r="AQ24" s="220">
        <f t="shared" si="27"/>
        <v>350</v>
      </c>
      <c r="AR24" s="220"/>
      <c r="AS24" s="192">
        <f t="shared" si="55"/>
        <v>2.85714285714286</v>
      </c>
      <c r="AT24" s="192">
        <f t="shared" si="28"/>
        <v>1.3880950112082</v>
      </c>
      <c r="AU24" s="192">
        <f t="shared" si="56"/>
        <v>1.46904784593466</v>
      </c>
      <c r="AV24" s="192">
        <f t="shared" si="29"/>
        <v>1.35724041249743</v>
      </c>
      <c r="AW24" s="5">
        <f t="shared" si="57"/>
        <v>0.48583325392287</v>
      </c>
      <c r="AX24" s="5">
        <f t="shared" si="30"/>
        <v>1.94222222222222</v>
      </c>
      <c r="AY24" s="5">
        <f t="shared" si="31"/>
        <v>0.114251064209024</v>
      </c>
      <c r="AZ24" s="5">
        <f t="shared" si="58"/>
        <v>16.9995985216287</v>
      </c>
      <c r="BA24" s="220">
        <f t="shared" si="32"/>
        <v>4.91946604768167</v>
      </c>
      <c r="BB24" s="220">
        <f t="shared" si="33"/>
        <v>6.22406489355361</v>
      </c>
      <c r="BC24" s="192">
        <f t="shared" si="34"/>
        <v>0.387665403788312</v>
      </c>
      <c r="BD24" s="220">
        <f t="shared" si="35"/>
        <v>2.80099242272987</v>
      </c>
      <c r="BE24" s="192"/>
      <c r="BF24" s="5">
        <f t="shared" si="59"/>
        <v>0.268128773904101</v>
      </c>
      <c r="BG24" s="5">
        <f t="shared" si="36"/>
        <v>0.183982971919266</v>
      </c>
      <c r="BH24" s="5"/>
      <c r="BI24" s="217">
        <f t="shared" si="37"/>
        <v>0.0251625637883608</v>
      </c>
      <c r="BJ24" s="217">
        <f t="shared" si="38"/>
        <v>0.0283020801739657</v>
      </c>
      <c r="BK24" s="217">
        <f t="shared" si="39"/>
        <v>0.004375</v>
      </c>
      <c r="BL24" s="217">
        <f t="shared" si="40"/>
        <v>0.0103104543472</v>
      </c>
      <c r="BM24">
        <f t="shared" si="41"/>
        <v>0.00348</v>
      </c>
      <c r="BN24">
        <f t="shared" si="42"/>
        <v>6.125e-6</v>
      </c>
      <c r="BO24" s="217">
        <f t="shared" si="43"/>
        <v>0.0835761513386254</v>
      </c>
      <c r="BP24" s="220">
        <f t="shared" si="60"/>
        <v>83.5761513386254</v>
      </c>
      <c r="BQ24" s="217">
        <f t="shared" si="44"/>
        <v>0.0842054736819355</v>
      </c>
      <c r="BR24" s="217"/>
      <c r="BT24" s="220">
        <f t="shared" si="61"/>
        <v>84.2054736819355</v>
      </c>
      <c r="BU24" s="217">
        <f t="shared" si="45"/>
        <v>0.00294761461520798</v>
      </c>
      <c r="BV24" s="217">
        <f t="shared" si="46"/>
        <v>0.00338497339562454</v>
      </c>
      <c r="BW24" s="217">
        <f t="shared" si="47"/>
        <v>0</v>
      </c>
      <c r="BX24" s="217">
        <f t="shared" si="48"/>
        <v>0.0087434009234178</v>
      </c>
      <c r="BY24" s="217">
        <f t="shared" si="49"/>
        <v>0.00621511111111111</v>
      </c>
      <c r="BZ24" s="220">
        <f t="shared" si="62"/>
        <v>14.9585120345289</v>
      </c>
      <c r="CA24" s="5">
        <f t="shared" si="63"/>
        <v>0.18274013705509</v>
      </c>
      <c r="CB24" s="192">
        <f t="shared" si="64"/>
        <v>1.71</v>
      </c>
      <c r="CC24" s="5">
        <f t="shared" si="65"/>
        <v>0.903452072750243</v>
      </c>
      <c r="CD24" s="192">
        <f t="shared" si="66"/>
        <v>90.3452072750243</v>
      </c>
      <c r="CG24" s="227">
        <f t="shared" si="50"/>
        <v>-50</v>
      </c>
      <c r="CH24">
        <f t="shared" si="51"/>
        <v>-50</v>
      </c>
    </row>
    <row r="25" spans="5:86">
      <c r="E25" s="22">
        <v>20</v>
      </c>
      <c r="F25" s="25">
        <f t="shared" si="52"/>
        <v>0.1</v>
      </c>
      <c r="G25" s="25"/>
      <c r="H25" s="25">
        <f t="shared" si="0"/>
        <v>1.8</v>
      </c>
      <c r="I25" s="212">
        <f t="shared" si="1"/>
        <v>12</v>
      </c>
      <c r="J25" s="27">
        <f t="shared" si="2"/>
        <v>12.2728</v>
      </c>
      <c r="K25" s="131">
        <f t="shared" si="3"/>
        <v>24.2728</v>
      </c>
      <c r="L25" s="131"/>
      <c r="M25" s="25">
        <f t="shared" si="4"/>
        <v>0.505619458818101</v>
      </c>
      <c r="N25" s="27">
        <f t="shared" si="5"/>
        <v>4.09551761642662</v>
      </c>
      <c r="O25" s="27">
        <f t="shared" si="53"/>
        <v>1.8</v>
      </c>
      <c r="P25" s="25">
        <f t="shared" si="6"/>
        <v>0.227528756468145</v>
      </c>
      <c r="Q25" s="25">
        <f t="shared" si="7"/>
        <v>18</v>
      </c>
      <c r="R25" s="25">
        <f t="shared" si="8"/>
        <v>0.25280972940905</v>
      </c>
      <c r="S25" s="27">
        <f t="shared" si="9"/>
        <v>63.1222849062702</v>
      </c>
      <c r="T25" s="27">
        <f t="shared" si="10"/>
        <v>18</v>
      </c>
      <c r="U25" s="25">
        <f t="shared" si="11"/>
        <v>0.65925732785781</v>
      </c>
      <c r="V25" s="25">
        <f t="shared" si="12"/>
        <v>1.37345276637044</v>
      </c>
      <c r="W25" s="25">
        <f t="shared" si="13"/>
        <v>1.34292363571844</v>
      </c>
      <c r="X25" s="24">
        <f t="shared" si="14"/>
        <v>350</v>
      </c>
      <c r="Y25" s="131">
        <f t="shared" si="54"/>
        <v>350</v>
      </c>
      <c r="AA25" s="25">
        <f t="shared" si="15"/>
        <v>0.693420972093396</v>
      </c>
      <c r="AB25" s="5">
        <f t="shared" si="16"/>
        <v>1.41251583194828</v>
      </c>
      <c r="AC25" s="5">
        <f t="shared" si="17"/>
        <v>0.114328414122712</v>
      </c>
      <c r="AD25" s="5"/>
      <c r="AE25" s="5">
        <f t="shared" si="18"/>
        <v>0.611107489733394</v>
      </c>
      <c r="AF25" s="216">
        <f t="shared" si="19"/>
        <v>1635.55555555556</v>
      </c>
      <c r="AG25" s="217">
        <f t="shared" si="20"/>
        <v>0.0213994565217391</v>
      </c>
      <c r="AI25" s="5">
        <f t="shared" si="21"/>
        <v>0.683594607425766</v>
      </c>
      <c r="AJ25" s="5">
        <f t="shared" si="22"/>
        <v>0.683594607425766</v>
      </c>
      <c r="AK25" s="5">
        <f t="shared" si="23"/>
        <v>1.45572973828384</v>
      </c>
      <c r="AM25" s="216">
        <f t="shared" si="24"/>
        <v>100</v>
      </c>
      <c r="AN25" s="220">
        <f t="shared" si="25"/>
        <v>350</v>
      </c>
      <c r="AP25">
        <f t="shared" si="26"/>
        <v>100</v>
      </c>
      <c r="AQ25" s="220">
        <f t="shared" si="27"/>
        <v>350</v>
      </c>
      <c r="AR25" s="220"/>
      <c r="AS25" s="192">
        <f t="shared" si="55"/>
        <v>2.85714285714286</v>
      </c>
      <c r="AT25" s="192">
        <f t="shared" si="28"/>
        <v>1.42415543213701</v>
      </c>
      <c r="AU25" s="192">
        <f t="shared" si="56"/>
        <v>1.43298742500584</v>
      </c>
      <c r="AV25" s="192">
        <f t="shared" si="29"/>
        <v>1.39249928179748</v>
      </c>
      <c r="AW25" s="5">
        <f t="shared" si="57"/>
        <v>0.498454401247954</v>
      </c>
      <c r="AX25" s="5">
        <f t="shared" si="30"/>
        <v>2.04444444444444</v>
      </c>
      <c r="AY25" s="5">
        <f t="shared" si="31"/>
        <v>0.114341764539456</v>
      </c>
      <c r="AZ25" s="5">
        <f t="shared" si="58"/>
        <v>17.880119767952</v>
      </c>
      <c r="BA25" s="220">
        <f t="shared" si="32"/>
        <v>4.91946604768167</v>
      </c>
      <c r="BB25" s="220">
        <f t="shared" si="33"/>
        <v>6.88068132249708</v>
      </c>
      <c r="BC25" s="192">
        <f t="shared" si="34"/>
        <v>0.398052062501623</v>
      </c>
      <c r="BD25" s="220">
        <f t="shared" si="35"/>
        <v>2.88831237500974</v>
      </c>
      <c r="BE25" s="192"/>
      <c r="BF25" s="5">
        <f t="shared" si="59"/>
        <v>0.27864465596923</v>
      </c>
      <c r="BG25" s="5">
        <f t="shared" si="36"/>
        <v>0.186431393814979</v>
      </c>
      <c r="BH25" s="5"/>
      <c r="BI25" s="217">
        <f t="shared" si="37"/>
        <v>0.0271749955050737</v>
      </c>
      <c r="BJ25" s="217">
        <f t="shared" si="38"/>
        <v>0.0290373215774672</v>
      </c>
      <c r="BK25" s="217">
        <f t="shared" si="39"/>
        <v>0.004375</v>
      </c>
      <c r="BL25" s="217">
        <f t="shared" si="40"/>
        <v>0.0103104543472</v>
      </c>
      <c r="BM25">
        <f t="shared" si="41"/>
        <v>0.00348</v>
      </c>
      <c r="BN25">
        <f t="shared" si="42"/>
        <v>6.125e-6</v>
      </c>
      <c r="BO25" s="217">
        <f t="shared" si="43"/>
        <v>0.0873362228310204</v>
      </c>
      <c r="BP25" s="220">
        <f t="shared" si="60"/>
        <v>87.3362228310204</v>
      </c>
      <c r="BQ25" s="217">
        <f t="shared" si="44"/>
        <v>0.0880823415218003</v>
      </c>
      <c r="BR25" s="217"/>
      <c r="BT25" s="220">
        <f t="shared" si="61"/>
        <v>88.0823415218003</v>
      </c>
      <c r="BU25" s="217">
        <f t="shared" si="45"/>
        <v>0.00318335661630863</v>
      </c>
      <c r="BV25" s="217">
        <f t="shared" si="46"/>
        <v>0.00347566645997956</v>
      </c>
      <c r="BW25" s="217">
        <f t="shared" si="47"/>
        <v>0</v>
      </c>
      <c r="BX25" s="217">
        <f t="shared" si="48"/>
        <v>0.00919434987631753</v>
      </c>
      <c r="BY25" s="217">
        <f t="shared" si="49"/>
        <v>0.00654222222222222</v>
      </c>
      <c r="BZ25" s="220">
        <f t="shared" si="62"/>
        <v>15.7365720985398</v>
      </c>
      <c r="CA25" s="5">
        <f t="shared" si="63"/>
        <v>0.19115513645136</v>
      </c>
      <c r="CB25" s="192">
        <f t="shared" si="64"/>
        <v>1.8</v>
      </c>
      <c r="CC25" s="5">
        <f t="shared" si="65"/>
        <v>0.903997868899338</v>
      </c>
      <c r="CD25" s="192">
        <f t="shared" si="66"/>
        <v>90.3997868899338</v>
      </c>
      <c r="CG25" s="227">
        <f t="shared" si="50"/>
        <v>-50</v>
      </c>
      <c r="CH25">
        <f t="shared" si="51"/>
        <v>-50</v>
      </c>
    </row>
    <row r="26" spans="5:86">
      <c r="E26" s="22">
        <v>21</v>
      </c>
      <c r="F26" s="25">
        <f t="shared" si="52"/>
        <v>0.105</v>
      </c>
      <c r="G26" s="25"/>
      <c r="H26" s="25">
        <f t="shared" si="0"/>
        <v>1.89</v>
      </c>
      <c r="I26" s="212">
        <f t="shared" si="1"/>
        <v>12</v>
      </c>
      <c r="J26" s="27">
        <f t="shared" si="2"/>
        <v>12.2728</v>
      </c>
      <c r="K26" s="131">
        <f t="shared" si="3"/>
        <v>24.2728</v>
      </c>
      <c r="L26" s="131"/>
      <c r="M26" s="25">
        <f t="shared" si="4"/>
        <v>0.505619458818101</v>
      </c>
      <c r="N26" s="27">
        <f t="shared" si="5"/>
        <v>4.09551761642662</v>
      </c>
      <c r="O26" s="27">
        <f t="shared" si="53"/>
        <v>1.89</v>
      </c>
      <c r="P26" s="25">
        <f t="shared" si="6"/>
        <v>0.227528756468145</v>
      </c>
      <c r="Q26" s="25">
        <f t="shared" si="7"/>
        <v>18</v>
      </c>
      <c r="R26" s="25">
        <f t="shared" si="8"/>
        <v>0.25280972940905</v>
      </c>
      <c r="S26" s="27">
        <f t="shared" si="9"/>
        <v>59.2724510397372</v>
      </c>
      <c r="T26" s="27">
        <f t="shared" si="10"/>
        <v>18</v>
      </c>
      <c r="U26" s="25">
        <f t="shared" si="11"/>
        <v>0.692220194250701</v>
      </c>
      <c r="V26" s="25">
        <f t="shared" si="12"/>
        <v>1.44212540468896</v>
      </c>
      <c r="W26" s="25">
        <f t="shared" si="13"/>
        <v>1.41006981750436</v>
      </c>
      <c r="X26" s="24">
        <f t="shared" si="14"/>
        <v>350</v>
      </c>
      <c r="Y26" s="131">
        <f t="shared" si="54"/>
        <v>350</v>
      </c>
      <c r="AA26" s="25">
        <f t="shared" si="15"/>
        <v>0.693420972093396</v>
      </c>
      <c r="AB26" s="5">
        <f t="shared" si="16"/>
        <v>1.41251583194828</v>
      </c>
      <c r="AC26" s="5">
        <f t="shared" si="17"/>
        <v>0.114328414122712</v>
      </c>
      <c r="AD26" s="5"/>
      <c r="AE26" s="5">
        <f t="shared" si="18"/>
        <v>0.611107489733394</v>
      </c>
      <c r="AF26" s="216">
        <f t="shared" si="19"/>
        <v>1717.33333333333</v>
      </c>
      <c r="AG26" s="217">
        <f t="shared" si="20"/>
        <v>0.0213994565217391</v>
      </c>
      <c r="AI26" s="5">
        <f t="shared" si="21"/>
        <v>0.70047602861673</v>
      </c>
      <c r="AJ26" s="5">
        <f t="shared" si="22"/>
        <v>0.70047602861673</v>
      </c>
      <c r="AK26" s="5">
        <f t="shared" si="23"/>
        <v>1.46698401907782</v>
      </c>
      <c r="AM26" s="216">
        <f t="shared" si="24"/>
        <v>105</v>
      </c>
      <c r="AN26" s="220">
        <f t="shared" si="25"/>
        <v>350</v>
      </c>
      <c r="AP26">
        <f t="shared" si="26"/>
        <v>105</v>
      </c>
      <c r="AQ26" s="220">
        <f t="shared" si="27"/>
        <v>350</v>
      </c>
      <c r="AR26" s="220"/>
      <c r="AS26" s="192">
        <f t="shared" si="55"/>
        <v>2.85714285714286</v>
      </c>
      <c r="AT26" s="192">
        <f t="shared" si="28"/>
        <v>1.45932505961819</v>
      </c>
      <c r="AU26" s="192">
        <f t="shared" si="56"/>
        <v>1.39781779752467</v>
      </c>
      <c r="AV26" s="192">
        <f t="shared" si="29"/>
        <v>1.42688715822129</v>
      </c>
      <c r="AW26" s="5">
        <f t="shared" si="57"/>
        <v>0.510763770866366</v>
      </c>
      <c r="AX26" s="5">
        <f t="shared" si="30"/>
        <v>2.14666666666667</v>
      </c>
      <c r="AY26" s="5">
        <f t="shared" si="31"/>
        <v>0.114289866654791</v>
      </c>
      <c r="AZ26" s="5">
        <f t="shared" si="58"/>
        <v>18.7826508989691</v>
      </c>
      <c r="BA26" s="220">
        <f t="shared" si="32"/>
        <v>4.91946604768167</v>
      </c>
      <c r="BB26" s="220">
        <f t="shared" si="33"/>
        <v>7.57020115805302</v>
      </c>
      <c r="BC26" s="192">
        <f t="shared" si="34"/>
        <v>0.407696857611362</v>
      </c>
      <c r="BD26" s="220">
        <f t="shared" si="35"/>
        <v>2.97118114566817</v>
      </c>
      <c r="BE26" s="192"/>
      <c r="BF26" s="5">
        <f t="shared" si="59"/>
        <v>0.289029846731612</v>
      </c>
      <c r="BG26" s="5">
        <f t="shared" si="36"/>
        <v>0.188676490393756</v>
      </c>
      <c r="BH26" s="5"/>
      <c r="BI26" s="217">
        <f t="shared" si="37"/>
        <v>0.0292383883055946</v>
      </c>
      <c r="BJ26" s="217">
        <f t="shared" si="38"/>
        <v>0.0297544004579643</v>
      </c>
      <c r="BK26" s="217">
        <f t="shared" si="39"/>
        <v>0.004375</v>
      </c>
      <c r="BL26" s="217">
        <f t="shared" si="40"/>
        <v>0.0103104543472</v>
      </c>
      <c r="BM26">
        <f t="shared" si="41"/>
        <v>0.00348</v>
      </c>
      <c r="BN26">
        <f t="shared" si="42"/>
        <v>6.125e-6</v>
      </c>
      <c r="BO26" s="217">
        <f t="shared" si="43"/>
        <v>0.0911631015781353</v>
      </c>
      <c r="BP26" s="220">
        <f t="shared" si="60"/>
        <v>91.1631015781353</v>
      </c>
      <c r="BQ26" s="217">
        <f t="shared" si="44"/>
        <v>0.0919181049792264</v>
      </c>
      <c r="BR26" s="217"/>
      <c r="BT26" s="220">
        <f t="shared" si="61"/>
        <v>91.9181049792264</v>
      </c>
      <c r="BU26" s="217">
        <f t="shared" si="45"/>
        <v>0.00342506834436966</v>
      </c>
      <c r="BV26" s="217">
        <f t="shared" si="46"/>
        <v>0.0035598818027305</v>
      </c>
      <c r="BW26" s="217">
        <f t="shared" si="47"/>
        <v>0</v>
      </c>
      <c r="BX26" s="217">
        <f t="shared" si="48"/>
        <v>0.0096446205785125</v>
      </c>
      <c r="BY26" s="217">
        <f t="shared" si="49"/>
        <v>0.00686933333333333</v>
      </c>
      <c r="BZ26" s="220">
        <f t="shared" si="62"/>
        <v>16.5139539118458</v>
      </c>
      <c r="CA26" s="5">
        <f t="shared" si="63"/>
        <v>0.199595160469208</v>
      </c>
      <c r="CB26" s="192">
        <f t="shared" si="64"/>
        <v>1.89</v>
      </c>
      <c r="CC26" s="5">
        <f t="shared" si="65"/>
        <v>0.904481420973243</v>
      </c>
      <c r="CD26" s="192">
        <f t="shared" si="66"/>
        <v>90.4481420973243</v>
      </c>
      <c r="CG26" s="227">
        <f t="shared" si="50"/>
        <v>-50</v>
      </c>
      <c r="CH26">
        <f t="shared" si="51"/>
        <v>-50</v>
      </c>
    </row>
    <row r="27" spans="5:86">
      <c r="E27" s="22">
        <v>22</v>
      </c>
      <c r="F27" s="25">
        <f t="shared" si="52"/>
        <v>0.11</v>
      </c>
      <c r="G27" s="25"/>
      <c r="H27" s="25">
        <f t="shared" si="0"/>
        <v>1.98</v>
      </c>
      <c r="I27" s="212">
        <f t="shared" si="1"/>
        <v>12</v>
      </c>
      <c r="J27" s="27">
        <f t="shared" si="2"/>
        <v>12.2728</v>
      </c>
      <c r="K27" s="131">
        <f t="shared" si="3"/>
        <v>24.2728</v>
      </c>
      <c r="L27" s="131"/>
      <c r="M27" s="25">
        <f t="shared" si="4"/>
        <v>0.505619458818101</v>
      </c>
      <c r="N27" s="27">
        <f t="shared" si="5"/>
        <v>4.09551761642662</v>
      </c>
      <c r="O27" s="27">
        <f t="shared" si="53"/>
        <v>1.98</v>
      </c>
      <c r="P27" s="25">
        <f t="shared" si="6"/>
        <v>0.227528756468145</v>
      </c>
      <c r="Q27" s="25">
        <f t="shared" si="7"/>
        <v>18</v>
      </c>
      <c r="R27" s="25">
        <f t="shared" si="8"/>
        <v>0.25280972940905</v>
      </c>
      <c r="S27" s="27">
        <f t="shared" si="9"/>
        <v>55.7734694701796</v>
      </c>
      <c r="T27" s="27">
        <f t="shared" si="10"/>
        <v>18</v>
      </c>
      <c r="U27" s="25">
        <f t="shared" si="11"/>
        <v>0.725183060643591</v>
      </c>
      <c r="V27" s="25">
        <f t="shared" si="12"/>
        <v>1.51079804300748</v>
      </c>
      <c r="W27" s="25">
        <f t="shared" si="13"/>
        <v>1.47721599929028</v>
      </c>
      <c r="X27" s="24">
        <f t="shared" si="14"/>
        <v>350</v>
      </c>
      <c r="Y27" s="131">
        <f t="shared" si="54"/>
        <v>334.670448613758</v>
      </c>
      <c r="AA27" s="25">
        <f t="shared" si="15"/>
        <v>0.693420972093396</v>
      </c>
      <c r="AB27" s="5">
        <f t="shared" si="16"/>
        <v>1.41251583194828</v>
      </c>
      <c r="AC27" s="5">
        <f t="shared" si="17"/>
        <v>0.114328414122712</v>
      </c>
      <c r="AD27" s="5"/>
      <c r="AE27" s="5">
        <f t="shared" si="18"/>
        <v>0.611107489733394</v>
      </c>
      <c r="AF27" s="216">
        <f t="shared" si="19"/>
        <v>1799.11111111111</v>
      </c>
      <c r="AG27" s="217">
        <f t="shared" si="20"/>
        <v>0.0213994565217391</v>
      </c>
      <c r="AI27" s="5">
        <f t="shared" si="21"/>
        <v>0.716960072829545</v>
      </c>
      <c r="AJ27" s="5">
        <f t="shared" si="22"/>
        <v>0.716960072829545</v>
      </c>
      <c r="AK27" s="5">
        <f t="shared" si="23"/>
        <v>1.47797338188636</v>
      </c>
      <c r="AM27" s="216">
        <f t="shared" si="24"/>
        <v>110</v>
      </c>
      <c r="AN27" s="220">
        <f t="shared" si="25"/>
        <v>334.670448613758</v>
      </c>
      <c r="AP27">
        <f t="shared" si="26"/>
        <v>110</v>
      </c>
      <c r="AQ27" s="220">
        <f t="shared" si="27"/>
        <v>334.670448613758</v>
      </c>
      <c r="AR27" s="220"/>
      <c r="AS27" s="192">
        <f t="shared" si="55"/>
        <v>2.98801404229776</v>
      </c>
      <c r="AT27" s="192">
        <f t="shared" si="28"/>
        <v>1.49366681839488</v>
      </c>
      <c r="AU27" s="192">
        <f t="shared" si="56"/>
        <v>1.49434722390288</v>
      </c>
      <c r="AV27" s="192">
        <f t="shared" si="29"/>
        <v>1.46046556781978</v>
      </c>
      <c r="AW27" s="5">
        <f t="shared" si="57"/>
        <v>0.4998861441917</v>
      </c>
      <c r="AX27" s="5">
        <f t="shared" si="30"/>
        <v>2.15039043807697</v>
      </c>
      <c r="AY27" s="5">
        <f t="shared" si="31"/>
        <v>0.119580315772208</v>
      </c>
      <c r="AZ27" s="5">
        <f t="shared" si="58"/>
        <v>17.9828128416495</v>
      </c>
      <c r="BA27" s="220">
        <f t="shared" si="32"/>
        <v>4.91946604768167</v>
      </c>
      <c r="BB27" s="220">
        <f t="shared" si="33"/>
        <v>8.29262440022146</v>
      </c>
      <c r="BC27" s="192">
        <f t="shared" si="34"/>
        <v>0.456606096192546</v>
      </c>
      <c r="BD27" s="220">
        <f t="shared" si="35"/>
        <v>3.28963657715528</v>
      </c>
      <c r="BE27" s="192"/>
      <c r="BF27" s="5">
        <f t="shared" si="59"/>
        <v>0.29266439683019</v>
      </c>
      <c r="BG27" s="5">
        <f t="shared" si="36"/>
        <v>0.195251608684197</v>
      </c>
      <c r="BH27" s="5"/>
      <c r="BI27" s="217">
        <f t="shared" si="37"/>
        <v>0.0299783572101926</v>
      </c>
      <c r="BJ27" s="217">
        <f t="shared" si="38"/>
        <v>0.0291207273617671</v>
      </c>
      <c r="BK27" s="217">
        <f t="shared" si="39"/>
        <v>0.00418338060767197</v>
      </c>
      <c r="BL27" s="217">
        <f t="shared" si="40"/>
        <v>0.00985886966225455</v>
      </c>
      <c r="BM27">
        <f t="shared" si="41"/>
        <v>0.00348</v>
      </c>
      <c r="BN27">
        <f t="shared" si="42"/>
        <v>5.85673285074076e-6</v>
      </c>
      <c r="BO27" s="217">
        <f t="shared" si="43"/>
        <v>0.0909770697733709</v>
      </c>
      <c r="BP27" s="220">
        <f t="shared" si="60"/>
        <v>90.9770697733709</v>
      </c>
      <c r="BQ27" s="217">
        <f t="shared" si="44"/>
        <v>0.0968213206547296</v>
      </c>
      <c r="BR27" s="217"/>
      <c r="BT27" s="220">
        <f t="shared" si="61"/>
        <v>96.8213206547296</v>
      </c>
      <c r="BU27" s="217">
        <f t="shared" si="45"/>
        <v>0.00351175041605114</v>
      </c>
      <c r="BV27" s="217">
        <f t="shared" si="46"/>
        <v>0.00381231906937666</v>
      </c>
      <c r="BW27" s="217">
        <f t="shared" si="47"/>
        <v>0</v>
      </c>
      <c r="BX27" s="217">
        <f t="shared" si="48"/>
        <v>0.010113141437939</v>
      </c>
      <c r="BY27" s="217">
        <f t="shared" si="49"/>
        <v>0.0068812494018463</v>
      </c>
      <c r="BZ27" s="220">
        <f t="shared" si="62"/>
        <v>16.9943908397853</v>
      </c>
      <c r="CA27" s="5">
        <f t="shared" si="63"/>
        <v>0.204792781267886</v>
      </c>
      <c r="CB27" s="192">
        <f t="shared" si="64"/>
        <v>1.98</v>
      </c>
      <c r="CC27" s="5">
        <f t="shared" si="65"/>
        <v>0.906264437056113</v>
      </c>
      <c r="CD27" s="192">
        <f t="shared" si="66"/>
        <v>90.6264437056113</v>
      </c>
      <c r="CG27" s="227">
        <f t="shared" si="50"/>
        <v>-50</v>
      </c>
      <c r="CH27">
        <f t="shared" si="51"/>
        <v>-50</v>
      </c>
    </row>
    <row r="28" spans="5:86">
      <c r="E28" s="22">
        <v>23</v>
      </c>
      <c r="F28" s="25">
        <f t="shared" si="52"/>
        <v>0.115</v>
      </c>
      <c r="G28" s="25"/>
      <c r="H28" s="25">
        <f t="shared" si="0"/>
        <v>2.07</v>
      </c>
      <c r="I28" s="212">
        <f t="shared" si="1"/>
        <v>12</v>
      </c>
      <c r="J28" s="27">
        <f t="shared" si="2"/>
        <v>12.2728</v>
      </c>
      <c r="K28" s="131">
        <f t="shared" si="3"/>
        <v>24.2728</v>
      </c>
      <c r="L28" s="131"/>
      <c r="M28" s="25">
        <f t="shared" si="4"/>
        <v>0.505619458818101</v>
      </c>
      <c r="N28" s="27">
        <f t="shared" si="5"/>
        <v>4.09551761642662</v>
      </c>
      <c r="O28" s="27">
        <f t="shared" si="53"/>
        <v>2.07</v>
      </c>
      <c r="P28" s="25">
        <f t="shared" si="6"/>
        <v>0.227528756468145</v>
      </c>
      <c r="Q28" s="25">
        <f t="shared" si="7"/>
        <v>18</v>
      </c>
      <c r="R28" s="25">
        <f t="shared" si="8"/>
        <v>0.25280972940905</v>
      </c>
      <c r="S28" s="27">
        <f t="shared" si="9"/>
        <v>52.579611530466</v>
      </c>
      <c r="T28" s="27">
        <f t="shared" si="10"/>
        <v>18</v>
      </c>
      <c r="U28" s="25">
        <f t="shared" si="11"/>
        <v>0.758145927036482</v>
      </c>
      <c r="V28" s="25">
        <f t="shared" si="12"/>
        <v>1.579470681326</v>
      </c>
      <c r="W28" s="25">
        <f t="shared" si="13"/>
        <v>1.54436218107621</v>
      </c>
      <c r="X28" s="24">
        <f t="shared" si="14"/>
        <v>350</v>
      </c>
      <c r="Y28" s="131">
        <f t="shared" si="54"/>
        <v>320.119559543594</v>
      </c>
      <c r="AA28" s="25">
        <f t="shared" si="15"/>
        <v>0.693420972093396</v>
      </c>
      <c r="AB28" s="5">
        <f t="shared" si="16"/>
        <v>1.41251583194828</v>
      </c>
      <c r="AC28" s="5">
        <f t="shared" si="17"/>
        <v>0.114328414122712</v>
      </c>
      <c r="AD28" s="5"/>
      <c r="AE28" s="5">
        <f t="shared" si="18"/>
        <v>0.611107489733394</v>
      </c>
      <c r="AF28" s="216">
        <f t="shared" si="19"/>
        <v>1880.88888888889</v>
      </c>
      <c r="AG28" s="217">
        <f t="shared" si="20"/>
        <v>0.0213994565217391</v>
      </c>
      <c r="AI28" s="5">
        <f t="shared" si="21"/>
        <v>0.733073547058428</v>
      </c>
      <c r="AJ28" s="5">
        <f t="shared" si="22"/>
        <v>0.758145927036482</v>
      </c>
      <c r="AK28" s="5">
        <f t="shared" si="23"/>
        <v>1.50543061802432</v>
      </c>
      <c r="AM28" s="216">
        <f t="shared" si="24"/>
        <v>115</v>
      </c>
      <c r="AN28" s="220">
        <f t="shared" si="25"/>
        <v>320.119559543594</v>
      </c>
      <c r="AP28">
        <f t="shared" si="26"/>
        <v>115</v>
      </c>
      <c r="AQ28" s="220">
        <f t="shared" si="27"/>
        <v>320.119559543594</v>
      </c>
      <c r="AR28" s="220"/>
      <c r="AS28" s="192">
        <f t="shared" si="55"/>
        <v>3.12383286240221</v>
      </c>
      <c r="AT28" s="192">
        <f t="shared" si="28"/>
        <v>1.579470681326</v>
      </c>
      <c r="AU28" s="192">
        <f t="shared" si="56"/>
        <v>1.54436218107621</v>
      </c>
      <c r="AV28" s="192">
        <f t="shared" si="29"/>
        <v>1.54436218107621</v>
      </c>
      <c r="AW28" s="5">
        <f t="shared" si="57"/>
        <v>0.505619458818101</v>
      </c>
      <c r="AX28" s="5">
        <f t="shared" si="30"/>
        <v>2.3</v>
      </c>
      <c r="AY28" s="5">
        <f t="shared" si="31"/>
        <v>0.125</v>
      </c>
      <c r="AZ28" s="5">
        <f t="shared" si="58"/>
        <v>18.4</v>
      </c>
      <c r="BA28" s="220">
        <f t="shared" si="32"/>
        <v>4.91946604768167</v>
      </c>
      <c r="BB28" s="220">
        <f t="shared" si="33"/>
        <v>9.04795104900238</v>
      </c>
      <c r="BC28" s="192">
        <f t="shared" si="34"/>
        <v>0.493337918954899</v>
      </c>
      <c r="BD28" s="220">
        <f t="shared" si="35"/>
        <v>3.53502751372939</v>
      </c>
      <c r="BE28" s="192"/>
      <c r="BF28" s="5">
        <f t="shared" si="59"/>
        <v>0.311246207668455</v>
      </c>
      <c r="BG28" s="5">
        <f t="shared" si="36"/>
        <v>0.205280972761184</v>
      </c>
      <c r="BH28" s="5"/>
      <c r="BI28" s="217">
        <f t="shared" si="37"/>
        <v>0.0339059706257982</v>
      </c>
      <c r="BJ28" s="217">
        <f t="shared" si="38"/>
        <v>0.02945472</v>
      </c>
      <c r="BK28" s="217">
        <f t="shared" si="39"/>
        <v>0.00400149449429493</v>
      </c>
      <c r="BL28" s="217">
        <f t="shared" si="40"/>
        <v>0.00943022315519999</v>
      </c>
      <c r="BM28">
        <f t="shared" si="41"/>
        <v>0.00348</v>
      </c>
      <c r="BN28">
        <f t="shared" si="42"/>
        <v>5.6020922920129e-6</v>
      </c>
      <c r="BO28" s="217">
        <f t="shared" si="43"/>
        <v>0.0966154736032326</v>
      </c>
      <c r="BP28" s="220">
        <f t="shared" si="60"/>
        <v>96.6154736032326</v>
      </c>
      <c r="BQ28" s="217">
        <f t="shared" si="44"/>
        <v>0.102671738263889</v>
      </c>
      <c r="BR28" s="217"/>
      <c r="BT28" s="220">
        <f t="shared" si="61"/>
        <v>102.671738263889</v>
      </c>
      <c r="BU28" s="217">
        <f t="shared" si="45"/>
        <v>0.00397184227330779</v>
      </c>
      <c r="BV28" s="217">
        <f t="shared" si="46"/>
        <v>0.00421402777777778</v>
      </c>
      <c r="BW28" s="217">
        <f t="shared" si="47"/>
        <v>0</v>
      </c>
      <c r="BX28" s="217">
        <f t="shared" si="48"/>
        <v>0.0113039032531461</v>
      </c>
      <c r="BY28" s="217">
        <f t="shared" si="49"/>
        <v>0.00736</v>
      </c>
      <c r="BZ28" s="220">
        <f t="shared" si="62"/>
        <v>18.6639032531461</v>
      </c>
      <c r="CA28" s="5">
        <f t="shared" si="63"/>
        <v>0.217951115120268</v>
      </c>
      <c r="CB28" s="192">
        <f t="shared" si="64"/>
        <v>2.07</v>
      </c>
      <c r="CC28" s="5">
        <f t="shared" si="65"/>
        <v>0.904739610177899</v>
      </c>
      <c r="CD28" s="192">
        <f t="shared" si="66"/>
        <v>90.4739610177899</v>
      </c>
      <c r="CG28" s="227">
        <f t="shared" si="50"/>
        <v>-50</v>
      </c>
      <c r="CH28">
        <f t="shared" si="51"/>
        <v>-50</v>
      </c>
    </row>
    <row r="29" spans="5:86">
      <c r="E29" s="22">
        <v>24</v>
      </c>
      <c r="F29" s="25">
        <f t="shared" si="52"/>
        <v>0.12</v>
      </c>
      <c r="G29" s="25"/>
      <c r="H29" s="25">
        <f t="shared" si="0"/>
        <v>2.16</v>
      </c>
      <c r="I29" s="212">
        <f t="shared" si="1"/>
        <v>12</v>
      </c>
      <c r="J29" s="27">
        <f t="shared" si="2"/>
        <v>12.2728</v>
      </c>
      <c r="K29" s="131">
        <f t="shared" si="3"/>
        <v>24.2728</v>
      </c>
      <c r="L29" s="131"/>
      <c r="M29" s="25">
        <f t="shared" si="4"/>
        <v>0.505619458818101</v>
      </c>
      <c r="N29" s="27">
        <f t="shared" si="5"/>
        <v>4.09551761642662</v>
      </c>
      <c r="O29" s="27">
        <f t="shared" si="53"/>
        <v>2.16</v>
      </c>
      <c r="P29" s="25">
        <f t="shared" si="6"/>
        <v>0.227528756468145</v>
      </c>
      <c r="Q29" s="25">
        <f t="shared" si="7"/>
        <v>18</v>
      </c>
      <c r="R29" s="25">
        <f t="shared" si="8"/>
        <v>0.25280972940905</v>
      </c>
      <c r="S29" s="27">
        <f t="shared" si="9"/>
        <v>49.6527717915834</v>
      </c>
      <c r="T29" s="27">
        <f t="shared" si="10"/>
        <v>18</v>
      </c>
      <c r="U29" s="25">
        <f t="shared" si="11"/>
        <v>0.791108793429372</v>
      </c>
      <c r="V29" s="25">
        <f t="shared" si="12"/>
        <v>1.64814331964452</v>
      </c>
      <c r="W29" s="25">
        <f t="shared" si="13"/>
        <v>1.61150836286213</v>
      </c>
      <c r="X29" s="24">
        <f t="shared" si="14"/>
        <v>350</v>
      </c>
      <c r="Y29" s="131">
        <f t="shared" si="54"/>
        <v>306.781244562611</v>
      </c>
      <c r="AA29" s="25">
        <f t="shared" si="15"/>
        <v>0.693420972093396</v>
      </c>
      <c r="AB29" s="5">
        <f t="shared" si="16"/>
        <v>1.41251583194828</v>
      </c>
      <c r="AC29" s="5">
        <f t="shared" si="17"/>
        <v>0.114328414122712</v>
      </c>
      <c r="AD29" s="5"/>
      <c r="AE29" s="5">
        <f t="shared" si="18"/>
        <v>0.611107489733394</v>
      </c>
      <c r="AF29" s="216">
        <f t="shared" si="19"/>
        <v>1962.66666666667</v>
      </c>
      <c r="AG29" s="217">
        <f t="shared" si="20"/>
        <v>0.0213994565217391</v>
      </c>
      <c r="AI29" s="5">
        <f t="shared" si="21"/>
        <v>0.748840373351961</v>
      </c>
      <c r="AJ29" s="5">
        <f t="shared" si="22"/>
        <v>0.791108793429372</v>
      </c>
      <c r="AK29" s="5">
        <f t="shared" si="23"/>
        <v>1.52740586228625</v>
      </c>
      <c r="AM29" s="216">
        <f t="shared" si="24"/>
        <v>120</v>
      </c>
      <c r="AN29" s="220">
        <f t="shared" si="25"/>
        <v>306.781244562611</v>
      </c>
      <c r="AP29">
        <f t="shared" si="26"/>
        <v>120</v>
      </c>
      <c r="AQ29" s="220">
        <f t="shared" si="27"/>
        <v>306.781244562611</v>
      </c>
      <c r="AR29" s="220"/>
      <c r="AS29" s="192">
        <f t="shared" si="55"/>
        <v>3.25965168250665</v>
      </c>
      <c r="AT29" s="192">
        <f t="shared" si="28"/>
        <v>1.64814331964452</v>
      </c>
      <c r="AU29" s="192">
        <f t="shared" si="56"/>
        <v>1.61150836286213</v>
      </c>
      <c r="AV29" s="192">
        <f t="shared" si="29"/>
        <v>1.61150836286213</v>
      </c>
      <c r="AW29" s="5">
        <f t="shared" si="57"/>
        <v>0.505619458818101</v>
      </c>
      <c r="AX29" s="5">
        <f t="shared" si="30"/>
        <v>2.4</v>
      </c>
      <c r="AY29" s="5">
        <f t="shared" si="31"/>
        <v>0.130434782608696</v>
      </c>
      <c r="AZ29" s="5">
        <f t="shared" si="58"/>
        <v>18.4</v>
      </c>
      <c r="BA29" s="220">
        <f t="shared" si="32"/>
        <v>4.91946604768167</v>
      </c>
      <c r="BB29" s="220">
        <f t="shared" si="33"/>
        <v>9.83618110439579</v>
      </c>
      <c r="BC29" s="192">
        <f t="shared" si="34"/>
        <v>0.537169454287376</v>
      </c>
      <c r="BD29" s="220">
        <f t="shared" si="35"/>
        <v>3.82301672572425</v>
      </c>
      <c r="BE29" s="192"/>
      <c r="BF29" s="5">
        <f t="shared" si="59"/>
        <v>0.324778651480127</v>
      </c>
      <c r="BG29" s="5">
        <f t="shared" si="36"/>
        <v>0.214206232446452</v>
      </c>
      <c r="BH29" s="5"/>
      <c r="BI29" s="217">
        <f t="shared" si="37"/>
        <v>0.0369184103600373</v>
      </c>
      <c r="BJ29" s="217">
        <f t="shared" si="38"/>
        <v>0.02945472</v>
      </c>
      <c r="BK29" s="217">
        <f t="shared" si="39"/>
        <v>0.00383476555703264</v>
      </c>
      <c r="BL29" s="217">
        <f t="shared" si="40"/>
        <v>0.0090372971904</v>
      </c>
      <c r="BM29">
        <f t="shared" si="41"/>
        <v>0.00348</v>
      </c>
      <c r="BN29">
        <f t="shared" si="42"/>
        <v>5.3686717798457e-6</v>
      </c>
      <c r="BO29" s="217">
        <f t="shared" si="43"/>
        <v>0.100602351588935</v>
      </c>
      <c r="BP29" s="220">
        <f t="shared" si="60"/>
        <v>100.602351588935</v>
      </c>
      <c r="BQ29" s="217">
        <f t="shared" si="44"/>
        <v>0.108348888922495</v>
      </c>
      <c r="BR29" s="217"/>
      <c r="BT29" s="220">
        <f t="shared" si="61"/>
        <v>108.348888922495</v>
      </c>
      <c r="BU29" s="217">
        <f t="shared" si="45"/>
        <v>0.00432472807074723</v>
      </c>
      <c r="BV29" s="217">
        <f t="shared" si="46"/>
        <v>0.00458843100189036</v>
      </c>
      <c r="BW29" s="217">
        <f t="shared" si="47"/>
        <v>0</v>
      </c>
      <c r="BX29" s="217">
        <f t="shared" si="48"/>
        <v>0.0123089364409209</v>
      </c>
      <c r="BY29" s="217">
        <f t="shared" si="49"/>
        <v>0.00768</v>
      </c>
      <c r="BZ29" s="220">
        <f t="shared" si="62"/>
        <v>19.9889364409209</v>
      </c>
      <c r="CA29" s="5">
        <f t="shared" si="63"/>
        <v>0.228940176952351</v>
      </c>
      <c r="CB29" s="192">
        <f t="shared" si="64"/>
        <v>2.16</v>
      </c>
      <c r="CC29" s="5">
        <f t="shared" si="65"/>
        <v>0.904166634576669</v>
      </c>
      <c r="CD29" s="192">
        <f t="shared" si="66"/>
        <v>90.4166634576669</v>
      </c>
      <c r="CG29" s="227">
        <f t="shared" si="50"/>
        <v>-50</v>
      </c>
      <c r="CH29">
        <f t="shared" si="51"/>
        <v>-50</v>
      </c>
    </row>
    <row r="30" spans="5:86">
      <c r="E30" s="22">
        <v>25</v>
      </c>
      <c r="F30" s="25">
        <f t="shared" si="52"/>
        <v>0.125</v>
      </c>
      <c r="G30" s="25"/>
      <c r="H30" s="25">
        <f t="shared" si="0"/>
        <v>2.25</v>
      </c>
      <c r="I30" s="212">
        <f t="shared" si="1"/>
        <v>12</v>
      </c>
      <c r="J30" s="27">
        <f t="shared" si="2"/>
        <v>12.2728</v>
      </c>
      <c r="K30" s="131">
        <f t="shared" si="3"/>
        <v>24.2728</v>
      </c>
      <c r="L30" s="131"/>
      <c r="M30" s="25">
        <f t="shared" si="4"/>
        <v>0.505619458818101</v>
      </c>
      <c r="N30" s="27">
        <f t="shared" si="5"/>
        <v>4.09551761642662</v>
      </c>
      <c r="O30" s="27">
        <f t="shared" si="53"/>
        <v>2.25</v>
      </c>
      <c r="P30" s="25">
        <f t="shared" si="6"/>
        <v>0.227528756468145</v>
      </c>
      <c r="Q30" s="25">
        <f t="shared" si="7"/>
        <v>18</v>
      </c>
      <c r="R30" s="25">
        <f t="shared" si="8"/>
        <v>0.25280972940905</v>
      </c>
      <c r="S30" s="27">
        <f t="shared" si="9"/>
        <v>46.9609435265753</v>
      </c>
      <c r="T30" s="27">
        <f t="shared" si="10"/>
        <v>18</v>
      </c>
      <c r="U30" s="25">
        <f t="shared" si="11"/>
        <v>0.824071659822263</v>
      </c>
      <c r="V30" s="25">
        <f t="shared" si="12"/>
        <v>1.71681595796305</v>
      </c>
      <c r="W30" s="25">
        <f t="shared" si="13"/>
        <v>1.67865454464805</v>
      </c>
      <c r="X30" s="24">
        <f t="shared" si="14"/>
        <v>350</v>
      </c>
      <c r="Y30" s="131">
        <f t="shared" si="54"/>
        <v>294.509994780107</v>
      </c>
      <c r="AA30" s="25">
        <f t="shared" si="15"/>
        <v>0.693420972093396</v>
      </c>
      <c r="AB30" s="5">
        <f t="shared" si="16"/>
        <v>1.41251583194828</v>
      </c>
      <c r="AC30" s="5">
        <f t="shared" si="17"/>
        <v>0.114328414122712</v>
      </c>
      <c r="AD30" s="5"/>
      <c r="AE30" s="5">
        <f t="shared" si="18"/>
        <v>0.611107489733394</v>
      </c>
      <c r="AF30" s="216">
        <f t="shared" si="19"/>
        <v>2044.44444444444</v>
      </c>
      <c r="AG30" s="217">
        <f t="shared" si="20"/>
        <v>0.0213994565217391</v>
      </c>
      <c r="AI30" s="5">
        <f t="shared" si="21"/>
        <v>0.764282005628148</v>
      </c>
      <c r="AJ30" s="5">
        <f t="shared" si="22"/>
        <v>0.824071659822263</v>
      </c>
      <c r="AK30" s="5">
        <f t="shared" si="23"/>
        <v>1.54938110654818</v>
      </c>
      <c r="AM30" s="216">
        <f t="shared" si="24"/>
        <v>125</v>
      </c>
      <c r="AN30" s="220">
        <f t="shared" si="25"/>
        <v>294.509994780107</v>
      </c>
      <c r="AP30">
        <f t="shared" si="26"/>
        <v>125</v>
      </c>
      <c r="AQ30" s="220">
        <f t="shared" si="27"/>
        <v>294.509994780107</v>
      </c>
      <c r="AR30" s="220"/>
      <c r="AS30" s="192">
        <f t="shared" si="55"/>
        <v>3.3954705026111</v>
      </c>
      <c r="AT30" s="192">
        <f t="shared" si="28"/>
        <v>1.71681595796305</v>
      </c>
      <c r="AU30" s="192">
        <f t="shared" si="56"/>
        <v>1.67865454464805</v>
      </c>
      <c r="AV30" s="192">
        <f t="shared" si="29"/>
        <v>1.67865454464805</v>
      </c>
      <c r="AW30" s="5">
        <f t="shared" si="57"/>
        <v>0.505619458818101</v>
      </c>
      <c r="AX30" s="5">
        <f t="shared" si="30"/>
        <v>2.5</v>
      </c>
      <c r="AY30" s="5">
        <f t="shared" si="31"/>
        <v>0.135869565217391</v>
      </c>
      <c r="AZ30" s="5">
        <f t="shared" si="58"/>
        <v>18.4</v>
      </c>
      <c r="BA30" s="220">
        <f t="shared" si="32"/>
        <v>4.91946604768167</v>
      </c>
      <c r="BB30" s="220">
        <f t="shared" si="33"/>
        <v>10.6573145664017</v>
      </c>
      <c r="BC30" s="192">
        <f t="shared" si="34"/>
        <v>0.582866161336128</v>
      </c>
      <c r="BD30" s="220">
        <f t="shared" si="35"/>
        <v>4.12219696801677</v>
      </c>
      <c r="BE30" s="192"/>
      <c r="BF30" s="5">
        <f t="shared" si="59"/>
        <v>0.338311095291799</v>
      </c>
      <c r="BG30" s="5">
        <f t="shared" si="36"/>
        <v>0.223131492131721</v>
      </c>
      <c r="BH30" s="5"/>
      <c r="BI30" s="217">
        <f t="shared" si="37"/>
        <v>0.0400590390191378</v>
      </c>
      <c r="BJ30" s="217">
        <f t="shared" si="38"/>
        <v>0.02945472</v>
      </c>
      <c r="BK30" s="217">
        <f t="shared" si="39"/>
        <v>0.00368137493475133</v>
      </c>
      <c r="BL30" s="217">
        <f t="shared" si="40"/>
        <v>0.008675805302784</v>
      </c>
      <c r="BM30">
        <f t="shared" si="41"/>
        <v>0.00348</v>
      </c>
      <c r="BN30">
        <f t="shared" si="42"/>
        <v>5.15392490865186e-6</v>
      </c>
      <c r="BO30" s="217">
        <f t="shared" si="43"/>
        <v>0.104843799659339</v>
      </c>
      <c r="BP30" s="220">
        <f t="shared" si="60"/>
        <v>104.843799659339</v>
      </c>
      <c r="BQ30" s="217">
        <f t="shared" si="44"/>
        <v>0.114127136417638</v>
      </c>
      <c r="BR30" s="217"/>
      <c r="BT30" s="220">
        <f t="shared" si="61"/>
        <v>114.127136417638</v>
      </c>
      <c r="BU30" s="217">
        <f t="shared" si="45"/>
        <v>0.004692630285099</v>
      </c>
      <c r="BV30" s="217">
        <f t="shared" si="46"/>
        <v>0.00497876627809284</v>
      </c>
      <c r="BW30" s="217">
        <f t="shared" si="47"/>
        <v>0</v>
      </c>
      <c r="BX30" s="217">
        <f t="shared" si="48"/>
        <v>0.0133568616176483</v>
      </c>
      <c r="BY30" s="217">
        <f t="shared" si="49"/>
        <v>0.008</v>
      </c>
      <c r="BZ30" s="220">
        <f t="shared" si="62"/>
        <v>21.3568616176483</v>
      </c>
      <c r="CA30" s="5">
        <f t="shared" si="63"/>
        <v>0.240327797694625</v>
      </c>
      <c r="CB30" s="192">
        <f t="shared" si="64"/>
        <v>2.25</v>
      </c>
      <c r="CC30" s="5">
        <f t="shared" si="65"/>
        <v>0.903495516567295</v>
      </c>
      <c r="CD30" s="192">
        <f t="shared" si="66"/>
        <v>90.3495516567295</v>
      </c>
      <c r="CG30" s="227">
        <f t="shared" si="50"/>
        <v>-50</v>
      </c>
      <c r="CH30">
        <f t="shared" si="51"/>
        <v>-50</v>
      </c>
    </row>
    <row r="31" spans="5:86">
      <c r="E31" s="22">
        <v>26</v>
      </c>
      <c r="F31" s="25">
        <f t="shared" si="52"/>
        <v>0.13</v>
      </c>
      <c r="G31" s="25"/>
      <c r="H31" s="25">
        <f t="shared" si="0"/>
        <v>2.34</v>
      </c>
      <c r="I31" s="212">
        <f t="shared" si="1"/>
        <v>12</v>
      </c>
      <c r="J31" s="27">
        <f t="shared" si="2"/>
        <v>12.2728</v>
      </c>
      <c r="K31" s="131">
        <f t="shared" si="3"/>
        <v>24.2728</v>
      </c>
      <c r="L31" s="131"/>
      <c r="M31" s="25">
        <f t="shared" si="4"/>
        <v>0.505619458818101</v>
      </c>
      <c r="N31" s="27">
        <f t="shared" si="5"/>
        <v>4.09551761642662</v>
      </c>
      <c r="O31" s="27">
        <f t="shared" si="53"/>
        <v>2.34</v>
      </c>
      <c r="P31" s="25">
        <f t="shared" si="6"/>
        <v>0.227528756468145</v>
      </c>
      <c r="Q31" s="25">
        <f t="shared" si="7"/>
        <v>18</v>
      </c>
      <c r="R31" s="25">
        <f t="shared" si="8"/>
        <v>0.25280972940905</v>
      </c>
      <c r="S31" s="27">
        <f t="shared" si="9"/>
        <v>44.477045998387</v>
      </c>
      <c r="T31" s="27">
        <f t="shared" si="10"/>
        <v>18</v>
      </c>
      <c r="U31" s="25">
        <f t="shared" si="11"/>
        <v>0.857034526215153</v>
      </c>
      <c r="V31" s="25">
        <f t="shared" si="12"/>
        <v>1.78548859628157</v>
      </c>
      <c r="W31" s="25">
        <f t="shared" si="13"/>
        <v>1.74580072643397</v>
      </c>
      <c r="X31" s="24">
        <f t="shared" si="14"/>
        <v>350</v>
      </c>
      <c r="Y31" s="131">
        <f t="shared" si="54"/>
        <v>283.182687288564</v>
      </c>
      <c r="AA31" s="25">
        <f t="shared" si="15"/>
        <v>0.693420972093396</v>
      </c>
      <c r="AB31" s="5">
        <f t="shared" si="16"/>
        <v>1.41251583194828</v>
      </c>
      <c r="AC31" s="5">
        <f t="shared" si="17"/>
        <v>0.114328414122712</v>
      </c>
      <c r="AD31" s="5"/>
      <c r="AE31" s="5">
        <f t="shared" si="18"/>
        <v>0.611107489733394</v>
      </c>
      <c r="AF31" s="216">
        <f t="shared" si="19"/>
        <v>2126.22222222222</v>
      </c>
      <c r="AG31" s="217">
        <f t="shared" si="20"/>
        <v>0.0213994565217391</v>
      </c>
      <c r="AI31" s="5">
        <f t="shared" si="21"/>
        <v>0.779417772117151</v>
      </c>
      <c r="AJ31" s="5">
        <f t="shared" si="22"/>
        <v>0.857034526215153</v>
      </c>
      <c r="AK31" s="5">
        <f t="shared" si="23"/>
        <v>1.5713563508101</v>
      </c>
      <c r="AM31" s="216">
        <f t="shared" si="24"/>
        <v>130</v>
      </c>
      <c r="AN31" s="220">
        <f t="shared" si="25"/>
        <v>283.182687288564</v>
      </c>
      <c r="AP31">
        <f t="shared" si="26"/>
        <v>130</v>
      </c>
      <c r="AQ31" s="220">
        <f t="shared" si="27"/>
        <v>283.182687288564</v>
      </c>
      <c r="AR31" s="220"/>
      <c r="AS31" s="192">
        <f t="shared" si="55"/>
        <v>3.53128932271554</v>
      </c>
      <c r="AT31" s="192">
        <f t="shared" si="28"/>
        <v>1.78548859628157</v>
      </c>
      <c r="AU31" s="192">
        <f t="shared" si="56"/>
        <v>1.74580072643397</v>
      </c>
      <c r="AV31" s="192">
        <f t="shared" si="29"/>
        <v>1.74580072643397</v>
      </c>
      <c r="AW31" s="5">
        <f t="shared" si="57"/>
        <v>0.505619458818101</v>
      </c>
      <c r="AX31" s="5">
        <f t="shared" si="30"/>
        <v>2.6</v>
      </c>
      <c r="AY31" s="5">
        <f t="shared" si="31"/>
        <v>0.141304347826087</v>
      </c>
      <c r="AZ31" s="5">
        <f t="shared" si="58"/>
        <v>18.4</v>
      </c>
      <c r="BA31" s="220">
        <f t="shared" si="32"/>
        <v>4.91946604768167</v>
      </c>
      <c r="BB31" s="220">
        <f t="shared" si="33"/>
        <v>11.5113514350201</v>
      </c>
      <c r="BC31" s="192">
        <f t="shared" si="34"/>
        <v>0.630428040101156</v>
      </c>
      <c r="BD31" s="220">
        <f t="shared" si="35"/>
        <v>4.43256824060694</v>
      </c>
      <c r="BE31" s="192"/>
      <c r="BF31" s="5">
        <f t="shared" si="59"/>
        <v>0.35184353910347</v>
      </c>
      <c r="BG31" s="5">
        <f t="shared" si="36"/>
        <v>0.23205675181699</v>
      </c>
      <c r="BH31" s="5"/>
      <c r="BI31" s="217">
        <f t="shared" si="37"/>
        <v>0.0433278566030994</v>
      </c>
      <c r="BJ31" s="217">
        <f t="shared" si="38"/>
        <v>0.02945472</v>
      </c>
      <c r="BK31" s="217">
        <f t="shared" si="39"/>
        <v>0.00353978359110705</v>
      </c>
      <c r="BL31" s="217">
        <f t="shared" si="40"/>
        <v>0.00834212048344616</v>
      </c>
      <c r="BM31">
        <f t="shared" si="41"/>
        <v>0.00348</v>
      </c>
      <c r="BN31">
        <f t="shared" si="42"/>
        <v>4.95569702754987e-6</v>
      </c>
      <c r="BO31" s="217">
        <f t="shared" si="43"/>
        <v>0.109336843810666</v>
      </c>
      <c r="BP31" s="220">
        <f t="shared" si="60"/>
        <v>109.336843810666</v>
      </c>
      <c r="BQ31" s="217">
        <f t="shared" si="44"/>
        <v>0.120006480749317</v>
      </c>
      <c r="BR31" s="217"/>
      <c r="BT31" s="220">
        <f t="shared" si="61"/>
        <v>120.006480749317</v>
      </c>
      <c r="BU31" s="217">
        <f t="shared" si="45"/>
        <v>0.00507554891636307</v>
      </c>
      <c r="BV31" s="217">
        <f t="shared" si="46"/>
        <v>0.00538503360638521</v>
      </c>
      <c r="BW31" s="217">
        <f t="shared" si="47"/>
        <v>0</v>
      </c>
      <c r="BX31" s="217">
        <f t="shared" si="48"/>
        <v>0.0144476943853431</v>
      </c>
      <c r="BY31" s="217">
        <f t="shared" si="49"/>
        <v>0.00832</v>
      </c>
      <c r="BZ31" s="220">
        <f t="shared" si="62"/>
        <v>22.7676943853431</v>
      </c>
      <c r="CA31" s="5">
        <f t="shared" si="63"/>
        <v>0.252111018945327</v>
      </c>
      <c r="CB31" s="192">
        <f t="shared" si="64"/>
        <v>2.34</v>
      </c>
      <c r="CC31" s="5">
        <f t="shared" si="65"/>
        <v>0.902739112212908</v>
      </c>
      <c r="CD31" s="192">
        <f t="shared" si="66"/>
        <v>90.2739112212908</v>
      </c>
      <c r="CG31" s="227">
        <f t="shared" si="50"/>
        <v>-50</v>
      </c>
      <c r="CH31">
        <f t="shared" si="51"/>
        <v>-50</v>
      </c>
    </row>
    <row r="32" spans="5:86">
      <c r="E32" s="22">
        <v>27</v>
      </c>
      <c r="F32" s="25">
        <f t="shared" si="52"/>
        <v>0.135</v>
      </c>
      <c r="G32" s="25"/>
      <c r="H32" s="25">
        <f t="shared" si="0"/>
        <v>2.43</v>
      </c>
      <c r="I32" s="212">
        <f t="shared" si="1"/>
        <v>12</v>
      </c>
      <c r="J32" s="27">
        <f t="shared" si="2"/>
        <v>12.2728</v>
      </c>
      <c r="K32" s="131">
        <f t="shared" si="3"/>
        <v>24.2728</v>
      </c>
      <c r="L32" s="131"/>
      <c r="M32" s="25">
        <f t="shared" si="4"/>
        <v>0.505619458818101</v>
      </c>
      <c r="N32" s="27">
        <f t="shared" si="5"/>
        <v>4.09551761642662</v>
      </c>
      <c r="O32" s="27">
        <f t="shared" si="53"/>
        <v>2.43</v>
      </c>
      <c r="P32" s="25">
        <f t="shared" si="6"/>
        <v>0.227528756468145</v>
      </c>
      <c r="Q32" s="25">
        <f t="shared" si="7"/>
        <v>18</v>
      </c>
      <c r="R32" s="25">
        <f t="shared" si="8"/>
        <v>0.25280972940905</v>
      </c>
      <c r="S32" s="27">
        <f t="shared" si="9"/>
        <v>42.1780123586134</v>
      </c>
      <c r="T32" s="27">
        <f t="shared" si="10"/>
        <v>18</v>
      </c>
      <c r="U32" s="25">
        <f t="shared" si="11"/>
        <v>0.889997392608044</v>
      </c>
      <c r="V32" s="25">
        <f t="shared" si="12"/>
        <v>1.85416123460009</v>
      </c>
      <c r="W32" s="25">
        <f t="shared" si="13"/>
        <v>1.81294690821989</v>
      </c>
      <c r="X32" s="24">
        <f t="shared" si="14"/>
        <v>350</v>
      </c>
      <c r="Y32" s="131">
        <f t="shared" si="54"/>
        <v>272.69443961121</v>
      </c>
      <c r="AA32" s="25">
        <f t="shared" si="15"/>
        <v>0.693420972093396</v>
      </c>
      <c r="AB32" s="5">
        <f t="shared" si="16"/>
        <v>1.41251583194828</v>
      </c>
      <c r="AC32" s="5">
        <f t="shared" si="17"/>
        <v>0.114328414122712</v>
      </c>
      <c r="AD32" s="5"/>
      <c r="AE32" s="5">
        <f t="shared" si="18"/>
        <v>0.611107489733394</v>
      </c>
      <c r="AF32" s="216">
        <f t="shared" si="19"/>
        <v>2208</v>
      </c>
      <c r="AG32" s="217">
        <f t="shared" si="20"/>
        <v>0.0213994565217391</v>
      </c>
      <c r="AI32" s="5">
        <f t="shared" si="21"/>
        <v>0.794265159035157</v>
      </c>
      <c r="AJ32" s="5">
        <f t="shared" si="22"/>
        <v>0.889997392608044</v>
      </c>
      <c r="AK32" s="5">
        <f t="shared" si="23"/>
        <v>1.59333159507203</v>
      </c>
      <c r="AM32" s="216">
        <f t="shared" si="24"/>
        <v>135</v>
      </c>
      <c r="AN32" s="220">
        <f t="shared" si="25"/>
        <v>272.69443961121</v>
      </c>
      <c r="AP32">
        <f t="shared" si="26"/>
        <v>135</v>
      </c>
      <c r="AQ32" s="220">
        <f t="shared" si="27"/>
        <v>272.69443961121</v>
      </c>
      <c r="AR32" s="220"/>
      <c r="AS32" s="192">
        <f t="shared" si="55"/>
        <v>3.66710814281998</v>
      </c>
      <c r="AT32" s="192">
        <f t="shared" si="28"/>
        <v>1.85416123460009</v>
      </c>
      <c r="AU32" s="192">
        <f t="shared" si="56"/>
        <v>1.81294690821989</v>
      </c>
      <c r="AV32" s="192">
        <f t="shared" si="29"/>
        <v>1.81294690821989</v>
      </c>
      <c r="AW32" s="5">
        <f t="shared" si="57"/>
        <v>0.505619458818101</v>
      </c>
      <c r="AX32" s="5">
        <f t="shared" si="30"/>
        <v>2.7</v>
      </c>
      <c r="AY32" s="5">
        <f t="shared" si="31"/>
        <v>0.146739130434783</v>
      </c>
      <c r="AZ32" s="5">
        <f t="shared" si="58"/>
        <v>18.4</v>
      </c>
      <c r="BA32" s="220">
        <f t="shared" si="32"/>
        <v>4.91946604768167</v>
      </c>
      <c r="BB32" s="220">
        <f t="shared" si="33"/>
        <v>12.3982917102509</v>
      </c>
      <c r="BC32" s="192">
        <f t="shared" si="34"/>
        <v>0.67985509058246</v>
      </c>
      <c r="BD32" s="220">
        <f t="shared" si="35"/>
        <v>4.75413054349476</v>
      </c>
      <c r="BE32" s="192"/>
      <c r="BF32" s="5">
        <f t="shared" si="59"/>
        <v>0.365375982915143</v>
      </c>
      <c r="BG32" s="5">
        <f t="shared" si="36"/>
        <v>0.240982011502259</v>
      </c>
      <c r="BH32" s="5"/>
      <c r="BI32" s="217">
        <f t="shared" si="37"/>
        <v>0.0467248631119223</v>
      </c>
      <c r="BJ32" s="217">
        <f t="shared" si="38"/>
        <v>0.02945472</v>
      </c>
      <c r="BK32" s="217">
        <f t="shared" si="39"/>
        <v>0.00340868049514012</v>
      </c>
      <c r="BL32" s="217">
        <f t="shared" si="40"/>
        <v>0.00803315305813333</v>
      </c>
      <c r="BM32">
        <f t="shared" si="41"/>
        <v>0.00348</v>
      </c>
      <c r="BN32">
        <f t="shared" si="42"/>
        <v>4.77215269319617e-6</v>
      </c>
      <c r="BO32" s="217">
        <f t="shared" si="43"/>
        <v>0.114079386129943</v>
      </c>
      <c r="BP32" s="220">
        <f t="shared" si="60"/>
        <v>114.079386129943</v>
      </c>
      <c r="BQ32" s="217">
        <f t="shared" si="44"/>
        <v>0.125986921917533</v>
      </c>
      <c r="BR32" s="217"/>
      <c r="BT32" s="220">
        <f t="shared" si="61"/>
        <v>125.986921917533</v>
      </c>
      <c r="BU32" s="217">
        <f t="shared" si="45"/>
        <v>0.00547348396453947</v>
      </c>
      <c r="BV32" s="217">
        <f t="shared" si="46"/>
        <v>0.00580723298676749</v>
      </c>
      <c r="BW32" s="217">
        <f t="shared" si="47"/>
        <v>0</v>
      </c>
      <c r="BX32" s="217">
        <f t="shared" si="48"/>
        <v>0.0155814509878664</v>
      </c>
      <c r="BY32" s="217">
        <f t="shared" si="49"/>
        <v>0.00864</v>
      </c>
      <c r="BZ32" s="220">
        <f t="shared" si="62"/>
        <v>24.2214509878664</v>
      </c>
      <c r="CA32" s="5">
        <f t="shared" si="63"/>
        <v>0.264287759035343</v>
      </c>
      <c r="CB32" s="192">
        <f t="shared" si="64"/>
        <v>2.43</v>
      </c>
      <c r="CC32" s="5">
        <f t="shared" si="65"/>
        <v>0.90190811721983</v>
      </c>
      <c r="CD32" s="192">
        <f t="shared" si="66"/>
        <v>90.190811721983</v>
      </c>
      <c r="CG32" s="227">
        <f t="shared" si="50"/>
        <v>-50</v>
      </c>
      <c r="CH32">
        <f t="shared" si="51"/>
        <v>-50</v>
      </c>
    </row>
    <row r="33" spans="5:86">
      <c r="E33" s="22">
        <v>28</v>
      </c>
      <c r="F33" s="25">
        <f t="shared" si="52"/>
        <v>0.14</v>
      </c>
      <c r="G33" s="25"/>
      <c r="H33" s="25">
        <f t="shared" si="0"/>
        <v>2.52</v>
      </c>
      <c r="I33" s="212">
        <f t="shared" si="1"/>
        <v>12</v>
      </c>
      <c r="J33" s="27">
        <f t="shared" si="2"/>
        <v>12.2728</v>
      </c>
      <c r="K33" s="131">
        <f t="shared" si="3"/>
        <v>24.2728</v>
      </c>
      <c r="L33" s="131"/>
      <c r="M33" s="25">
        <f t="shared" si="4"/>
        <v>0.505619458818101</v>
      </c>
      <c r="N33" s="27">
        <f t="shared" si="5"/>
        <v>4.09551761642662</v>
      </c>
      <c r="O33" s="27">
        <f t="shared" si="53"/>
        <v>2.52</v>
      </c>
      <c r="P33" s="25">
        <f t="shared" si="6"/>
        <v>0.227528756468145</v>
      </c>
      <c r="Q33" s="25">
        <f t="shared" si="7"/>
        <v>18</v>
      </c>
      <c r="R33" s="25">
        <f t="shared" si="8"/>
        <v>0.25280972940905</v>
      </c>
      <c r="S33" s="27">
        <f t="shared" si="9"/>
        <v>40.0440730050493</v>
      </c>
      <c r="T33" s="27">
        <f t="shared" si="10"/>
        <v>18</v>
      </c>
      <c r="U33" s="25">
        <f t="shared" si="11"/>
        <v>0.922960259000934</v>
      </c>
      <c r="V33" s="25">
        <f t="shared" si="12"/>
        <v>1.92283387291861</v>
      </c>
      <c r="W33" s="25">
        <f t="shared" si="13"/>
        <v>1.88009309000581</v>
      </c>
      <c r="X33" s="24">
        <f t="shared" si="14"/>
        <v>350</v>
      </c>
      <c r="Y33" s="131">
        <f t="shared" si="54"/>
        <v>262.955352482238</v>
      </c>
      <c r="AA33" s="25">
        <f t="shared" si="15"/>
        <v>0.693420972093396</v>
      </c>
      <c r="AB33" s="5">
        <f t="shared" si="16"/>
        <v>1.41251583194828</v>
      </c>
      <c r="AC33" s="5">
        <f t="shared" si="17"/>
        <v>0.114328414122712</v>
      </c>
      <c r="AD33" s="5"/>
      <c r="AE33" s="5">
        <f t="shared" si="18"/>
        <v>0.611107489733394</v>
      </c>
      <c r="AF33" s="216">
        <f t="shared" si="19"/>
        <v>2289.77777777778</v>
      </c>
      <c r="AG33" s="217">
        <f t="shared" si="20"/>
        <v>0.0213994565217391</v>
      </c>
      <c r="AI33" s="5">
        <f t="shared" si="21"/>
        <v>0.808840047365499</v>
      </c>
      <c r="AJ33" s="5">
        <f t="shared" si="22"/>
        <v>0.922960259000934</v>
      </c>
      <c r="AK33" s="5">
        <f t="shared" si="23"/>
        <v>1.61530683933396</v>
      </c>
      <c r="AM33" s="216">
        <f t="shared" si="24"/>
        <v>140</v>
      </c>
      <c r="AN33" s="220">
        <f t="shared" si="25"/>
        <v>262.955352482238</v>
      </c>
      <c r="AP33">
        <f t="shared" si="26"/>
        <v>140</v>
      </c>
      <c r="AQ33" s="220">
        <f t="shared" si="27"/>
        <v>262.955352482238</v>
      </c>
      <c r="AR33" s="220"/>
      <c r="AS33" s="192">
        <f t="shared" si="55"/>
        <v>3.80292696292443</v>
      </c>
      <c r="AT33" s="192">
        <f t="shared" si="28"/>
        <v>1.92283387291861</v>
      </c>
      <c r="AU33" s="192">
        <f t="shared" si="56"/>
        <v>1.88009309000581</v>
      </c>
      <c r="AV33" s="192">
        <f t="shared" si="29"/>
        <v>1.88009309000581</v>
      </c>
      <c r="AW33" s="5">
        <f t="shared" si="57"/>
        <v>0.505619458818101</v>
      </c>
      <c r="AX33" s="5">
        <f t="shared" si="30"/>
        <v>2.8</v>
      </c>
      <c r="AY33" s="5">
        <f t="shared" si="31"/>
        <v>0.152173913043478</v>
      </c>
      <c r="AZ33" s="5">
        <f t="shared" si="58"/>
        <v>18.4</v>
      </c>
      <c r="BA33" s="220">
        <f t="shared" si="32"/>
        <v>4.91946604768167</v>
      </c>
      <c r="BB33" s="220">
        <f t="shared" si="33"/>
        <v>13.3181353920943</v>
      </c>
      <c r="BC33" s="192">
        <f t="shared" si="34"/>
        <v>0.731147312780039</v>
      </c>
      <c r="BD33" s="220">
        <f t="shared" si="35"/>
        <v>5.08688387668023</v>
      </c>
      <c r="BE33" s="192"/>
      <c r="BF33" s="5">
        <f t="shared" si="59"/>
        <v>0.378908426726814</v>
      </c>
      <c r="BG33" s="5">
        <f t="shared" si="36"/>
        <v>0.249907271187528</v>
      </c>
      <c r="BH33" s="5"/>
      <c r="BI33" s="217">
        <f t="shared" si="37"/>
        <v>0.0502500585456064</v>
      </c>
      <c r="BJ33" s="217">
        <f t="shared" si="38"/>
        <v>0.02945472</v>
      </c>
      <c r="BK33" s="217">
        <f t="shared" si="39"/>
        <v>0.00328694190602798</v>
      </c>
      <c r="BL33" s="217">
        <f t="shared" si="40"/>
        <v>0.00774625473462858</v>
      </c>
      <c r="BM33">
        <f t="shared" si="41"/>
        <v>0.00348</v>
      </c>
      <c r="BN33">
        <f t="shared" si="42"/>
        <v>4.60171866843917e-6</v>
      </c>
      <c r="BO33" s="217">
        <f t="shared" si="43"/>
        <v>0.119070070825046</v>
      </c>
      <c r="BP33" s="220">
        <f t="shared" si="60"/>
        <v>119.070070825046</v>
      </c>
      <c r="BQ33" s="217">
        <f t="shared" si="44"/>
        <v>0.132068459922285</v>
      </c>
      <c r="BR33" s="217"/>
      <c r="BT33" s="220">
        <f t="shared" si="61"/>
        <v>132.068459922285</v>
      </c>
      <c r="BU33" s="217">
        <f t="shared" si="45"/>
        <v>0.00588643542962818</v>
      </c>
      <c r="BV33" s="217">
        <f t="shared" si="46"/>
        <v>0.00624536441923965</v>
      </c>
      <c r="BW33" s="217">
        <f t="shared" si="47"/>
        <v>0</v>
      </c>
      <c r="BX33" s="217">
        <f t="shared" si="48"/>
        <v>0.0167581483115299</v>
      </c>
      <c r="BY33" s="217">
        <f t="shared" si="49"/>
        <v>0.00896</v>
      </c>
      <c r="BZ33" s="220">
        <f t="shared" si="62"/>
        <v>25.7181483115299</v>
      </c>
      <c r="CA33" s="5">
        <f t="shared" si="63"/>
        <v>0.276856679058861</v>
      </c>
      <c r="CB33" s="192">
        <f t="shared" si="64"/>
        <v>2.52</v>
      </c>
      <c r="CC33" s="5">
        <f t="shared" si="65"/>
        <v>0.901011488671624</v>
      </c>
      <c r="CD33" s="192">
        <f t="shared" si="66"/>
        <v>90.1011488671624</v>
      </c>
      <c r="CG33" s="227">
        <f t="shared" si="50"/>
        <v>-50</v>
      </c>
      <c r="CH33">
        <f t="shared" si="51"/>
        <v>-50</v>
      </c>
    </row>
    <row r="34" spans="5:86">
      <c r="E34" s="22">
        <v>29</v>
      </c>
      <c r="F34" s="25">
        <f t="shared" si="52"/>
        <v>0.145</v>
      </c>
      <c r="G34" s="25"/>
      <c r="H34" s="25">
        <f t="shared" si="0"/>
        <v>2.61</v>
      </c>
      <c r="I34" s="212">
        <f t="shared" si="1"/>
        <v>12</v>
      </c>
      <c r="J34" s="27">
        <f t="shared" si="2"/>
        <v>12.2728</v>
      </c>
      <c r="K34" s="131">
        <f t="shared" si="3"/>
        <v>24.2728</v>
      </c>
      <c r="L34" s="131"/>
      <c r="M34" s="25">
        <f t="shared" si="4"/>
        <v>0.505619458818101</v>
      </c>
      <c r="N34" s="27">
        <f t="shared" si="5"/>
        <v>4.09551761642662</v>
      </c>
      <c r="O34" s="27">
        <f t="shared" si="53"/>
        <v>2.61</v>
      </c>
      <c r="P34" s="25">
        <f t="shared" si="6"/>
        <v>0.227528756468145</v>
      </c>
      <c r="Q34" s="25">
        <f t="shared" si="7"/>
        <v>18</v>
      </c>
      <c r="R34" s="25">
        <f t="shared" si="8"/>
        <v>0.25280972940905</v>
      </c>
      <c r="S34" s="27">
        <f t="shared" si="9"/>
        <v>38.0581872189797</v>
      </c>
      <c r="T34" s="27">
        <f t="shared" si="10"/>
        <v>18</v>
      </c>
      <c r="U34" s="25">
        <f t="shared" si="11"/>
        <v>0.955923125393825</v>
      </c>
      <c r="V34" s="25">
        <f t="shared" si="12"/>
        <v>1.99150651123714</v>
      </c>
      <c r="W34" s="25">
        <f t="shared" si="13"/>
        <v>1.94723927179174</v>
      </c>
      <c r="X34" s="24">
        <f t="shared" si="14"/>
        <v>350</v>
      </c>
      <c r="Y34" s="131">
        <f t="shared" si="54"/>
        <v>253.887926534575</v>
      </c>
      <c r="AA34" s="25">
        <f t="shared" si="15"/>
        <v>0.693420972093396</v>
      </c>
      <c r="AB34" s="5">
        <f t="shared" si="16"/>
        <v>1.41251583194828</v>
      </c>
      <c r="AC34" s="5">
        <f t="shared" si="17"/>
        <v>0.114328414122712</v>
      </c>
      <c r="AD34" s="5"/>
      <c r="AE34" s="5">
        <f t="shared" si="18"/>
        <v>0.611107489733394</v>
      </c>
      <c r="AF34" s="216">
        <f t="shared" si="19"/>
        <v>2371.55555555556</v>
      </c>
      <c r="AG34" s="217">
        <f t="shared" si="20"/>
        <v>0.0213994565217391</v>
      </c>
      <c r="AI34" s="5">
        <f t="shared" si="21"/>
        <v>0.823156911886975</v>
      </c>
      <c r="AJ34" s="5">
        <f t="shared" si="22"/>
        <v>0.955923125393825</v>
      </c>
      <c r="AK34" s="5">
        <f t="shared" si="23"/>
        <v>1.63728208359588</v>
      </c>
      <c r="AM34" s="216">
        <f t="shared" si="24"/>
        <v>145</v>
      </c>
      <c r="AN34" s="220">
        <f t="shared" si="25"/>
        <v>253.887926534575</v>
      </c>
      <c r="AP34">
        <f t="shared" si="26"/>
        <v>145</v>
      </c>
      <c r="AQ34" s="220">
        <f t="shared" si="27"/>
        <v>253.887926534575</v>
      </c>
      <c r="AR34" s="220"/>
      <c r="AS34" s="192">
        <f t="shared" si="55"/>
        <v>3.93874578302887</v>
      </c>
      <c r="AT34" s="192">
        <f t="shared" si="28"/>
        <v>1.99150651123714</v>
      </c>
      <c r="AU34" s="192">
        <f t="shared" si="56"/>
        <v>1.94723927179174</v>
      </c>
      <c r="AV34" s="192">
        <f t="shared" si="29"/>
        <v>1.94723927179174</v>
      </c>
      <c r="AW34" s="5">
        <f t="shared" si="57"/>
        <v>0.505619458818101</v>
      </c>
      <c r="AX34" s="5">
        <f t="shared" si="30"/>
        <v>2.9</v>
      </c>
      <c r="AY34" s="5">
        <f t="shared" si="31"/>
        <v>0.157608695652174</v>
      </c>
      <c r="AZ34" s="5">
        <f t="shared" si="58"/>
        <v>18.4</v>
      </c>
      <c r="BA34" s="220">
        <f t="shared" si="32"/>
        <v>4.91946604768167</v>
      </c>
      <c r="BB34" s="220">
        <f t="shared" si="33"/>
        <v>14.2708824805501</v>
      </c>
      <c r="BC34" s="192">
        <f t="shared" si="34"/>
        <v>0.784304706693894</v>
      </c>
      <c r="BD34" s="220">
        <f t="shared" si="35"/>
        <v>5.43082824016336</v>
      </c>
      <c r="BE34" s="192"/>
      <c r="BF34" s="5">
        <f t="shared" si="59"/>
        <v>0.392440870538487</v>
      </c>
      <c r="BG34" s="5">
        <f t="shared" si="36"/>
        <v>0.258832530872797</v>
      </c>
      <c r="BH34" s="5"/>
      <c r="BI34" s="217">
        <f t="shared" si="37"/>
        <v>0.0539034429041518</v>
      </c>
      <c r="BJ34" s="217">
        <f t="shared" si="38"/>
        <v>0.02945472</v>
      </c>
      <c r="BK34" s="217">
        <f t="shared" si="39"/>
        <v>0.00317359908168218</v>
      </c>
      <c r="BL34" s="217">
        <f t="shared" si="40"/>
        <v>0.0074791425024</v>
      </c>
      <c r="BM34">
        <f t="shared" si="41"/>
        <v>0.00348</v>
      </c>
      <c r="BN34">
        <f t="shared" si="42"/>
        <v>4.44303871435506e-6</v>
      </c>
      <c r="BO34" s="217">
        <f t="shared" si="43"/>
        <v>0.124308178700854</v>
      </c>
      <c r="BP34" s="220">
        <f t="shared" si="60"/>
        <v>124.308178700854</v>
      </c>
      <c r="BQ34" s="217">
        <f t="shared" si="44"/>
        <v>0.138251094763574</v>
      </c>
      <c r="BR34" s="217"/>
      <c r="BT34" s="220">
        <f t="shared" si="61"/>
        <v>138.251094763574</v>
      </c>
      <c r="BU34" s="217">
        <f t="shared" si="45"/>
        <v>0.00631440331162921</v>
      </c>
      <c r="BV34" s="217">
        <f t="shared" si="46"/>
        <v>0.00669942790380173</v>
      </c>
      <c r="BW34" s="217">
        <f t="shared" si="47"/>
        <v>0</v>
      </c>
      <c r="BX34" s="217">
        <f t="shared" si="48"/>
        <v>0.0179778038857261</v>
      </c>
      <c r="BY34" s="217">
        <f t="shared" si="49"/>
        <v>0.00928</v>
      </c>
      <c r="BZ34" s="220">
        <f t="shared" si="62"/>
        <v>27.2578038857261</v>
      </c>
      <c r="CA34" s="5">
        <f t="shared" si="63"/>
        <v>0.289817077350154</v>
      </c>
      <c r="CB34" s="192">
        <f t="shared" si="64"/>
        <v>2.61</v>
      </c>
      <c r="CC34" s="5">
        <f t="shared" si="65"/>
        <v>0.900056772679266</v>
      </c>
      <c r="CD34" s="192">
        <f t="shared" si="66"/>
        <v>90.0056772679266</v>
      </c>
      <c r="CG34" s="227">
        <f t="shared" si="50"/>
        <v>-50</v>
      </c>
      <c r="CH34">
        <f t="shared" si="51"/>
        <v>-50</v>
      </c>
    </row>
    <row r="35" spans="5:86">
      <c r="E35" s="22">
        <v>30</v>
      </c>
      <c r="F35" s="25">
        <f t="shared" si="52"/>
        <v>0.15</v>
      </c>
      <c r="G35" s="25"/>
      <c r="H35" s="25">
        <f t="shared" si="0"/>
        <v>2.7</v>
      </c>
      <c r="I35" s="212">
        <f t="shared" si="1"/>
        <v>12</v>
      </c>
      <c r="J35" s="27">
        <f t="shared" si="2"/>
        <v>12.2728</v>
      </c>
      <c r="K35" s="131">
        <f t="shared" si="3"/>
        <v>24.2728</v>
      </c>
      <c r="L35" s="131"/>
      <c r="M35" s="25">
        <f t="shared" si="4"/>
        <v>0.505619458818101</v>
      </c>
      <c r="N35" s="27">
        <f t="shared" si="5"/>
        <v>4.09551761642662</v>
      </c>
      <c r="O35" s="27">
        <f t="shared" si="53"/>
        <v>2.7</v>
      </c>
      <c r="P35" s="25">
        <f t="shared" si="6"/>
        <v>0.227528756468145</v>
      </c>
      <c r="Q35" s="25">
        <f t="shared" si="7"/>
        <v>18</v>
      </c>
      <c r="R35" s="25">
        <f t="shared" si="8"/>
        <v>0.25280972940905</v>
      </c>
      <c r="S35" s="27">
        <f t="shared" si="9"/>
        <v>36.2055884842792</v>
      </c>
      <c r="T35" s="27">
        <f t="shared" si="10"/>
        <v>18</v>
      </c>
      <c r="U35" s="25">
        <f t="shared" si="11"/>
        <v>0.988885991786715</v>
      </c>
      <c r="V35" s="25">
        <f t="shared" si="12"/>
        <v>2.06017914955566</v>
      </c>
      <c r="W35" s="25">
        <f t="shared" si="13"/>
        <v>2.01438545357766</v>
      </c>
      <c r="X35" s="24">
        <f t="shared" si="14"/>
        <v>350</v>
      </c>
      <c r="Y35" s="131">
        <f t="shared" si="54"/>
        <v>245.424995650089</v>
      </c>
      <c r="AA35" s="25">
        <f t="shared" si="15"/>
        <v>0.693420972093396</v>
      </c>
      <c r="AB35" s="5">
        <f t="shared" si="16"/>
        <v>1.41251583194828</v>
      </c>
      <c r="AC35" s="5">
        <f t="shared" si="17"/>
        <v>0.114328414122712</v>
      </c>
      <c r="AD35" s="5"/>
      <c r="AE35" s="5">
        <f t="shared" si="18"/>
        <v>0.611107489733394</v>
      </c>
      <c r="AF35" s="216">
        <f t="shared" si="19"/>
        <v>2453.33333333333</v>
      </c>
      <c r="AG35" s="217">
        <f t="shared" si="20"/>
        <v>0.0213994565217391</v>
      </c>
      <c r="AI35" s="5">
        <f t="shared" si="21"/>
        <v>0.837228989555654</v>
      </c>
      <c r="AJ35" s="5">
        <f t="shared" si="22"/>
        <v>0.988885991786715</v>
      </c>
      <c r="AK35" s="5">
        <f t="shared" si="23"/>
        <v>1.65925732785781</v>
      </c>
      <c r="AM35" s="216">
        <f t="shared" si="24"/>
        <v>150</v>
      </c>
      <c r="AN35" s="220">
        <f t="shared" si="25"/>
        <v>245.424995650089</v>
      </c>
      <c r="AP35">
        <f t="shared" si="26"/>
        <v>150</v>
      </c>
      <c r="AQ35" s="220">
        <f t="shared" si="27"/>
        <v>245.424995650089</v>
      </c>
      <c r="AR35" s="220"/>
      <c r="AS35" s="192">
        <f t="shared" si="55"/>
        <v>4.07456460313331</v>
      </c>
      <c r="AT35" s="192">
        <f t="shared" si="28"/>
        <v>2.06017914955566</v>
      </c>
      <c r="AU35" s="192">
        <f t="shared" si="56"/>
        <v>2.01438545357766</v>
      </c>
      <c r="AV35" s="192">
        <f t="shared" si="29"/>
        <v>2.01438545357766</v>
      </c>
      <c r="AW35" s="5">
        <f t="shared" si="57"/>
        <v>0.505619458818101</v>
      </c>
      <c r="AX35" s="5">
        <f t="shared" si="30"/>
        <v>3</v>
      </c>
      <c r="AY35" s="5">
        <f t="shared" si="31"/>
        <v>0.16304347826087</v>
      </c>
      <c r="AZ35" s="5">
        <f t="shared" si="58"/>
        <v>18.4</v>
      </c>
      <c r="BA35" s="220">
        <f t="shared" si="32"/>
        <v>4.91946604768167</v>
      </c>
      <c r="BB35" s="220">
        <f t="shared" si="33"/>
        <v>15.2565329756184</v>
      </c>
      <c r="BC35" s="192">
        <f t="shared" si="34"/>
        <v>0.839327272324024</v>
      </c>
      <c r="BD35" s="220">
        <f t="shared" si="35"/>
        <v>5.78596363394414</v>
      </c>
      <c r="BE35" s="192"/>
      <c r="BF35" s="5">
        <f t="shared" si="59"/>
        <v>0.405973314350158</v>
      </c>
      <c r="BG35" s="5">
        <f t="shared" si="36"/>
        <v>0.267757790558065</v>
      </c>
      <c r="BH35" s="5"/>
      <c r="BI35" s="217">
        <f t="shared" si="37"/>
        <v>0.0576850161875583</v>
      </c>
      <c r="BJ35" s="217">
        <f t="shared" si="38"/>
        <v>0.02945472</v>
      </c>
      <c r="BK35" s="217">
        <f t="shared" si="39"/>
        <v>0.00306781244562611</v>
      </c>
      <c r="BL35" s="217">
        <f t="shared" si="40"/>
        <v>0.00722983775232</v>
      </c>
      <c r="BM35">
        <f t="shared" si="41"/>
        <v>0.00348</v>
      </c>
      <c r="BN35">
        <f t="shared" si="42"/>
        <v>4.29493742387656e-6</v>
      </c>
      <c r="BO35" s="217">
        <f t="shared" si="43"/>
        <v>0.129793543487746</v>
      </c>
      <c r="BP35" s="220">
        <f t="shared" si="60"/>
        <v>129.793543487746</v>
      </c>
      <c r="BQ35" s="217">
        <f t="shared" si="44"/>
        <v>0.144534826441399</v>
      </c>
      <c r="BR35" s="217"/>
      <c r="BT35" s="220">
        <f t="shared" si="61"/>
        <v>144.534826441399</v>
      </c>
      <c r="BU35" s="217">
        <f t="shared" si="45"/>
        <v>0.00675738761054255</v>
      </c>
      <c r="BV35" s="217">
        <f t="shared" si="46"/>
        <v>0.00716942344045368</v>
      </c>
      <c r="BW35" s="217">
        <f t="shared" si="47"/>
        <v>0</v>
      </c>
      <c r="BX35" s="217">
        <f t="shared" si="48"/>
        <v>0.019240435883582</v>
      </c>
      <c r="BY35" s="217">
        <f t="shared" si="49"/>
        <v>0.00959999999999999</v>
      </c>
      <c r="BZ35" s="220">
        <f t="shared" si="62"/>
        <v>28.8404358835819</v>
      </c>
      <c r="CA35" s="5">
        <f t="shared" si="63"/>
        <v>0.303168805812727</v>
      </c>
      <c r="CB35" s="192">
        <f t="shared" si="64"/>
        <v>2.7</v>
      </c>
      <c r="CC35" s="5">
        <f t="shared" si="65"/>
        <v>0.899050361329695</v>
      </c>
      <c r="CD35" s="192">
        <f t="shared" si="66"/>
        <v>89.9050361329695</v>
      </c>
      <c r="CG35" s="227">
        <f t="shared" si="50"/>
        <v>-50</v>
      </c>
      <c r="CH35">
        <f t="shared" si="51"/>
        <v>-50</v>
      </c>
    </row>
    <row r="36" spans="5:86">
      <c r="E36" s="22">
        <v>31</v>
      </c>
      <c r="F36" s="25">
        <f t="shared" si="52"/>
        <v>0.155</v>
      </c>
      <c r="G36" s="25"/>
      <c r="H36" s="25">
        <f t="shared" si="0"/>
        <v>2.79</v>
      </c>
      <c r="I36" s="212">
        <f t="shared" si="1"/>
        <v>12</v>
      </c>
      <c r="J36" s="27">
        <f t="shared" si="2"/>
        <v>12.2728</v>
      </c>
      <c r="K36" s="131">
        <f t="shared" si="3"/>
        <v>24.2728</v>
      </c>
      <c r="L36" s="131"/>
      <c r="M36" s="25">
        <f t="shared" si="4"/>
        <v>0.505619458818101</v>
      </c>
      <c r="N36" s="27">
        <f t="shared" si="5"/>
        <v>4.09551761642662</v>
      </c>
      <c r="O36" s="27">
        <f t="shared" si="53"/>
        <v>2.79</v>
      </c>
      <c r="P36" s="25">
        <f t="shared" si="6"/>
        <v>0.227528756468145</v>
      </c>
      <c r="Q36" s="25">
        <f t="shared" si="7"/>
        <v>18</v>
      </c>
      <c r="R36" s="25">
        <f t="shared" si="8"/>
        <v>0.25280972940905</v>
      </c>
      <c r="S36" s="27">
        <f t="shared" si="9"/>
        <v>34.4734178189372</v>
      </c>
      <c r="T36" s="27">
        <f t="shared" si="10"/>
        <v>18</v>
      </c>
      <c r="U36" s="25">
        <f t="shared" si="11"/>
        <v>1.02184885817961</v>
      </c>
      <c r="V36" s="25">
        <f t="shared" si="12"/>
        <v>2.12885178787419</v>
      </c>
      <c r="W36" s="25">
        <f t="shared" si="13"/>
        <v>2.08153163536359</v>
      </c>
      <c r="X36" s="24">
        <f t="shared" si="14"/>
        <v>350</v>
      </c>
      <c r="Y36" s="131">
        <f t="shared" si="54"/>
        <v>237.508060306537</v>
      </c>
      <c r="AA36" s="25">
        <f t="shared" si="15"/>
        <v>0.693420972093396</v>
      </c>
      <c r="AB36" s="5">
        <f t="shared" si="16"/>
        <v>1.41251583194828</v>
      </c>
      <c r="AC36" s="5">
        <f t="shared" si="17"/>
        <v>0.114328414122712</v>
      </c>
      <c r="AD36" s="5"/>
      <c r="AE36" s="5">
        <f t="shared" si="18"/>
        <v>0.611107489733394</v>
      </c>
      <c r="AF36" s="216">
        <f t="shared" si="19"/>
        <v>2535.11111111111</v>
      </c>
      <c r="AG36" s="217">
        <f t="shared" si="20"/>
        <v>0.0213994565217391</v>
      </c>
      <c r="AI36" s="5">
        <f t="shared" si="21"/>
        <v>0.851068422817731</v>
      </c>
      <c r="AJ36" s="5">
        <f t="shared" si="22"/>
        <v>1.02184885817961</v>
      </c>
      <c r="AK36" s="5">
        <f t="shared" si="23"/>
        <v>1.68123257211974</v>
      </c>
      <c r="AM36" s="216">
        <f t="shared" si="24"/>
        <v>155</v>
      </c>
      <c r="AN36" s="220">
        <f t="shared" si="25"/>
        <v>237.508060306537</v>
      </c>
      <c r="AP36">
        <f t="shared" si="26"/>
        <v>155</v>
      </c>
      <c r="AQ36" s="220">
        <f t="shared" si="27"/>
        <v>237.508060306537</v>
      </c>
      <c r="AR36" s="220"/>
      <c r="AS36" s="192">
        <f t="shared" si="55"/>
        <v>4.21038342323778</v>
      </c>
      <c r="AT36" s="192">
        <f t="shared" si="28"/>
        <v>2.12885178787419</v>
      </c>
      <c r="AU36" s="192">
        <f t="shared" si="56"/>
        <v>2.08153163536359</v>
      </c>
      <c r="AV36" s="192">
        <f t="shared" si="29"/>
        <v>2.08153163536359</v>
      </c>
      <c r="AW36" s="5">
        <f t="shared" si="57"/>
        <v>0.505619458818101</v>
      </c>
      <c r="AX36" s="5">
        <f t="shared" si="30"/>
        <v>3.10000000000001</v>
      </c>
      <c r="AY36" s="5">
        <f t="shared" si="31"/>
        <v>0.168478260869566</v>
      </c>
      <c r="AZ36" s="5">
        <f t="shared" si="58"/>
        <v>18.4</v>
      </c>
      <c r="BA36" s="220">
        <f t="shared" si="32"/>
        <v>4.91946604768167</v>
      </c>
      <c r="BB36" s="220">
        <f t="shared" si="33"/>
        <v>16.2750868772992</v>
      </c>
      <c r="BC36" s="192">
        <f t="shared" si="34"/>
        <v>0.896215009670434</v>
      </c>
      <c r="BD36" s="220">
        <f t="shared" si="35"/>
        <v>6.1522900580226</v>
      </c>
      <c r="BE36" s="192"/>
      <c r="BF36" s="5">
        <f t="shared" si="59"/>
        <v>0.419505758161832</v>
      </c>
      <c r="BG36" s="5">
        <f t="shared" si="36"/>
        <v>0.276683050243335</v>
      </c>
      <c r="BH36" s="5"/>
      <c r="BI36" s="217">
        <f t="shared" si="37"/>
        <v>0.0615947783958267</v>
      </c>
      <c r="BJ36" s="217">
        <f t="shared" si="38"/>
        <v>0.02945472</v>
      </c>
      <c r="BK36" s="217">
        <f t="shared" si="39"/>
        <v>0.00296885075383171</v>
      </c>
      <c r="BL36" s="217">
        <f t="shared" si="40"/>
        <v>0.00699661717966449</v>
      </c>
      <c r="BM36">
        <f t="shared" si="41"/>
        <v>0.00348</v>
      </c>
      <c r="BN36">
        <f t="shared" si="42"/>
        <v>4.15639105536439e-6</v>
      </c>
      <c r="BO36" s="217">
        <f t="shared" si="43"/>
        <v>0.135526485132501</v>
      </c>
      <c r="BP36" s="220">
        <f t="shared" si="60"/>
        <v>135.526485132501</v>
      </c>
      <c r="BQ36" s="217">
        <f t="shared" si="44"/>
        <v>0.150919654955761</v>
      </c>
      <c r="BR36" s="217"/>
      <c r="BT36" s="220">
        <f t="shared" si="61"/>
        <v>150.919654955761</v>
      </c>
      <c r="BU36" s="217">
        <f t="shared" si="45"/>
        <v>0.00721538832636827</v>
      </c>
      <c r="BV36" s="217">
        <f t="shared" si="46"/>
        <v>0.00765535102919561</v>
      </c>
      <c r="BW36" s="217">
        <f t="shared" si="47"/>
        <v>0</v>
      </c>
      <c r="BX36" s="217">
        <f t="shared" si="48"/>
        <v>0.0205460631226365</v>
      </c>
      <c r="BY36" s="217">
        <f t="shared" si="49"/>
        <v>0.00992000000000004</v>
      </c>
      <c r="BZ36" s="220">
        <f t="shared" si="62"/>
        <v>30.4660631226366</v>
      </c>
      <c r="CA36" s="5">
        <f t="shared" si="63"/>
        <v>0.316912203210899</v>
      </c>
      <c r="CB36" s="192">
        <f t="shared" si="64"/>
        <v>2.79</v>
      </c>
      <c r="CC36" s="5">
        <f t="shared" si="65"/>
        <v>0.897997695949252</v>
      </c>
      <c r="CD36" s="192">
        <f t="shared" si="66"/>
        <v>89.7997695949252</v>
      </c>
      <c r="CG36" s="227">
        <f t="shared" si="50"/>
        <v>-50</v>
      </c>
      <c r="CH36">
        <f t="shared" si="51"/>
        <v>-50</v>
      </c>
    </row>
    <row r="37" spans="5:86">
      <c r="E37" s="22">
        <v>32</v>
      </c>
      <c r="F37" s="25">
        <f t="shared" si="52"/>
        <v>0.16</v>
      </c>
      <c r="G37" s="25"/>
      <c r="H37" s="25">
        <f t="shared" ref="H37:H68" si="67">F37*Vout</f>
        <v>2.88</v>
      </c>
      <c r="I37" s="212">
        <f t="shared" ref="I37:I68" si="68">Vin</f>
        <v>12</v>
      </c>
      <c r="J37" s="27">
        <f t="shared" ref="J37:J68" si="69">(T37+Vfwd1)*Nps</f>
        <v>12.2728</v>
      </c>
      <c r="K37" s="131">
        <f t="shared" ref="K37:K68" si="70">(Vout+Vfwd1)*Nps+I37</f>
        <v>24.2728</v>
      </c>
      <c r="L37" s="131"/>
      <c r="M37" s="25">
        <f t="shared" ref="M37:M68" si="71">(Vout+Vfwd1)*Nps/((Vout+Vfwd1)*Nps+I37)</f>
        <v>0.505619458818101</v>
      </c>
      <c r="N37" s="27">
        <f t="shared" ref="N37:N68" si="72">M37*I37*Isw_max*0.5*Efficiency</f>
        <v>4.09551761642662</v>
      </c>
      <c r="O37" s="27">
        <f t="shared" si="53"/>
        <v>2.88</v>
      </c>
      <c r="P37" s="25">
        <f t="shared" ref="P37:P68" si="73">N37/Vout</f>
        <v>0.227528756468145</v>
      </c>
      <c r="Q37" s="25">
        <f t="shared" ref="Q37:Q68" si="74">MIN(Vout,N37/F37)</f>
        <v>18</v>
      </c>
      <c r="R37" s="25">
        <f t="shared" ref="R37:R68" si="75">Isw_max/2*I37*Nps*(Q37+Vfwd1)/Q37/(I37+Nps*(Q37+Vfwd1))</f>
        <v>0.25280972940905</v>
      </c>
      <c r="S37" s="27">
        <f t="shared" ref="S37:S68" si="76">(SQRT(Isw_max^2*Nps^2*I37^2+4*Isw_max*F37/Efficiency*(Nps^2*Vfwd1*I37-Nps*I37^2)+4*(F37/Efficiency)^2*Nps^2*Vfwd1^2+8*(F37/Efficiency)^2*Nps*Vfwd1*I37+4*(F37/Efficiency)^2*I37^2)-2*F37/Efficiency*I37-2*F37/Efficiency*Nps*Vfwd1+Isw_max*Nps*I37)/(4*F37/Efficiency*Nps)</f>
        <v>32.8504258670172</v>
      </c>
      <c r="T37" s="27">
        <f t="shared" ref="T37:T68" si="77">MIN(Vout,S37)</f>
        <v>18</v>
      </c>
      <c r="U37" s="25">
        <f t="shared" ref="U37:U68" si="78">MIN(2*Vout*F37/(Efficiency*I37*M37),Isw_max)</f>
        <v>1.0548117245725</v>
      </c>
      <c r="V37" s="25">
        <f t="shared" ref="V37:V68" si="79">L*U37/I37*1000000</f>
        <v>2.19752442619271</v>
      </c>
      <c r="W37" s="25">
        <f t="shared" ref="W37:W68" si="80">L*U37/J37*1000000</f>
        <v>2.14867781714951</v>
      </c>
      <c r="X37" s="24">
        <f t="shared" ref="X37:X68" si="81">IF(1/((350000*L)*(1/I37+1/J37))&gt;Isw_min,350,0.001/((Isw_min*L)*(1/I37+1/J37)))</f>
        <v>350</v>
      </c>
      <c r="Y37" s="131">
        <f t="shared" si="54"/>
        <v>230.085933421958</v>
      </c>
      <c r="AA37" s="25">
        <f t="shared" ref="AA37:AA68" si="82">1/((X37*1000*L)*(1/I37+1/J37))</f>
        <v>0.693420972093396</v>
      </c>
      <c r="AB37" s="5">
        <f t="shared" ref="AB37:AB68" si="83">L*AA37/J37*1000000</f>
        <v>1.41251583194828</v>
      </c>
      <c r="AC37" s="5">
        <f t="shared" ref="AC37:AC68" si="84">0.5*AB37*AA37*Nps*X37/1000</f>
        <v>0.114328414122712</v>
      </c>
      <c r="AD37" s="5"/>
      <c r="AE37" s="5">
        <f t="shared" ref="AE37:AE68" si="85">L*Isw_min/J37*1000000</f>
        <v>0.611107489733394</v>
      </c>
      <c r="AF37" s="216">
        <f t="shared" ref="AF37:AF68" si="86">MAX(12,F37/(0.5*AE37/1000000*Isw_min*Nps)/1000)</f>
        <v>2616.88888888889</v>
      </c>
      <c r="AG37" s="217">
        <f t="shared" ref="AG37:AG68" si="87">0.5*AE37/1000000*Isw_min*Nps*X37*1000</f>
        <v>0.0213994565217391</v>
      </c>
      <c r="AI37" s="5">
        <f t="shared" ref="AI37:AI68" si="88">SQRT(F37/Efficiency/(0.5*L/J37*Fsw_DCM*Nps))</f>
        <v>0.864686382269629</v>
      </c>
      <c r="AJ37" s="5">
        <f t="shared" ref="AJ37:AJ71" si="89">MAX(IF(F37&gt;AC37,U37,AI37),Isw_min)</f>
        <v>1.0548117245725</v>
      </c>
      <c r="AK37" s="5">
        <f t="shared" ref="AK37:AK68" si="90">IF(F37&gt;AG37,(AJ37-Isw_min)/1.2*0.8+1.2,AF37*0.2/350+1)</f>
        <v>1.70320781638167</v>
      </c>
      <c r="AM37" s="216">
        <f t="shared" ref="AM37:AM68" si="91">F37*1000</f>
        <v>160</v>
      </c>
      <c r="AN37" s="220">
        <f t="shared" ref="AN37:AN68" si="92">IF(F37&gt;AG37,Y37,AF37)</f>
        <v>230.085933421958</v>
      </c>
      <c r="AP37">
        <f t="shared" ref="AP37:AP68" si="93">IF(H37&gt;N37,"",AM37)</f>
        <v>160</v>
      </c>
      <c r="AQ37" s="220">
        <f t="shared" ref="AQ37:AQ68" si="94">IF(H37&gt;N37,"",AN37)</f>
        <v>230.085933421958</v>
      </c>
      <c r="AR37" s="220"/>
      <c r="AS37" s="192">
        <f t="shared" si="55"/>
        <v>4.34620224334222</v>
      </c>
      <c r="AT37" s="192">
        <f t="shared" ref="AT37:AT68" si="95">L*AJ37/I37*1000000</f>
        <v>2.19752442619271</v>
      </c>
      <c r="AU37" s="192">
        <f t="shared" si="56"/>
        <v>2.14867781714951</v>
      </c>
      <c r="AV37" s="192">
        <f t="shared" ref="AV37:AV68" si="96">L*AJ37/J37*1000000</f>
        <v>2.14867781714951</v>
      </c>
      <c r="AW37" s="5">
        <f t="shared" si="57"/>
        <v>0.505619458818101</v>
      </c>
      <c r="AX37" s="5">
        <f t="shared" ref="AX37:AX68" si="97">0.5*L*AJ37^2*AN37*1000</f>
        <v>3.20000000000001</v>
      </c>
      <c r="AY37" s="5">
        <f t="shared" ref="AY37:AY68" si="98">AJ37*Nps/2*(1-AW37)</f>
        <v>0.173913043478261</v>
      </c>
      <c r="AZ37" s="5">
        <f t="shared" si="58"/>
        <v>18.4</v>
      </c>
      <c r="BA37" s="220">
        <f t="shared" ref="BA37:BA68" si="99">L*Isw_max^2/(2*Vout_ripple*Vout)*1000000000*((1+M37)/2)^2</f>
        <v>4.91946604768167</v>
      </c>
      <c r="BB37" s="220">
        <f t="shared" ref="BB37:BB68" si="100">L*F37^2/(2*Cout*Vout*Nps^2)*1000000000*((1+M37)/(1-M37))^2+F37*RCoutEsr</f>
        <v>17.3265441855925</v>
      </c>
      <c r="BC37" s="192">
        <f t="shared" ref="BC37:BC68" si="101">H37/Efficiency/I37*AU37/Vinripple1</f>
        <v>0.954967918733115</v>
      </c>
      <c r="BD37" s="220">
        <f t="shared" ref="BD37:BD68" si="102">((CB37/I37/Efficiency)*AU37/Cin+(CB37/I37/Efficiency)*RCinEsr)*1000</f>
        <v>6.52980751239869</v>
      </c>
      <c r="BE37" s="192"/>
      <c r="BF37" s="5">
        <f t="shared" si="59"/>
        <v>0.433038201973504</v>
      </c>
      <c r="BG37" s="5">
        <f t="shared" ref="BG37:BG68" si="103">AJ37*Nps*SQRT((1-AW37)/3)</f>
        <v>0.285608309928604</v>
      </c>
      <c r="BH37" s="5"/>
      <c r="BI37" s="217">
        <f t="shared" ref="BI37:BI68" si="104">Rdson*BF37^2</f>
        <v>0.0656327295289558</v>
      </c>
      <c r="BJ37" s="217">
        <f t="shared" ref="BJ37:BJ68" si="105">0.5*K37*AJ37*AN37*1000*Trise</f>
        <v>0.02945472</v>
      </c>
      <c r="BK37" s="217">
        <f t="shared" ref="BK37:BK68" si="106">Qg*Vdd*AN37*1000</f>
        <v>0.00287607416777447</v>
      </c>
      <c r="BL37" s="217">
        <f t="shared" ref="BL37:BL68" si="107">0.5*(Coss+Csw)*K37^2*AN37*1000</f>
        <v>0.00677797289279998</v>
      </c>
      <c r="BM37">
        <f t="shared" ref="BM37:BM68" si="108">I37*IQ</f>
        <v>0.00348</v>
      </c>
      <c r="BN37">
        <f t="shared" ref="BN37:BN68" si="109">(I37-Vdd)*Qg*AN37</f>
        <v>4.02650383488426e-6</v>
      </c>
      <c r="BO37" s="217">
        <f t="shared" ref="BO37:BO68" si="110">(BJ37+BK37+BL37+BM37+BN37+BI37*(1+RdsonTC*(Ta-25)))/(1-BI37*RdsonTC*ThetaJA)</f>
        <v>0.141507756386395</v>
      </c>
      <c r="BP37" s="220">
        <f t="shared" si="60"/>
        <v>141.507756386395</v>
      </c>
      <c r="BQ37" s="217">
        <f t="shared" ref="BQ37:BQ68" si="111">(Vfwd2*F37+BG37^2*Rdiode)*(1+Diode_TC/1000*(Ta-25))</f>
        <v>0.157405580306659</v>
      </c>
      <c r="BR37" s="217"/>
      <c r="BT37" s="220">
        <f t="shared" si="61"/>
        <v>157.405580306659</v>
      </c>
      <c r="BU37" s="217">
        <f t="shared" ref="BU37:BU68" si="112">Rdcr_pri*BF37^2</f>
        <v>0.00768840545910625</v>
      </c>
      <c r="BV37" s="217">
        <f t="shared" ref="BV37:BV68" si="113">Rdcr_sec*BG37^2</f>
        <v>0.00815721067002736</v>
      </c>
      <c r="BW37" s="217">
        <f t="shared" ref="BW37:BW68" si="114">AJ37^2.5*AN37^2.5*k_core</f>
        <v>0</v>
      </c>
      <c r="BX37" s="217">
        <f t="shared" ref="BX37:BX68" si="115">(BW37+(BU37+BV37)*(1+Ltc*(Ta-25)))/(1-(BU37+BV37)*Ltc*ThetaCa)</f>
        <v>0.0218947050655427</v>
      </c>
      <c r="BY37" s="217">
        <f t="shared" ref="BY37:BY68" si="116">0.5*Lleak*0.000000001*AJ37^2*AN37*1000</f>
        <v>0.01024</v>
      </c>
      <c r="BZ37" s="220">
        <f t="shared" si="62"/>
        <v>32.1347050655428</v>
      </c>
      <c r="CA37" s="5">
        <f t="shared" si="63"/>
        <v>0.331048041758596</v>
      </c>
      <c r="CB37" s="192">
        <f t="shared" si="64"/>
        <v>2.88</v>
      </c>
      <c r="CC37" s="5">
        <f t="shared" si="65"/>
        <v>0.896903429206468</v>
      </c>
      <c r="CD37" s="192">
        <f t="shared" si="66"/>
        <v>89.6903429206468</v>
      </c>
      <c r="CG37" s="227">
        <f t="shared" ref="CG37:CG68" si="117">IF(ABS(F37-Ioutmax_Vinnom)&lt;Iout/200,AN37,-50)</f>
        <v>-50</v>
      </c>
      <c r="CH37">
        <f t="shared" ref="CH37:CH68" si="118">IF(ABS(F37-Ioutmax_Vinnom)&lt;Iout/200,N37*CC37,-50)</f>
        <v>-50</v>
      </c>
    </row>
    <row r="38" spans="5:86">
      <c r="E38" s="22">
        <v>33</v>
      </c>
      <c r="F38" s="25">
        <f t="shared" ref="F38:F69" si="119">IF(PLOT_TYPE=1,E38/100*Iout_max,min_I*EXP(N38*rr/100))</f>
        <v>0.165</v>
      </c>
      <c r="G38" s="25"/>
      <c r="H38" s="25">
        <f t="shared" si="67"/>
        <v>2.97</v>
      </c>
      <c r="I38" s="212">
        <f t="shared" si="68"/>
        <v>12</v>
      </c>
      <c r="J38" s="27">
        <f t="shared" si="69"/>
        <v>12.2728</v>
      </c>
      <c r="K38" s="131">
        <f t="shared" si="70"/>
        <v>24.2728</v>
      </c>
      <c r="L38" s="131"/>
      <c r="M38" s="25">
        <f t="shared" si="71"/>
        <v>0.505619458818101</v>
      </c>
      <c r="N38" s="27">
        <f t="shared" si="72"/>
        <v>4.09551761642662</v>
      </c>
      <c r="O38" s="27">
        <f t="shared" si="53"/>
        <v>2.97</v>
      </c>
      <c r="P38" s="25">
        <f t="shared" si="73"/>
        <v>0.227528756468145</v>
      </c>
      <c r="Q38" s="25">
        <f t="shared" si="74"/>
        <v>18</v>
      </c>
      <c r="R38" s="25">
        <f t="shared" si="75"/>
        <v>0.25280972940905</v>
      </c>
      <c r="S38" s="27">
        <f t="shared" si="76"/>
        <v>31.3267291662612</v>
      </c>
      <c r="T38" s="27">
        <f t="shared" si="77"/>
        <v>18</v>
      </c>
      <c r="U38" s="25">
        <f t="shared" si="78"/>
        <v>1.08777459096539</v>
      </c>
      <c r="V38" s="25">
        <f t="shared" si="79"/>
        <v>2.26619706451123</v>
      </c>
      <c r="W38" s="25">
        <f t="shared" si="80"/>
        <v>2.21582399893543</v>
      </c>
      <c r="X38" s="24">
        <f t="shared" si="81"/>
        <v>350</v>
      </c>
      <c r="Y38" s="131">
        <f t="shared" si="54"/>
        <v>223.113632409171</v>
      </c>
      <c r="AA38" s="25">
        <f t="shared" si="82"/>
        <v>0.693420972093396</v>
      </c>
      <c r="AB38" s="5">
        <f t="shared" si="83"/>
        <v>1.41251583194828</v>
      </c>
      <c r="AC38" s="5">
        <f t="shared" si="84"/>
        <v>0.114328414122712</v>
      </c>
      <c r="AD38" s="5"/>
      <c r="AE38" s="5">
        <f t="shared" si="85"/>
        <v>0.611107489733394</v>
      </c>
      <c r="AF38" s="216">
        <f t="shared" si="86"/>
        <v>2698.66666666667</v>
      </c>
      <c r="AG38" s="217">
        <f t="shared" si="87"/>
        <v>0.0213994565217391</v>
      </c>
      <c r="AI38" s="5">
        <f t="shared" si="88"/>
        <v>0.878093172190525</v>
      </c>
      <c r="AJ38" s="5">
        <f t="shared" si="89"/>
        <v>1.08777459096539</v>
      </c>
      <c r="AK38" s="5">
        <f t="shared" si="90"/>
        <v>1.72518306064359</v>
      </c>
      <c r="AM38" s="216">
        <f t="shared" si="91"/>
        <v>165</v>
      </c>
      <c r="AN38" s="220">
        <f t="shared" si="92"/>
        <v>223.113632409171</v>
      </c>
      <c r="AP38">
        <f t="shared" si="93"/>
        <v>165</v>
      </c>
      <c r="AQ38" s="220">
        <f t="shared" si="94"/>
        <v>223.113632409171</v>
      </c>
      <c r="AR38" s="220"/>
      <c r="AS38" s="192">
        <f t="shared" si="55"/>
        <v>4.48202106344666</v>
      </c>
      <c r="AT38" s="192">
        <f t="shared" si="95"/>
        <v>2.26619706451123</v>
      </c>
      <c r="AU38" s="192">
        <f t="shared" si="56"/>
        <v>2.21582399893543</v>
      </c>
      <c r="AV38" s="192">
        <f t="shared" si="96"/>
        <v>2.21582399893543</v>
      </c>
      <c r="AW38" s="5">
        <f t="shared" si="57"/>
        <v>0.505619458818101</v>
      </c>
      <c r="AX38" s="5">
        <f t="shared" si="97"/>
        <v>3.30000000000001</v>
      </c>
      <c r="AY38" s="5">
        <f t="shared" si="98"/>
        <v>0.179347826086957</v>
      </c>
      <c r="AZ38" s="5">
        <f t="shared" si="58"/>
        <v>18.4</v>
      </c>
      <c r="BA38" s="220">
        <f t="shared" si="99"/>
        <v>4.91946604768167</v>
      </c>
      <c r="BB38" s="220">
        <f t="shared" si="100"/>
        <v>18.4109049004983</v>
      </c>
      <c r="BC38" s="192">
        <f t="shared" si="101"/>
        <v>1.01558599951207</v>
      </c>
      <c r="BD38" s="220">
        <f t="shared" si="102"/>
        <v>6.91851599707243</v>
      </c>
      <c r="BE38" s="192"/>
      <c r="BF38" s="5">
        <f t="shared" si="59"/>
        <v>0.446570645785176</v>
      </c>
      <c r="BG38" s="5">
        <f t="shared" si="103"/>
        <v>0.294533569613873</v>
      </c>
      <c r="BH38" s="5"/>
      <c r="BI38" s="217">
        <f t="shared" si="104"/>
        <v>0.0697988695869461</v>
      </c>
      <c r="BJ38" s="217">
        <f t="shared" si="105"/>
        <v>0.02945472</v>
      </c>
      <c r="BK38" s="217">
        <f t="shared" si="106"/>
        <v>0.00278892040511464</v>
      </c>
      <c r="BL38" s="217">
        <f t="shared" si="107"/>
        <v>0.00657257977483635</v>
      </c>
      <c r="BM38">
        <f t="shared" si="108"/>
        <v>0.00348</v>
      </c>
      <c r="BN38">
        <f t="shared" si="109"/>
        <v>3.90448856716049e-6</v>
      </c>
      <c r="BO38" s="217">
        <f t="shared" si="110"/>
        <v>0.147738499916235</v>
      </c>
      <c r="BP38" s="220">
        <f t="shared" si="60"/>
        <v>147.738499916235</v>
      </c>
      <c r="BQ38" s="217">
        <f t="shared" si="111"/>
        <v>0.163992602494093</v>
      </c>
      <c r="BR38" s="217"/>
      <c r="BT38" s="220">
        <f t="shared" si="61"/>
        <v>163.992602494093</v>
      </c>
      <c r="BU38" s="217">
        <f t="shared" si="112"/>
        <v>0.00817643900875654</v>
      </c>
      <c r="BV38" s="217">
        <f t="shared" si="113"/>
        <v>0.00867500236294901</v>
      </c>
      <c r="BW38" s="217">
        <f t="shared" si="114"/>
        <v>0</v>
      </c>
      <c r="BX38" s="217">
        <f t="shared" si="115"/>
        <v>0.0232863818207946</v>
      </c>
      <c r="BY38" s="217">
        <f t="shared" si="116"/>
        <v>0.01056</v>
      </c>
      <c r="BZ38" s="220">
        <f t="shared" si="62"/>
        <v>33.8463818207947</v>
      </c>
      <c r="CA38" s="5">
        <f t="shared" si="63"/>
        <v>0.345577484231122</v>
      </c>
      <c r="CB38" s="192">
        <f t="shared" si="64"/>
        <v>2.97</v>
      </c>
      <c r="CC38" s="5">
        <f t="shared" si="65"/>
        <v>0.895771555370162</v>
      </c>
      <c r="CD38" s="192">
        <f t="shared" si="66"/>
        <v>89.5771555370162</v>
      </c>
      <c r="CG38" s="227">
        <f t="shared" si="117"/>
        <v>-50</v>
      </c>
      <c r="CH38">
        <f t="shared" si="118"/>
        <v>-50</v>
      </c>
    </row>
    <row r="39" spans="5:86">
      <c r="E39" s="22">
        <v>34</v>
      </c>
      <c r="F39" s="25">
        <f t="shared" si="119"/>
        <v>0.17</v>
      </c>
      <c r="G39" s="25"/>
      <c r="H39" s="25">
        <f t="shared" si="67"/>
        <v>3.06</v>
      </c>
      <c r="I39" s="212">
        <f t="shared" si="68"/>
        <v>12</v>
      </c>
      <c r="J39" s="27">
        <f t="shared" si="69"/>
        <v>12.2728</v>
      </c>
      <c r="K39" s="131">
        <f t="shared" si="70"/>
        <v>24.2728</v>
      </c>
      <c r="L39" s="131"/>
      <c r="M39" s="25">
        <f t="shared" si="71"/>
        <v>0.505619458818101</v>
      </c>
      <c r="N39" s="27">
        <f t="shared" si="72"/>
        <v>4.09551761642662</v>
      </c>
      <c r="O39" s="27">
        <f t="shared" si="53"/>
        <v>3.06</v>
      </c>
      <c r="P39" s="25">
        <f t="shared" si="73"/>
        <v>0.227528756468145</v>
      </c>
      <c r="Q39" s="25">
        <f t="shared" si="74"/>
        <v>18</v>
      </c>
      <c r="R39" s="25">
        <f t="shared" si="75"/>
        <v>0.25280972940905</v>
      </c>
      <c r="S39" s="27">
        <f t="shared" si="76"/>
        <v>29.8936094383097</v>
      </c>
      <c r="T39" s="27">
        <f t="shared" si="77"/>
        <v>18</v>
      </c>
      <c r="U39" s="25">
        <f t="shared" si="78"/>
        <v>1.12073745735828</v>
      </c>
      <c r="V39" s="25">
        <f t="shared" si="79"/>
        <v>2.33486970282975</v>
      </c>
      <c r="W39" s="25">
        <f t="shared" si="80"/>
        <v>2.28297018072135</v>
      </c>
      <c r="X39" s="24">
        <f t="shared" si="81"/>
        <v>350</v>
      </c>
      <c r="Y39" s="131">
        <f t="shared" si="54"/>
        <v>216.551466750078</v>
      </c>
      <c r="AA39" s="25">
        <f t="shared" si="82"/>
        <v>0.693420972093396</v>
      </c>
      <c r="AB39" s="5">
        <f t="shared" si="83"/>
        <v>1.41251583194828</v>
      </c>
      <c r="AC39" s="5">
        <f t="shared" si="84"/>
        <v>0.114328414122712</v>
      </c>
      <c r="AD39" s="5"/>
      <c r="AE39" s="5">
        <f t="shared" si="85"/>
        <v>0.611107489733394</v>
      </c>
      <c r="AF39" s="216">
        <f t="shared" si="86"/>
        <v>2780.44444444444</v>
      </c>
      <c r="AG39" s="217">
        <f t="shared" si="87"/>
        <v>0.0213994565217391</v>
      </c>
      <c r="AI39" s="5">
        <f t="shared" si="88"/>
        <v>0.891298321782723</v>
      </c>
      <c r="AJ39" s="5">
        <f t="shared" si="89"/>
        <v>1.12073745735828</v>
      </c>
      <c r="AK39" s="5">
        <f t="shared" si="90"/>
        <v>1.74715830490552</v>
      </c>
      <c r="AM39" s="216">
        <f t="shared" si="91"/>
        <v>170</v>
      </c>
      <c r="AN39" s="220">
        <f t="shared" si="92"/>
        <v>216.551466750078</v>
      </c>
      <c r="AP39">
        <f t="shared" si="93"/>
        <v>170</v>
      </c>
      <c r="AQ39" s="220">
        <f t="shared" si="94"/>
        <v>216.551466750078</v>
      </c>
      <c r="AR39" s="220"/>
      <c r="AS39" s="192">
        <f t="shared" si="55"/>
        <v>4.6178398835511</v>
      </c>
      <c r="AT39" s="192">
        <f t="shared" si="95"/>
        <v>2.33486970282975</v>
      </c>
      <c r="AU39" s="192">
        <f t="shared" si="56"/>
        <v>2.28297018072135</v>
      </c>
      <c r="AV39" s="192">
        <f t="shared" si="96"/>
        <v>2.28297018072135</v>
      </c>
      <c r="AW39" s="5">
        <f t="shared" si="57"/>
        <v>0.505619458818101</v>
      </c>
      <c r="AX39" s="5">
        <f t="shared" si="97"/>
        <v>3.40000000000001</v>
      </c>
      <c r="AY39" s="5">
        <f t="shared" si="98"/>
        <v>0.184782608695653</v>
      </c>
      <c r="AZ39" s="5">
        <f t="shared" si="58"/>
        <v>18.4</v>
      </c>
      <c r="BA39" s="220">
        <f t="shared" si="99"/>
        <v>4.91946604768167</v>
      </c>
      <c r="BB39" s="220">
        <f t="shared" si="100"/>
        <v>19.5281690220166</v>
      </c>
      <c r="BC39" s="192">
        <f t="shared" si="101"/>
        <v>1.0780692520073</v>
      </c>
      <c r="BD39" s="220">
        <f t="shared" si="102"/>
        <v>7.31841551204383</v>
      </c>
      <c r="BE39" s="192"/>
      <c r="BF39" s="5">
        <f t="shared" si="59"/>
        <v>0.460103089596847</v>
      </c>
      <c r="BG39" s="5">
        <f t="shared" si="103"/>
        <v>0.303458829299142</v>
      </c>
      <c r="BH39" s="5"/>
      <c r="BI39" s="217">
        <f t="shared" si="104"/>
        <v>0.0740931985697976</v>
      </c>
      <c r="BJ39" s="217">
        <f t="shared" si="105"/>
        <v>0.02945472</v>
      </c>
      <c r="BK39" s="217">
        <f t="shared" si="106"/>
        <v>0.00270689333437597</v>
      </c>
      <c r="BL39" s="217">
        <f t="shared" si="107"/>
        <v>0.00637926860498822</v>
      </c>
      <c r="BM39">
        <f t="shared" si="108"/>
        <v>0.00348</v>
      </c>
      <c r="BN39">
        <f t="shared" si="109"/>
        <v>3.78965066812636e-6</v>
      </c>
      <c r="BO39" s="217">
        <f t="shared" si="110"/>
        <v>0.154220213819287</v>
      </c>
      <c r="BP39" s="220">
        <f t="shared" si="60"/>
        <v>154.220213819287</v>
      </c>
      <c r="BQ39" s="217">
        <f t="shared" si="111"/>
        <v>0.170680721518064</v>
      </c>
      <c r="BR39" s="217"/>
      <c r="BT39" s="220">
        <f t="shared" si="61"/>
        <v>170.680721518064</v>
      </c>
      <c r="BU39" s="217">
        <f t="shared" si="112"/>
        <v>0.00867948897531914</v>
      </c>
      <c r="BV39" s="217">
        <f t="shared" si="113"/>
        <v>0.00920872610796056</v>
      </c>
      <c r="BW39" s="217">
        <f t="shared" si="114"/>
        <v>0</v>
      </c>
      <c r="BX39" s="217">
        <f t="shared" si="115"/>
        <v>0.0247211141434777</v>
      </c>
      <c r="BY39" s="217">
        <f t="shared" si="116"/>
        <v>0.01088</v>
      </c>
      <c r="BZ39" s="220">
        <f t="shared" si="62"/>
        <v>35.6011141434778</v>
      </c>
      <c r="CA39" s="5">
        <f t="shared" si="63"/>
        <v>0.360502049480829</v>
      </c>
      <c r="CB39" s="192">
        <f t="shared" si="64"/>
        <v>3.06</v>
      </c>
      <c r="CC39" s="5">
        <f t="shared" si="65"/>
        <v>0.894605515720844</v>
      </c>
      <c r="CD39" s="192">
        <f t="shared" si="66"/>
        <v>89.4605515720844</v>
      </c>
      <c r="CG39" s="227">
        <f t="shared" si="117"/>
        <v>-50</v>
      </c>
      <c r="CH39">
        <f t="shared" si="118"/>
        <v>-50</v>
      </c>
    </row>
    <row r="40" spans="5:86">
      <c r="E40" s="22">
        <v>35</v>
      </c>
      <c r="F40" s="25">
        <f t="shared" si="119"/>
        <v>0.175</v>
      </c>
      <c r="G40" s="25"/>
      <c r="H40" s="25">
        <f t="shared" si="67"/>
        <v>3.15</v>
      </c>
      <c r="I40" s="212">
        <f t="shared" si="68"/>
        <v>12</v>
      </c>
      <c r="J40" s="27">
        <f t="shared" si="69"/>
        <v>12.2728</v>
      </c>
      <c r="K40" s="131">
        <f t="shared" si="70"/>
        <v>24.2728</v>
      </c>
      <c r="L40" s="131"/>
      <c r="M40" s="25">
        <f t="shared" si="71"/>
        <v>0.505619458818101</v>
      </c>
      <c r="N40" s="27">
        <f t="shared" si="72"/>
        <v>4.09551761642662</v>
      </c>
      <c r="O40" s="27">
        <f t="shared" si="53"/>
        <v>3.15</v>
      </c>
      <c r="P40" s="25">
        <f t="shared" si="73"/>
        <v>0.227528756468145</v>
      </c>
      <c r="Q40" s="25">
        <f t="shared" si="74"/>
        <v>18</v>
      </c>
      <c r="R40" s="25">
        <f t="shared" si="75"/>
        <v>0.25280972940905</v>
      </c>
      <c r="S40" s="27">
        <f t="shared" si="76"/>
        <v>28.5433472978217</v>
      </c>
      <c r="T40" s="27">
        <f t="shared" si="77"/>
        <v>18</v>
      </c>
      <c r="U40" s="25">
        <f t="shared" si="78"/>
        <v>1.15370032375117</v>
      </c>
      <c r="V40" s="25">
        <f t="shared" si="79"/>
        <v>2.40354234114827</v>
      </c>
      <c r="W40" s="25">
        <f t="shared" si="80"/>
        <v>2.35011636250727</v>
      </c>
      <c r="X40" s="24">
        <f t="shared" si="81"/>
        <v>350</v>
      </c>
      <c r="Y40" s="131">
        <f t="shared" si="54"/>
        <v>210.36428198579</v>
      </c>
      <c r="AA40" s="25">
        <f t="shared" si="82"/>
        <v>0.693420972093396</v>
      </c>
      <c r="AB40" s="5">
        <f t="shared" si="83"/>
        <v>1.41251583194828</v>
      </c>
      <c r="AC40" s="5">
        <f t="shared" si="84"/>
        <v>0.114328414122712</v>
      </c>
      <c r="AD40" s="5"/>
      <c r="AE40" s="5">
        <f t="shared" si="85"/>
        <v>0.611107489733394</v>
      </c>
      <c r="AF40" s="216">
        <f t="shared" si="86"/>
        <v>2862.22222222222</v>
      </c>
      <c r="AG40" s="217">
        <f t="shared" si="87"/>
        <v>0.0213994565217391</v>
      </c>
      <c r="AI40" s="5">
        <f t="shared" si="88"/>
        <v>0.904310664416702</v>
      </c>
      <c r="AJ40" s="5">
        <f t="shared" si="89"/>
        <v>1.15370032375117</v>
      </c>
      <c r="AK40" s="5">
        <f t="shared" si="90"/>
        <v>1.76913354916745</v>
      </c>
      <c r="AM40" s="216">
        <f t="shared" si="91"/>
        <v>175</v>
      </c>
      <c r="AN40" s="220">
        <f t="shared" si="92"/>
        <v>210.36428198579</v>
      </c>
      <c r="AP40">
        <f t="shared" si="93"/>
        <v>175</v>
      </c>
      <c r="AQ40" s="220">
        <f t="shared" si="94"/>
        <v>210.36428198579</v>
      </c>
      <c r="AR40" s="220"/>
      <c r="AS40" s="192">
        <f t="shared" si="55"/>
        <v>4.75365870365554</v>
      </c>
      <c r="AT40" s="192">
        <f t="shared" si="95"/>
        <v>2.40354234114827</v>
      </c>
      <c r="AU40" s="192">
        <f t="shared" si="56"/>
        <v>2.35011636250727</v>
      </c>
      <c r="AV40" s="192">
        <f t="shared" si="96"/>
        <v>2.35011636250727</v>
      </c>
      <c r="AW40" s="5">
        <f t="shared" si="57"/>
        <v>0.505619458818101</v>
      </c>
      <c r="AX40" s="5">
        <f t="shared" si="97"/>
        <v>3.50000000000001</v>
      </c>
      <c r="AY40" s="5">
        <f t="shared" si="98"/>
        <v>0.190217391304348</v>
      </c>
      <c r="AZ40" s="5">
        <f t="shared" si="58"/>
        <v>18.4</v>
      </c>
      <c r="BA40" s="220">
        <f t="shared" si="99"/>
        <v>4.91946604768167</v>
      </c>
      <c r="BB40" s="220">
        <f t="shared" si="100"/>
        <v>20.6783365501473</v>
      </c>
      <c r="BC40" s="192">
        <f t="shared" si="101"/>
        <v>1.14241767621881</v>
      </c>
      <c r="BD40" s="220">
        <f t="shared" si="102"/>
        <v>7.72950605731288</v>
      </c>
      <c r="BE40" s="192"/>
      <c r="BF40" s="5">
        <f t="shared" si="59"/>
        <v>0.473635533408519</v>
      </c>
      <c r="BG40" s="5">
        <f t="shared" si="103"/>
        <v>0.31238408898441</v>
      </c>
      <c r="BH40" s="5"/>
      <c r="BI40" s="217">
        <f t="shared" si="104"/>
        <v>0.0785157164775103</v>
      </c>
      <c r="BJ40" s="217">
        <f t="shared" si="105"/>
        <v>0.02945472</v>
      </c>
      <c r="BK40" s="217">
        <f t="shared" si="106"/>
        <v>0.00262955352482237</v>
      </c>
      <c r="BL40" s="217">
        <f t="shared" si="107"/>
        <v>0.00619700378770284</v>
      </c>
      <c r="BM40">
        <f t="shared" si="108"/>
        <v>0.00348</v>
      </c>
      <c r="BN40">
        <f t="shared" si="109"/>
        <v>3.68137493475133e-6</v>
      </c>
      <c r="BO40" s="217">
        <f t="shared" si="110"/>
        <v>0.160954723909987</v>
      </c>
      <c r="BP40" s="220">
        <f t="shared" si="60"/>
        <v>160.954723909987</v>
      </c>
      <c r="BQ40" s="217">
        <f t="shared" si="111"/>
        <v>0.177469937378571</v>
      </c>
      <c r="BR40" s="217"/>
      <c r="BT40" s="220">
        <f t="shared" si="61"/>
        <v>177.469937378571</v>
      </c>
      <c r="BU40" s="217">
        <f t="shared" si="112"/>
        <v>0.00919755535879407</v>
      </c>
      <c r="BV40" s="217">
        <f t="shared" si="113"/>
        <v>0.009758381905062</v>
      </c>
      <c r="BW40" s="217">
        <f t="shared" si="114"/>
        <v>0</v>
      </c>
      <c r="BX40" s="217">
        <f t="shared" si="115"/>
        <v>0.0261989234360441</v>
      </c>
      <c r="BY40" s="217">
        <f t="shared" si="116"/>
        <v>0.0112</v>
      </c>
      <c r="BZ40" s="220">
        <f t="shared" si="62"/>
        <v>37.3989234360441</v>
      </c>
      <c r="CA40" s="5">
        <f t="shared" si="63"/>
        <v>0.375823584724602</v>
      </c>
      <c r="CB40" s="192">
        <f t="shared" si="64"/>
        <v>3.15</v>
      </c>
      <c r="CC40" s="5">
        <f t="shared" si="65"/>
        <v>0.893408284421026</v>
      </c>
      <c r="CD40" s="192">
        <f t="shared" si="66"/>
        <v>89.3408284421026</v>
      </c>
      <c r="CG40" s="227">
        <f t="shared" si="117"/>
        <v>-50</v>
      </c>
      <c r="CH40">
        <f t="shared" si="118"/>
        <v>-50</v>
      </c>
    </row>
    <row r="41" spans="5:86">
      <c r="E41" s="22">
        <v>36</v>
      </c>
      <c r="F41" s="25">
        <f t="shared" si="119"/>
        <v>0.18</v>
      </c>
      <c r="G41" s="25"/>
      <c r="H41" s="25">
        <f t="shared" si="67"/>
        <v>3.24</v>
      </c>
      <c r="I41" s="212">
        <f t="shared" si="68"/>
        <v>12</v>
      </c>
      <c r="J41" s="27">
        <f t="shared" si="69"/>
        <v>12.2728</v>
      </c>
      <c r="K41" s="131">
        <f t="shared" si="70"/>
        <v>24.2728</v>
      </c>
      <c r="L41" s="131"/>
      <c r="M41" s="25">
        <f t="shared" si="71"/>
        <v>0.505619458818101</v>
      </c>
      <c r="N41" s="27">
        <f t="shared" si="72"/>
        <v>4.09551761642662</v>
      </c>
      <c r="O41" s="27">
        <f t="shared" si="53"/>
        <v>3.24</v>
      </c>
      <c r="P41" s="25">
        <f t="shared" si="73"/>
        <v>0.227528756468145</v>
      </c>
      <c r="Q41" s="25">
        <f t="shared" si="74"/>
        <v>18</v>
      </c>
      <c r="R41" s="25">
        <f t="shared" si="75"/>
        <v>0.25280972940905</v>
      </c>
      <c r="S41" s="27">
        <f t="shared" si="76"/>
        <v>27.2690836887624</v>
      </c>
      <c r="T41" s="27">
        <f t="shared" si="77"/>
        <v>18</v>
      </c>
      <c r="U41" s="25">
        <f t="shared" si="78"/>
        <v>1.18666319014406</v>
      </c>
      <c r="V41" s="25">
        <f t="shared" si="79"/>
        <v>2.47221497946679</v>
      </c>
      <c r="W41" s="25">
        <f t="shared" si="80"/>
        <v>2.41726254429319</v>
      </c>
      <c r="X41" s="24">
        <f t="shared" si="81"/>
        <v>350</v>
      </c>
      <c r="Y41" s="131">
        <f t="shared" si="54"/>
        <v>204.520829708407</v>
      </c>
      <c r="AA41" s="25">
        <f t="shared" si="82"/>
        <v>0.693420972093396</v>
      </c>
      <c r="AB41" s="5">
        <f t="shared" si="83"/>
        <v>1.41251583194828</v>
      </c>
      <c r="AC41" s="5">
        <f t="shared" si="84"/>
        <v>0.114328414122712</v>
      </c>
      <c r="AD41" s="5"/>
      <c r="AE41" s="5">
        <f t="shared" si="85"/>
        <v>0.611107489733394</v>
      </c>
      <c r="AF41" s="216">
        <f t="shared" si="86"/>
        <v>2944</v>
      </c>
      <c r="AG41" s="217">
        <f t="shared" si="87"/>
        <v>0.0213994565217391</v>
      </c>
      <c r="AI41" s="5">
        <f t="shared" si="88"/>
        <v>0.917138406753777</v>
      </c>
      <c r="AJ41" s="5">
        <f t="shared" si="89"/>
        <v>1.18666319014406</v>
      </c>
      <c r="AK41" s="5">
        <f t="shared" si="90"/>
        <v>1.79110879342937</v>
      </c>
      <c r="AM41" s="216">
        <f t="shared" si="91"/>
        <v>180</v>
      </c>
      <c r="AN41" s="220">
        <f t="shared" si="92"/>
        <v>204.520829708407</v>
      </c>
      <c r="AP41">
        <f t="shared" si="93"/>
        <v>180</v>
      </c>
      <c r="AQ41" s="220">
        <f t="shared" si="94"/>
        <v>204.520829708407</v>
      </c>
      <c r="AR41" s="220"/>
      <c r="AS41" s="192">
        <f t="shared" si="55"/>
        <v>4.88947752375999</v>
      </c>
      <c r="AT41" s="192">
        <f t="shared" si="95"/>
        <v>2.47221497946679</v>
      </c>
      <c r="AU41" s="192">
        <f t="shared" si="56"/>
        <v>2.41726254429319</v>
      </c>
      <c r="AV41" s="192">
        <f t="shared" si="96"/>
        <v>2.41726254429319</v>
      </c>
      <c r="AW41" s="5">
        <f t="shared" si="57"/>
        <v>0.505619458818101</v>
      </c>
      <c r="AX41" s="5">
        <f t="shared" si="97"/>
        <v>3.6</v>
      </c>
      <c r="AY41" s="5">
        <f t="shared" si="98"/>
        <v>0.195652173913044</v>
      </c>
      <c r="AZ41" s="5">
        <f t="shared" si="58"/>
        <v>18.4</v>
      </c>
      <c r="BA41" s="220">
        <f t="shared" si="99"/>
        <v>4.91946604768167</v>
      </c>
      <c r="BB41" s="220">
        <f t="shared" si="100"/>
        <v>21.8614074848905</v>
      </c>
      <c r="BC41" s="192">
        <f t="shared" si="101"/>
        <v>1.2086312721466</v>
      </c>
      <c r="BD41" s="220">
        <f t="shared" si="102"/>
        <v>8.15178763287958</v>
      </c>
      <c r="BE41" s="192"/>
      <c r="BF41" s="5">
        <f t="shared" si="59"/>
        <v>0.487167977220191</v>
      </c>
      <c r="BG41" s="5">
        <f t="shared" si="103"/>
        <v>0.321309348669679</v>
      </c>
      <c r="BH41" s="5"/>
      <c r="BI41" s="217">
        <f t="shared" si="104"/>
        <v>0.0830664233100843</v>
      </c>
      <c r="BJ41" s="217">
        <f t="shared" si="105"/>
        <v>0.02945472</v>
      </c>
      <c r="BK41" s="217">
        <f t="shared" si="106"/>
        <v>0.00255651037135509</v>
      </c>
      <c r="BL41" s="217">
        <f t="shared" si="107"/>
        <v>0.00602486479359999</v>
      </c>
      <c r="BM41">
        <f t="shared" si="108"/>
        <v>0.00348</v>
      </c>
      <c r="BN41">
        <f t="shared" si="109"/>
        <v>3.57911451989712e-6</v>
      </c>
      <c r="BO41" s="217">
        <f t="shared" si="110"/>
        <v>0.167944161511701</v>
      </c>
      <c r="BP41" s="220">
        <f t="shared" si="60"/>
        <v>167.944161511701</v>
      </c>
      <c r="BQ41" s="217">
        <f t="shared" si="111"/>
        <v>0.184360250075615</v>
      </c>
      <c r="BR41" s="217"/>
      <c r="BT41" s="220">
        <f t="shared" si="61"/>
        <v>184.360250075615</v>
      </c>
      <c r="BU41" s="217">
        <f t="shared" si="112"/>
        <v>0.0097306381591813</v>
      </c>
      <c r="BV41" s="217">
        <f t="shared" si="113"/>
        <v>0.0103239697542533</v>
      </c>
      <c r="BW41" s="217">
        <f t="shared" si="114"/>
        <v>0</v>
      </c>
      <c r="BX41" s="217">
        <f t="shared" si="115"/>
        <v>0.0277198317491122</v>
      </c>
      <c r="BY41" s="217">
        <f t="shared" si="116"/>
        <v>0.01152</v>
      </c>
      <c r="BZ41" s="220">
        <f t="shared" si="62"/>
        <v>39.2398317491122</v>
      </c>
      <c r="CA41" s="5">
        <f t="shared" si="63"/>
        <v>0.391544243336428</v>
      </c>
      <c r="CB41" s="192">
        <f t="shared" si="64"/>
        <v>3.24</v>
      </c>
      <c r="CC41" s="5">
        <f t="shared" si="65"/>
        <v>0.892182438901886</v>
      </c>
      <c r="CD41" s="192">
        <f t="shared" si="66"/>
        <v>89.2182438901886</v>
      </c>
      <c r="CG41" s="227">
        <f t="shared" si="117"/>
        <v>-50</v>
      </c>
      <c r="CH41">
        <f t="shared" si="118"/>
        <v>-50</v>
      </c>
    </row>
    <row r="42" spans="5:86">
      <c r="E42" s="22">
        <v>37</v>
      </c>
      <c r="F42" s="25">
        <f t="shared" si="119"/>
        <v>0.185</v>
      </c>
      <c r="G42" s="25"/>
      <c r="H42" s="25">
        <f t="shared" si="67"/>
        <v>3.33</v>
      </c>
      <c r="I42" s="212">
        <f t="shared" si="68"/>
        <v>12</v>
      </c>
      <c r="J42" s="27">
        <f t="shared" si="69"/>
        <v>12.2728</v>
      </c>
      <c r="K42" s="131">
        <f t="shared" si="70"/>
        <v>24.2728</v>
      </c>
      <c r="L42" s="131"/>
      <c r="M42" s="25">
        <f t="shared" si="71"/>
        <v>0.505619458818101</v>
      </c>
      <c r="N42" s="27">
        <f t="shared" si="72"/>
        <v>4.09551761642662</v>
      </c>
      <c r="O42" s="27">
        <f t="shared" si="53"/>
        <v>3.33</v>
      </c>
      <c r="P42" s="25">
        <f t="shared" si="73"/>
        <v>0.227528756468145</v>
      </c>
      <c r="Q42" s="25">
        <f t="shared" si="74"/>
        <v>18</v>
      </c>
      <c r="R42" s="25">
        <f t="shared" si="75"/>
        <v>0.25280972940905</v>
      </c>
      <c r="S42" s="27">
        <f t="shared" si="76"/>
        <v>26.0647038030294</v>
      </c>
      <c r="T42" s="27">
        <f t="shared" si="77"/>
        <v>18</v>
      </c>
      <c r="U42" s="25">
        <f t="shared" si="78"/>
        <v>1.21962605653695</v>
      </c>
      <c r="V42" s="25">
        <f t="shared" si="79"/>
        <v>2.54088761778531</v>
      </c>
      <c r="W42" s="25">
        <f t="shared" si="80"/>
        <v>2.48440872607911</v>
      </c>
      <c r="X42" s="24">
        <f t="shared" si="81"/>
        <v>350</v>
      </c>
      <c r="Y42" s="131">
        <f t="shared" si="54"/>
        <v>198.993239716288</v>
      </c>
      <c r="AA42" s="25">
        <f t="shared" si="82"/>
        <v>0.693420972093396</v>
      </c>
      <c r="AB42" s="5">
        <f t="shared" si="83"/>
        <v>1.41251583194828</v>
      </c>
      <c r="AC42" s="5">
        <f t="shared" si="84"/>
        <v>0.114328414122712</v>
      </c>
      <c r="AD42" s="5"/>
      <c r="AE42" s="5">
        <f t="shared" si="85"/>
        <v>0.611107489733394</v>
      </c>
      <c r="AF42" s="216">
        <f t="shared" si="86"/>
        <v>3025.77777777778</v>
      </c>
      <c r="AG42" s="217">
        <f t="shared" si="87"/>
        <v>0.0213994565217391</v>
      </c>
      <c r="AI42" s="5">
        <f t="shared" si="88"/>
        <v>0.929789189283214</v>
      </c>
      <c r="AJ42" s="5">
        <f t="shared" si="89"/>
        <v>1.21962605653695</v>
      </c>
      <c r="AK42" s="5">
        <f t="shared" si="90"/>
        <v>1.8130840376913</v>
      </c>
      <c r="AM42" s="216">
        <f t="shared" si="91"/>
        <v>185</v>
      </c>
      <c r="AN42" s="220">
        <f t="shared" si="92"/>
        <v>198.993239716288</v>
      </c>
      <c r="AP42">
        <f t="shared" si="93"/>
        <v>185</v>
      </c>
      <c r="AQ42" s="220">
        <f t="shared" si="94"/>
        <v>198.993239716288</v>
      </c>
      <c r="AR42" s="220"/>
      <c r="AS42" s="192">
        <f t="shared" si="55"/>
        <v>5.02529634386443</v>
      </c>
      <c r="AT42" s="192">
        <f t="shared" si="95"/>
        <v>2.54088761778531</v>
      </c>
      <c r="AU42" s="192">
        <f t="shared" si="56"/>
        <v>2.48440872607911</v>
      </c>
      <c r="AV42" s="192">
        <f t="shared" si="96"/>
        <v>2.48440872607911</v>
      </c>
      <c r="AW42" s="5">
        <f t="shared" si="57"/>
        <v>0.505619458818101</v>
      </c>
      <c r="AX42" s="5">
        <f t="shared" si="97"/>
        <v>3.7</v>
      </c>
      <c r="AY42" s="5">
        <f t="shared" si="98"/>
        <v>0.201086956521739</v>
      </c>
      <c r="AZ42" s="5">
        <f t="shared" si="58"/>
        <v>18.4</v>
      </c>
      <c r="BA42" s="220">
        <f t="shared" si="99"/>
        <v>4.91946604768167</v>
      </c>
      <c r="BB42" s="220">
        <f t="shared" si="100"/>
        <v>23.0773818262462</v>
      </c>
      <c r="BC42" s="192">
        <f t="shared" si="101"/>
        <v>1.27671003979066</v>
      </c>
      <c r="BD42" s="220">
        <f t="shared" si="102"/>
        <v>8.58526023874394</v>
      </c>
      <c r="BE42" s="192"/>
      <c r="BF42" s="5">
        <f t="shared" si="59"/>
        <v>0.500700421031863</v>
      </c>
      <c r="BG42" s="5">
        <f t="shared" si="103"/>
        <v>0.330234608354948</v>
      </c>
      <c r="BH42" s="5"/>
      <c r="BI42" s="217">
        <f t="shared" si="104"/>
        <v>0.0877453190675195</v>
      </c>
      <c r="BJ42" s="217">
        <f t="shared" si="105"/>
        <v>0.02945472</v>
      </c>
      <c r="BK42" s="217">
        <f t="shared" si="106"/>
        <v>0.0024874154964536</v>
      </c>
      <c r="BL42" s="217">
        <f t="shared" si="107"/>
        <v>0.00586203060998918</v>
      </c>
      <c r="BM42">
        <f t="shared" si="108"/>
        <v>0.00348</v>
      </c>
      <c r="BN42">
        <f t="shared" si="109"/>
        <v>3.48238169503504e-6</v>
      </c>
      <c r="BO42" s="217">
        <f t="shared" si="110"/>
        <v>0.175190945763512</v>
      </c>
      <c r="BP42" s="220">
        <f t="shared" si="60"/>
        <v>175.190945763512</v>
      </c>
      <c r="BQ42" s="217">
        <f t="shared" si="111"/>
        <v>0.191351659609195</v>
      </c>
      <c r="BR42" s="217"/>
      <c r="BT42" s="220">
        <f t="shared" si="61"/>
        <v>191.351659609195</v>
      </c>
      <c r="BU42" s="217">
        <f t="shared" si="112"/>
        <v>0.0102787373764809</v>
      </c>
      <c r="BV42" s="217">
        <f t="shared" si="113"/>
        <v>0.0109054896555346</v>
      </c>
      <c r="BW42" s="217">
        <f t="shared" si="114"/>
        <v>0</v>
      </c>
      <c r="BX42" s="217">
        <f t="shared" si="115"/>
        <v>0.0292838617822909</v>
      </c>
      <c r="BY42" s="217">
        <f t="shared" si="116"/>
        <v>0.01184</v>
      </c>
      <c r="BZ42" s="220">
        <f t="shared" si="62"/>
        <v>41.1238617822909</v>
      </c>
      <c r="CA42" s="5">
        <f t="shared" si="63"/>
        <v>0.407666467154997</v>
      </c>
      <c r="CB42" s="192">
        <f t="shared" si="64"/>
        <v>3.33</v>
      </c>
      <c r="CC42" s="5">
        <f t="shared" si="65"/>
        <v>0.890930217894669</v>
      </c>
      <c r="CD42" s="192">
        <f t="shared" si="66"/>
        <v>89.0930217894669</v>
      </c>
      <c r="CG42" s="227">
        <f t="shared" si="117"/>
        <v>-50</v>
      </c>
      <c r="CH42">
        <f t="shared" si="118"/>
        <v>-50</v>
      </c>
    </row>
    <row r="43" spans="5:86">
      <c r="E43" s="22">
        <v>38</v>
      </c>
      <c r="F43" s="25">
        <f t="shared" si="119"/>
        <v>0.19</v>
      </c>
      <c r="G43" s="25"/>
      <c r="H43" s="25">
        <f t="shared" si="67"/>
        <v>3.42</v>
      </c>
      <c r="I43" s="212">
        <f t="shared" si="68"/>
        <v>12</v>
      </c>
      <c r="J43" s="27">
        <f t="shared" si="69"/>
        <v>12.2728</v>
      </c>
      <c r="K43" s="131">
        <f t="shared" si="70"/>
        <v>24.2728</v>
      </c>
      <c r="L43" s="131"/>
      <c r="M43" s="25">
        <f t="shared" si="71"/>
        <v>0.505619458818101</v>
      </c>
      <c r="N43" s="27">
        <f t="shared" si="72"/>
        <v>4.09551761642662</v>
      </c>
      <c r="O43" s="27">
        <f t="shared" si="53"/>
        <v>3.42</v>
      </c>
      <c r="P43" s="25">
        <f t="shared" si="73"/>
        <v>0.227528756468145</v>
      </c>
      <c r="Q43" s="25">
        <f t="shared" si="74"/>
        <v>18</v>
      </c>
      <c r="R43" s="25">
        <f t="shared" si="75"/>
        <v>0.25280972940905</v>
      </c>
      <c r="S43" s="27">
        <f t="shared" si="76"/>
        <v>24.9247393408036</v>
      </c>
      <c r="T43" s="27">
        <f t="shared" si="77"/>
        <v>18</v>
      </c>
      <c r="U43" s="25">
        <f t="shared" si="78"/>
        <v>1.25258892292984</v>
      </c>
      <c r="V43" s="25">
        <f t="shared" si="79"/>
        <v>2.60956025610383</v>
      </c>
      <c r="W43" s="25">
        <f t="shared" si="80"/>
        <v>2.55155490786503</v>
      </c>
      <c r="X43" s="24">
        <f t="shared" si="81"/>
        <v>350</v>
      </c>
      <c r="Y43" s="131">
        <f t="shared" si="54"/>
        <v>193.756575513228</v>
      </c>
      <c r="AA43" s="25">
        <f t="shared" si="82"/>
        <v>0.693420972093396</v>
      </c>
      <c r="AB43" s="5">
        <f t="shared" si="83"/>
        <v>1.41251583194828</v>
      </c>
      <c r="AC43" s="5">
        <f t="shared" si="84"/>
        <v>0.114328414122712</v>
      </c>
      <c r="AD43" s="5"/>
      <c r="AE43" s="5">
        <f t="shared" si="85"/>
        <v>0.611107489733394</v>
      </c>
      <c r="AF43" s="216">
        <f t="shared" si="86"/>
        <v>3107.55555555556</v>
      </c>
      <c r="AG43" s="217">
        <f t="shared" si="87"/>
        <v>0.0213994565217391</v>
      </c>
      <c r="AI43" s="5">
        <f t="shared" si="88"/>
        <v>0.942270139542274</v>
      </c>
      <c r="AJ43" s="5">
        <f t="shared" si="89"/>
        <v>1.25258892292984</v>
      </c>
      <c r="AK43" s="5">
        <f t="shared" si="90"/>
        <v>1.83505928195323</v>
      </c>
      <c r="AM43" s="216">
        <f t="shared" si="91"/>
        <v>190</v>
      </c>
      <c r="AN43" s="220">
        <f t="shared" si="92"/>
        <v>193.756575513228</v>
      </c>
      <c r="AP43">
        <f t="shared" si="93"/>
        <v>190</v>
      </c>
      <c r="AQ43" s="220">
        <f t="shared" si="94"/>
        <v>193.756575513228</v>
      </c>
      <c r="AR43" s="220"/>
      <c r="AS43" s="192">
        <f t="shared" si="55"/>
        <v>5.16111516396887</v>
      </c>
      <c r="AT43" s="192">
        <f t="shared" si="95"/>
        <v>2.60956025610383</v>
      </c>
      <c r="AU43" s="192">
        <f t="shared" si="56"/>
        <v>2.55155490786503</v>
      </c>
      <c r="AV43" s="192">
        <f t="shared" si="96"/>
        <v>2.55155490786503</v>
      </c>
      <c r="AW43" s="5">
        <f t="shared" si="57"/>
        <v>0.505619458818101</v>
      </c>
      <c r="AX43" s="5">
        <f t="shared" si="97"/>
        <v>3.8</v>
      </c>
      <c r="AY43" s="5">
        <f t="shared" si="98"/>
        <v>0.206521739130435</v>
      </c>
      <c r="AZ43" s="5">
        <f t="shared" si="58"/>
        <v>18.4</v>
      </c>
      <c r="BA43" s="220">
        <f t="shared" si="99"/>
        <v>4.91946604768167</v>
      </c>
      <c r="BB43" s="220">
        <f t="shared" si="100"/>
        <v>24.3262595742144</v>
      </c>
      <c r="BC43" s="192">
        <f t="shared" si="101"/>
        <v>1.34665397915099</v>
      </c>
      <c r="BD43" s="220">
        <f t="shared" si="102"/>
        <v>9.02992387490594</v>
      </c>
      <c r="BE43" s="192"/>
      <c r="BF43" s="5">
        <f t="shared" si="59"/>
        <v>0.514232864843534</v>
      </c>
      <c r="BG43" s="5">
        <f t="shared" si="103"/>
        <v>0.339159868040216</v>
      </c>
      <c r="BH43" s="5"/>
      <c r="BI43" s="217">
        <f t="shared" si="104"/>
        <v>0.092552403749816</v>
      </c>
      <c r="BJ43" s="217">
        <f t="shared" si="105"/>
        <v>0.02945472</v>
      </c>
      <c r="BK43" s="217">
        <f t="shared" si="106"/>
        <v>0.00242195719391535</v>
      </c>
      <c r="BL43" s="217">
        <f t="shared" si="107"/>
        <v>0.00570776664656842</v>
      </c>
      <c r="BM43">
        <f t="shared" si="108"/>
        <v>0.00348</v>
      </c>
      <c r="BN43">
        <f t="shared" si="109"/>
        <v>3.39074007148149e-6</v>
      </c>
      <c r="BO43" s="217">
        <f t="shared" si="110"/>
        <v>0.182697769663333</v>
      </c>
      <c r="BP43" s="220">
        <f t="shared" si="60"/>
        <v>182.697769663333</v>
      </c>
      <c r="BQ43" s="217">
        <f t="shared" si="111"/>
        <v>0.198444165979311</v>
      </c>
      <c r="BR43" s="217"/>
      <c r="BT43" s="220">
        <f t="shared" si="61"/>
        <v>198.444165979311</v>
      </c>
      <c r="BU43" s="217">
        <f t="shared" si="112"/>
        <v>0.0108418530106927</v>
      </c>
      <c r="BV43" s="217">
        <f t="shared" si="113"/>
        <v>0.0115029416089057</v>
      </c>
      <c r="BW43" s="217">
        <f t="shared" si="114"/>
        <v>0</v>
      </c>
      <c r="BX43" s="217">
        <f t="shared" si="115"/>
        <v>0.0308910368850284</v>
      </c>
      <c r="BY43" s="217">
        <f t="shared" si="116"/>
        <v>0.01216</v>
      </c>
      <c r="BZ43" s="220">
        <f t="shared" si="62"/>
        <v>43.0510368850284</v>
      </c>
      <c r="CA43" s="5">
        <f t="shared" si="63"/>
        <v>0.424192972527672</v>
      </c>
      <c r="CB43" s="192">
        <f t="shared" si="64"/>
        <v>3.42</v>
      </c>
      <c r="CC43" s="5">
        <f t="shared" si="65"/>
        <v>0.889653569537444</v>
      </c>
      <c r="CD43" s="192">
        <f t="shared" si="66"/>
        <v>88.9653569537444</v>
      </c>
      <c r="CG43" s="227">
        <f t="shared" si="117"/>
        <v>-50</v>
      </c>
      <c r="CH43">
        <f t="shared" si="118"/>
        <v>-50</v>
      </c>
    </row>
    <row r="44" spans="5:86">
      <c r="E44" s="22">
        <v>39</v>
      </c>
      <c r="F44" s="25">
        <f t="shared" si="119"/>
        <v>0.195</v>
      </c>
      <c r="G44" s="25"/>
      <c r="H44" s="25">
        <f t="shared" si="67"/>
        <v>3.51</v>
      </c>
      <c r="I44" s="212">
        <f t="shared" si="68"/>
        <v>12</v>
      </c>
      <c r="J44" s="27">
        <f t="shared" si="69"/>
        <v>12.2728</v>
      </c>
      <c r="K44" s="131">
        <f t="shared" si="70"/>
        <v>24.2728</v>
      </c>
      <c r="L44" s="131"/>
      <c r="M44" s="25">
        <f t="shared" si="71"/>
        <v>0.505619458818101</v>
      </c>
      <c r="N44" s="27">
        <f t="shared" si="72"/>
        <v>4.09551761642662</v>
      </c>
      <c r="O44" s="27">
        <f t="shared" si="53"/>
        <v>3.51</v>
      </c>
      <c r="P44" s="25">
        <f t="shared" si="73"/>
        <v>0.227528756468145</v>
      </c>
      <c r="Q44" s="25">
        <f t="shared" si="74"/>
        <v>18</v>
      </c>
      <c r="R44" s="25">
        <f t="shared" si="75"/>
        <v>0.25280972940905</v>
      </c>
      <c r="S44" s="27">
        <f t="shared" si="76"/>
        <v>23.8442858214018</v>
      </c>
      <c r="T44" s="27">
        <f t="shared" si="77"/>
        <v>18</v>
      </c>
      <c r="U44" s="25">
        <f t="shared" si="78"/>
        <v>1.28555178932273</v>
      </c>
      <c r="V44" s="25">
        <f t="shared" si="79"/>
        <v>2.67823289442235</v>
      </c>
      <c r="W44" s="25">
        <f t="shared" si="80"/>
        <v>2.61870108965096</v>
      </c>
      <c r="X44" s="24">
        <f t="shared" si="81"/>
        <v>350</v>
      </c>
      <c r="Y44" s="131">
        <f t="shared" si="54"/>
        <v>188.788458192376</v>
      </c>
      <c r="AA44" s="25">
        <f t="shared" si="82"/>
        <v>0.693420972093396</v>
      </c>
      <c r="AB44" s="5">
        <f t="shared" si="83"/>
        <v>1.41251583194828</v>
      </c>
      <c r="AC44" s="5">
        <f t="shared" si="84"/>
        <v>0.114328414122712</v>
      </c>
      <c r="AD44" s="5"/>
      <c r="AE44" s="5">
        <f t="shared" si="85"/>
        <v>0.611107489733394</v>
      </c>
      <c r="AF44" s="216">
        <f t="shared" si="86"/>
        <v>3189.33333333333</v>
      </c>
      <c r="AG44" s="217">
        <f t="shared" si="87"/>
        <v>0.0213994565217391</v>
      </c>
      <c r="AI44" s="5">
        <f t="shared" si="88"/>
        <v>0.954587919071939</v>
      </c>
      <c r="AJ44" s="5">
        <f t="shared" si="89"/>
        <v>1.28555178932273</v>
      </c>
      <c r="AK44" s="5">
        <f t="shared" si="90"/>
        <v>1.85703452621515</v>
      </c>
      <c r="AM44" s="216">
        <f t="shared" si="91"/>
        <v>195</v>
      </c>
      <c r="AN44" s="220">
        <f t="shared" si="92"/>
        <v>188.788458192376</v>
      </c>
      <c r="AP44">
        <f t="shared" si="93"/>
        <v>195</v>
      </c>
      <c r="AQ44" s="220">
        <f t="shared" si="94"/>
        <v>188.788458192376</v>
      </c>
      <c r="AR44" s="220"/>
      <c r="AS44" s="192">
        <f t="shared" si="55"/>
        <v>5.29693398407331</v>
      </c>
      <c r="AT44" s="192">
        <f t="shared" si="95"/>
        <v>2.67823289442235</v>
      </c>
      <c r="AU44" s="192">
        <f t="shared" si="56"/>
        <v>2.61870108965096</v>
      </c>
      <c r="AV44" s="192">
        <f t="shared" si="96"/>
        <v>2.61870108965096</v>
      </c>
      <c r="AW44" s="5">
        <f t="shared" si="57"/>
        <v>0.505619458818101</v>
      </c>
      <c r="AX44" s="5">
        <f t="shared" si="97"/>
        <v>3.9</v>
      </c>
      <c r="AY44" s="5">
        <f t="shared" si="98"/>
        <v>0.21195652173913</v>
      </c>
      <c r="AZ44" s="5">
        <f t="shared" si="58"/>
        <v>18.4</v>
      </c>
      <c r="BA44" s="220">
        <f t="shared" si="99"/>
        <v>4.91946604768167</v>
      </c>
      <c r="BB44" s="220">
        <f t="shared" si="100"/>
        <v>25.6080407287951</v>
      </c>
      <c r="BC44" s="192">
        <f t="shared" si="101"/>
        <v>1.4184630902276</v>
      </c>
      <c r="BD44" s="220">
        <f t="shared" si="102"/>
        <v>9.4857785413656</v>
      </c>
      <c r="BE44" s="192"/>
      <c r="BF44" s="5">
        <f t="shared" si="59"/>
        <v>0.527765308655206</v>
      </c>
      <c r="BG44" s="5">
        <f t="shared" si="103"/>
        <v>0.348085127725485</v>
      </c>
      <c r="BH44" s="5"/>
      <c r="BI44" s="217">
        <f t="shared" si="104"/>
        <v>0.0974876773569737</v>
      </c>
      <c r="BJ44" s="217">
        <f t="shared" si="105"/>
        <v>0.02945472</v>
      </c>
      <c r="BK44" s="217">
        <f t="shared" si="106"/>
        <v>0.0023598557274047</v>
      </c>
      <c r="BL44" s="217">
        <f t="shared" si="107"/>
        <v>0.00556141365563077</v>
      </c>
      <c r="BM44">
        <f t="shared" si="108"/>
        <v>0.00348</v>
      </c>
      <c r="BN44">
        <f t="shared" si="109"/>
        <v>3.30379801836658e-6</v>
      </c>
      <c r="BO44" s="217">
        <f t="shared" si="110"/>
        <v>0.190467589231486</v>
      </c>
      <c r="BP44" s="220">
        <f t="shared" si="60"/>
        <v>190.467589231486</v>
      </c>
      <c r="BQ44" s="217">
        <f t="shared" si="111"/>
        <v>0.205637769185964</v>
      </c>
      <c r="BR44" s="217"/>
      <c r="BT44" s="220">
        <f t="shared" si="61"/>
        <v>205.637769185964</v>
      </c>
      <c r="BU44" s="217">
        <f t="shared" si="112"/>
        <v>0.0114199850618169</v>
      </c>
      <c r="BV44" s="217">
        <f t="shared" si="113"/>
        <v>0.0121163256143667</v>
      </c>
      <c r="BW44" s="217">
        <f t="shared" si="114"/>
        <v>0</v>
      </c>
      <c r="BX44" s="217">
        <f t="shared" si="115"/>
        <v>0.0325413810574855</v>
      </c>
      <c r="BY44" s="217">
        <f t="shared" si="116"/>
        <v>0.01248</v>
      </c>
      <c r="BZ44" s="220">
        <f t="shared" si="62"/>
        <v>45.0213810574855</v>
      </c>
      <c r="CA44" s="5">
        <f t="shared" si="63"/>
        <v>0.441126739474936</v>
      </c>
      <c r="CB44" s="192">
        <f t="shared" si="64"/>
        <v>3.51</v>
      </c>
      <c r="CC44" s="5">
        <f t="shared" si="65"/>
        <v>0.888354191459432</v>
      </c>
      <c r="CD44" s="192">
        <f t="shared" si="66"/>
        <v>88.8354191459432</v>
      </c>
      <c r="CG44" s="227">
        <f t="shared" si="117"/>
        <v>-50</v>
      </c>
      <c r="CH44">
        <f t="shared" si="118"/>
        <v>-50</v>
      </c>
    </row>
    <row r="45" spans="5:86">
      <c r="E45" s="22">
        <v>40</v>
      </c>
      <c r="F45" s="25">
        <f t="shared" si="119"/>
        <v>0.2</v>
      </c>
      <c r="G45" s="25"/>
      <c r="H45" s="25">
        <f t="shared" si="67"/>
        <v>3.6</v>
      </c>
      <c r="I45" s="212">
        <f t="shared" si="68"/>
        <v>12</v>
      </c>
      <c r="J45" s="27">
        <f t="shared" si="69"/>
        <v>12.2728</v>
      </c>
      <c r="K45" s="131">
        <f t="shared" si="70"/>
        <v>24.2728</v>
      </c>
      <c r="L45" s="131"/>
      <c r="M45" s="25">
        <f t="shared" si="71"/>
        <v>0.505619458818101</v>
      </c>
      <c r="N45" s="27">
        <f t="shared" si="72"/>
        <v>4.09551761642662</v>
      </c>
      <c r="O45" s="27">
        <f t="shared" si="53"/>
        <v>3.6</v>
      </c>
      <c r="P45" s="25">
        <f t="shared" si="73"/>
        <v>0.227528756468145</v>
      </c>
      <c r="Q45" s="25">
        <f t="shared" si="74"/>
        <v>18</v>
      </c>
      <c r="R45" s="25">
        <f t="shared" si="75"/>
        <v>0.25280972940905</v>
      </c>
      <c r="S45" s="27">
        <f t="shared" si="76"/>
        <v>22.8189323116809</v>
      </c>
      <c r="T45" s="27">
        <f t="shared" si="77"/>
        <v>18</v>
      </c>
      <c r="U45" s="25">
        <f t="shared" si="78"/>
        <v>1.31851465571562</v>
      </c>
      <c r="V45" s="25">
        <f t="shared" si="79"/>
        <v>2.74690553274088</v>
      </c>
      <c r="W45" s="25">
        <f t="shared" si="80"/>
        <v>2.68584727143688</v>
      </c>
      <c r="X45" s="24">
        <f t="shared" si="81"/>
        <v>350</v>
      </c>
      <c r="Y45" s="131">
        <f t="shared" si="54"/>
        <v>184.068746737567</v>
      </c>
      <c r="AA45" s="25">
        <f t="shared" si="82"/>
        <v>0.693420972093396</v>
      </c>
      <c r="AB45" s="5">
        <f t="shared" si="83"/>
        <v>1.41251583194828</v>
      </c>
      <c r="AC45" s="5">
        <f t="shared" si="84"/>
        <v>0.114328414122712</v>
      </c>
      <c r="AD45" s="5"/>
      <c r="AE45" s="5">
        <f t="shared" si="85"/>
        <v>0.611107489733394</v>
      </c>
      <c r="AF45" s="216">
        <f t="shared" si="86"/>
        <v>3271.11111111111</v>
      </c>
      <c r="AG45" s="217">
        <f t="shared" si="87"/>
        <v>0.0213994565217391</v>
      </c>
      <c r="AI45" s="5">
        <f t="shared" si="88"/>
        <v>0.96674876498663</v>
      </c>
      <c r="AJ45" s="5">
        <f t="shared" si="89"/>
        <v>1.31851465571562</v>
      </c>
      <c r="AK45" s="5">
        <f t="shared" si="90"/>
        <v>1.87900977047708</v>
      </c>
      <c r="AM45" s="216">
        <f t="shared" si="91"/>
        <v>200</v>
      </c>
      <c r="AN45" s="220">
        <f t="shared" si="92"/>
        <v>184.068746737567</v>
      </c>
      <c r="AP45">
        <f t="shared" si="93"/>
        <v>200</v>
      </c>
      <c r="AQ45" s="220">
        <f t="shared" si="94"/>
        <v>184.068746737567</v>
      </c>
      <c r="AR45" s="220"/>
      <c r="AS45" s="192">
        <f t="shared" si="55"/>
        <v>5.43275280417775</v>
      </c>
      <c r="AT45" s="192">
        <f t="shared" si="95"/>
        <v>2.74690553274088</v>
      </c>
      <c r="AU45" s="192">
        <f t="shared" si="56"/>
        <v>2.68584727143688</v>
      </c>
      <c r="AV45" s="192">
        <f t="shared" si="96"/>
        <v>2.68584727143688</v>
      </c>
      <c r="AW45" s="5">
        <f t="shared" si="57"/>
        <v>0.505619458818101</v>
      </c>
      <c r="AX45" s="5">
        <f t="shared" si="97"/>
        <v>4</v>
      </c>
      <c r="AY45" s="5">
        <f t="shared" si="98"/>
        <v>0.217391304347826</v>
      </c>
      <c r="AZ45" s="5">
        <f t="shared" si="58"/>
        <v>18.4</v>
      </c>
      <c r="BA45" s="220">
        <f t="shared" si="99"/>
        <v>4.91946604768167</v>
      </c>
      <c r="BB45" s="220">
        <f t="shared" si="100"/>
        <v>26.9227252899883</v>
      </c>
      <c r="BC45" s="192">
        <f t="shared" si="101"/>
        <v>1.49213737302049</v>
      </c>
      <c r="BD45" s="220">
        <f t="shared" si="102"/>
        <v>9.95282423812292</v>
      </c>
      <c r="BE45" s="192"/>
      <c r="BF45" s="5">
        <f t="shared" si="59"/>
        <v>0.541297752466878</v>
      </c>
      <c r="BG45" s="5">
        <f t="shared" si="103"/>
        <v>0.357010387410754</v>
      </c>
      <c r="BH45" s="5"/>
      <c r="BI45" s="217">
        <f t="shared" si="104"/>
        <v>0.102551139888993</v>
      </c>
      <c r="BJ45" s="217">
        <f t="shared" si="105"/>
        <v>0.02945472</v>
      </c>
      <c r="BK45" s="217">
        <f t="shared" si="106"/>
        <v>0.00230085933421958</v>
      </c>
      <c r="BL45" s="217">
        <f t="shared" si="107"/>
        <v>0.00542237831424</v>
      </c>
      <c r="BM45">
        <f t="shared" si="108"/>
        <v>0.00348</v>
      </c>
      <c r="BN45">
        <f t="shared" si="109"/>
        <v>3.22120306790742e-6</v>
      </c>
      <c r="BO45" s="217">
        <f t="shared" si="110"/>
        <v>0.198503615305236</v>
      </c>
      <c r="BP45" s="220">
        <f t="shared" si="60"/>
        <v>198.503615305236</v>
      </c>
      <c r="BQ45" s="217">
        <f t="shared" si="111"/>
        <v>0.212932469229153</v>
      </c>
      <c r="BR45" s="217"/>
      <c r="BT45" s="220">
        <f t="shared" si="61"/>
        <v>212.932469229153</v>
      </c>
      <c r="BU45" s="217">
        <f t="shared" si="112"/>
        <v>0.0120131335298534</v>
      </c>
      <c r="BV45" s="217">
        <f t="shared" si="113"/>
        <v>0.0127456416719177</v>
      </c>
      <c r="BW45" s="217">
        <f t="shared" si="114"/>
        <v>0</v>
      </c>
      <c r="BX45" s="217">
        <f t="shared" si="115"/>
        <v>0.0342349189514336</v>
      </c>
      <c r="BY45" s="217">
        <f t="shared" si="116"/>
        <v>0.0128</v>
      </c>
      <c r="BZ45" s="220">
        <f t="shared" si="62"/>
        <v>47.0349189514336</v>
      </c>
      <c r="CA45" s="5">
        <f t="shared" si="63"/>
        <v>0.458471003485823</v>
      </c>
      <c r="CB45" s="192">
        <f t="shared" si="64"/>
        <v>3.6</v>
      </c>
      <c r="CC45" s="5">
        <f t="shared" si="65"/>
        <v>0.887033564341832</v>
      </c>
      <c r="CD45" s="192">
        <f t="shared" si="66"/>
        <v>88.7033564341832</v>
      </c>
      <c r="CG45" s="227">
        <f t="shared" si="117"/>
        <v>-50</v>
      </c>
      <c r="CH45">
        <f t="shared" si="118"/>
        <v>-50</v>
      </c>
    </row>
    <row r="46" spans="5:86">
      <c r="E46" s="22">
        <v>41</v>
      </c>
      <c r="F46" s="25">
        <f t="shared" si="119"/>
        <v>0.205</v>
      </c>
      <c r="G46" s="25"/>
      <c r="H46" s="25">
        <f t="shared" si="67"/>
        <v>3.69</v>
      </c>
      <c r="I46" s="212">
        <f t="shared" si="68"/>
        <v>12</v>
      </c>
      <c r="J46" s="27">
        <f t="shared" si="69"/>
        <v>12.2728</v>
      </c>
      <c r="K46" s="131">
        <f t="shared" si="70"/>
        <v>24.2728</v>
      </c>
      <c r="L46" s="131"/>
      <c r="M46" s="25">
        <f t="shared" si="71"/>
        <v>0.505619458818101</v>
      </c>
      <c r="N46" s="27">
        <f t="shared" si="72"/>
        <v>4.09551761642662</v>
      </c>
      <c r="O46" s="27">
        <f t="shared" si="53"/>
        <v>3.69</v>
      </c>
      <c r="P46" s="25">
        <f t="shared" si="73"/>
        <v>0.227528756468145</v>
      </c>
      <c r="Q46" s="25">
        <f t="shared" si="74"/>
        <v>18</v>
      </c>
      <c r="R46" s="25">
        <f t="shared" si="75"/>
        <v>0.25280972940905</v>
      </c>
      <c r="S46" s="27">
        <f t="shared" si="76"/>
        <v>21.8447014528065</v>
      </c>
      <c r="T46" s="27">
        <f t="shared" si="77"/>
        <v>18</v>
      </c>
      <c r="U46" s="25">
        <f t="shared" si="78"/>
        <v>1.35147752210851</v>
      </c>
      <c r="V46" s="25">
        <f t="shared" si="79"/>
        <v>2.8155781710594</v>
      </c>
      <c r="W46" s="25">
        <f t="shared" si="80"/>
        <v>2.7529934532228</v>
      </c>
      <c r="X46" s="24">
        <f t="shared" si="81"/>
        <v>350</v>
      </c>
      <c r="Y46" s="131">
        <f t="shared" si="54"/>
        <v>179.579265109821</v>
      </c>
      <c r="AA46" s="25">
        <f t="shared" si="82"/>
        <v>0.693420972093396</v>
      </c>
      <c r="AB46" s="5">
        <f t="shared" si="83"/>
        <v>1.41251583194828</v>
      </c>
      <c r="AC46" s="5">
        <f t="shared" si="84"/>
        <v>0.114328414122712</v>
      </c>
      <c r="AD46" s="5"/>
      <c r="AE46" s="5">
        <f t="shared" si="85"/>
        <v>0.611107489733394</v>
      </c>
      <c r="AF46" s="216">
        <f t="shared" si="86"/>
        <v>3352.88888888889</v>
      </c>
      <c r="AG46" s="217">
        <f t="shared" si="87"/>
        <v>0.0213994565217391</v>
      </c>
      <c r="AI46" s="5">
        <f t="shared" si="88"/>
        <v>0.978758526894276</v>
      </c>
      <c r="AJ46" s="5">
        <f t="shared" si="89"/>
        <v>1.35147752210851</v>
      </c>
      <c r="AK46" s="5">
        <f t="shared" si="90"/>
        <v>1.90098501473901</v>
      </c>
      <c r="AM46" s="216">
        <f t="shared" si="91"/>
        <v>205</v>
      </c>
      <c r="AN46" s="220">
        <f t="shared" si="92"/>
        <v>179.579265109821</v>
      </c>
      <c r="AP46">
        <f t="shared" si="93"/>
        <v>205</v>
      </c>
      <c r="AQ46" s="220">
        <f t="shared" si="94"/>
        <v>179.579265109821</v>
      </c>
      <c r="AR46" s="220"/>
      <c r="AS46" s="192">
        <f t="shared" si="55"/>
        <v>5.5685716242822</v>
      </c>
      <c r="AT46" s="192">
        <f t="shared" si="95"/>
        <v>2.8155781710594</v>
      </c>
      <c r="AU46" s="192">
        <f t="shared" si="56"/>
        <v>2.7529934532228</v>
      </c>
      <c r="AV46" s="192">
        <f t="shared" si="96"/>
        <v>2.7529934532228</v>
      </c>
      <c r="AW46" s="5">
        <f t="shared" si="57"/>
        <v>0.505619458818101</v>
      </c>
      <c r="AX46" s="5">
        <f t="shared" si="97"/>
        <v>4.1</v>
      </c>
      <c r="AY46" s="5">
        <f t="shared" si="98"/>
        <v>0.222826086956522</v>
      </c>
      <c r="AZ46" s="5">
        <f t="shared" si="58"/>
        <v>18.4</v>
      </c>
      <c r="BA46" s="220">
        <f t="shared" si="99"/>
        <v>4.91946604768167</v>
      </c>
      <c r="BB46" s="220">
        <f t="shared" si="100"/>
        <v>28.2703132577939</v>
      </c>
      <c r="BC46" s="192">
        <f t="shared" si="101"/>
        <v>1.56767682752965</v>
      </c>
      <c r="BD46" s="220">
        <f t="shared" si="102"/>
        <v>10.4310609651779</v>
      </c>
      <c r="BE46" s="192"/>
      <c r="BF46" s="5">
        <f t="shared" si="59"/>
        <v>0.554830196278549</v>
      </c>
      <c r="BG46" s="5">
        <f t="shared" si="103"/>
        <v>0.365935647096023</v>
      </c>
      <c r="BH46" s="5"/>
      <c r="BI46" s="217">
        <f t="shared" si="104"/>
        <v>0.107742791345873</v>
      </c>
      <c r="BJ46" s="217">
        <f t="shared" si="105"/>
        <v>0.02945472</v>
      </c>
      <c r="BK46" s="217">
        <f t="shared" si="106"/>
        <v>0.00224474081387277</v>
      </c>
      <c r="BL46" s="217">
        <f t="shared" si="107"/>
        <v>0.00529012518462439</v>
      </c>
      <c r="BM46">
        <f t="shared" si="108"/>
        <v>0.00348</v>
      </c>
      <c r="BN46">
        <f t="shared" si="109"/>
        <v>3.14263713942187e-6</v>
      </c>
      <c r="BO46" s="217">
        <f t="shared" si="110"/>
        <v>0.20680930757366</v>
      </c>
      <c r="BP46" s="220">
        <f t="shared" si="60"/>
        <v>206.80930757366</v>
      </c>
      <c r="BQ46" s="217">
        <f t="shared" si="111"/>
        <v>0.220328266108879</v>
      </c>
      <c r="BR46" s="217"/>
      <c r="BT46" s="220">
        <f t="shared" si="61"/>
        <v>220.328266108879</v>
      </c>
      <c r="BU46" s="217">
        <f t="shared" si="112"/>
        <v>0.0126212984148022</v>
      </c>
      <c r="BV46" s="217">
        <f t="shared" si="113"/>
        <v>0.0133908897815585</v>
      </c>
      <c r="BW46" s="217">
        <f t="shared" si="114"/>
        <v>0</v>
      </c>
      <c r="BX46" s="217">
        <f t="shared" si="115"/>
        <v>0.0359716758711777</v>
      </c>
      <c r="BY46" s="217">
        <f t="shared" si="116"/>
        <v>0.01312</v>
      </c>
      <c r="BZ46" s="220">
        <f t="shared" si="62"/>
        <v>49.0916758711777</v>
      </c>
      <c r="CA46" s="5">
        <f t="shared" si="63"/>
        <v>0.476229249553717</v>
      </c>
      <c r="CB46" s="192">
        <f t="shared" si="64"/>
        <v>3.69</v>
      </c>
      <c r="CC46" s="5">
        <f t="shared" si="65"/>
        <v>0.88569298014392</v>
      </c>
      <c r="CD46" s="192">
        <f t="shared" si="66"/>
        <v>88.569298014392</v>
      </c>
      <c r="CG46" s="227">
        <f t="shared" si="117"/>
        <v>-50</v>
      </c>
      <c r="CH46">
        <f t="shared" si="118"/>
        <v>-50</v>
      </c>
    </row>
    <row r="47" spans="5:86">
      <c r="E47" s="22">
        <v>42</v>
      </c>
      <c r="F47" s="25">
        <f t="shared" si="119"/>
        <v>0.21</v>
      </c>
      <c r="G47" s="25"/>
      <c r="H47" s="25">
        <f t="shared" si="67"/>
        <v>3.78</v>
      </c>
      <c r="I47" s="212">
        <f t="shared" si="68"/>
        <v>12</v>
      </c>
      <c r="J47" s="27">
        <f t="shared" si="69"/>
        <v>12.2728</v>
      </c>
      <c r="K47" s="131">
        <f t="shared" si="70"/>
        <v>24.2728</v>
      </c>
      <c r="L47" s="131"/>
      <c r="M47" s="25">
        <f t="shared" si="71"/>
        <v>0.505619458818101</v>
      </c>
      <c r="N47" s="27">
        <f t="shared" si="72"/>
        <v>4.09551761642662</v>
      </c>
      <c r="O47" s="27">
        <f t="shared" si="53"/>
        <v>3.78</v>
      </c>
      <c r="P47" s="25">
        <f t="shared" si="73"/>
        <v>0.227528756468145</v>
      </c>
      <c r="Q47" s="25">
        <f t="shared" si="74"/>
        <v>18</v>
      </c>
      <c r="R47" s="25">
        <f t="shared" si="75"/>
        <v>0.25280972940905</v>
      </c>
      <c r="S47" s="27">
        <f t="shared" si="76"/>
        <v>20.9179980698621</v>
      </c>
      <c r="T47" s="27">
        <f t="shared" si="77"/>
        <v>18</v>
      </c>
      <c r="U47" s="25">
        <f t="shared" si="78"/>
        <v>1.3844403885014</v>
      </c>
      <c r="V47" s="25">
        <f t="shared" si="79"/>
        <v>2.88425080937792</v>
      </c>
      <c r="W47" s="25">
        <f t="shared" si="80"/>
        <v>2.82013963500872</v>
      </c>
      <c r="X47" s="24">
        <f t="shared" si="81"/>
        <v>350</v>
      </c>
      <c r="Y47" s="131">
        <f t="shared" si="54"/>
        <v>175.303568321492</v>
      </c>
      <c r="AA47" s="25">
        <f t="shared" si="82"/>
        <v>0.693420972093396</v>
      </c>
      <c r="AB47" s="5">
        <f t="shared" si="83"/>
        <v>1.41251583194828</v>
      </c>
      <c r="AC47" s="5">
        <f t="shared" si="84"/>
        <v>0.114328414122712</v>
      </c>
      <c r="AD47" s="5"/>
      <c r="AE47" s="5">
        <f t="shared" si="85"/>
        <v>0.611107489733394</v>
      </c>
      <c r="AF47" s="216">
        <f t="shared" si="86"/>
        <v>3434.66666666667</v>
      </c>
      <c r="AG47" s="217">
        <f t="shared" si="87"/>
        <v>0.0213994565217391</v>
      </c>
      <c r="AI47" s="5">
        <f t="shared" si="88"/>
        <v>0.990622699787024</v>
      </c>
      <c r="AJ47" s="5">
        <f t="shared" si="89"/>
        <v>1.3844403885014</v>
      </c>
      <c r="AK47" s="5">
        <f t="shared" si="90"/>
        <v>1.92296025900093</v>
      </c>
      <c r="AM47" s="216">
        <f t="shared" si="91"/>
        <v>210</v>
      </c>
      <c r="AN47" s="220">
        <f t="shared" si="92"/>
        <v>175.303568321492</v>
      </c>
      <c r="AP47">
        <f t="shared" si="93"/>
        <v>210</v>
      </c>
      <c r="AQ47" s="220">
        <f t="shared" si="94"/>
        <v>175.303568321492</v>
      </c>
      <c r="AR47" s="220"/>
      <c r="AS47" s="192">
        <f t="shared" si="55"/>
        <v>5.70439044438664</v>
      </c>
      <c r="AT47" s="192">
        <f t="shared" si="95"/>
        <v>2.88425080937792</v>
      </c>
      <c r="AU47" s="192">
        <f t="shared" si="56"/>
        <v>2.82013963500872</v>
      </c>
      <c r="AV47" s="192">
        <f t="shared" si="96"/>
        <v>2.82013963500872</v>
      </c>
      <c r="AW47" s="5">
        <f t="shared" si="57"/>
        <v>0.505619458818101</v>
      </c>
      <c r="AX47" s="5">
        <f t="shared" si="97"/>
        <v>4.2</v>
      </c>
      <c r="AY47" s="5">
        <f t="shared" si="98"/>
        <v>0.228260869565217</v>
      </c>
      <c r="AZ47" s="5">
        <f t="shared" si="58"/>
        <v>18.4</v>
      </c>
      <c r="BA47" s="220">
        <f t="shared" si="99"/>
        <v>4.91946604768167</v>
      </c>
      <c r="BB47" s="220">
        <f t="shared" si="100"/>
        <v>29.6508046322121</v>
      </c>
      <c r="BC47" s="192">
        <f t="shared" si="101"/>
        <v>1.64508145375509</v>
      </c>
      <c r="BD47" s="220">
        <f t="shared" si="102"/>
        <v>10.9204887225305</v>
      </c>
      <c r="BE47" s="192"/>
      <c r="BF47" s="5">
        <f t="shared" si="59"/>
        <v>0.568362640090221</v>
      </c>
      <c r="BG47" s="5">
        <f t="shared" si="103"/>
        <v>0.374860906781291</v>
      </c>
      <c r="BH47" s="5"/>
      <c r="BI47" s="217">
        <f t="shared" si="104"/>
        <v>0.113062631727614</v>
      </c>
      <c r="BJ47" s="217">
        <f t="shared" si="105"/>
        <v>0.02945472</v>
      </c>
      <c r="BK47" s="217">
        <f t="shared" si="106"/>
        <v>0.00219129460401865</v>
      </c>
      <c r="BL47" s="217">
        <f t="shared" si="107"/>
        <v>0.00516416982308572</v>
      </c>
      <c r="BM47">
        <f t="shared" si="108"/>
        <v>0.00348</v>
      </c>
      <c r="BN47">
        <f t="shared" si="109"/>
        <v>3.06781244562611e-6</v>
      </c>
      <c r="BO47" s="217">
        <f t="shared" si="110"/>
        <v>0.215388370540166</v>
      </c>
      <c r="BP47" s="220">
        <f t="shared" si="60"/>
        <v>215.388370540166</v>
      </c>
      <c r="BQ47" s="217">
        <f t="shared" si="111"/>
        <v>0.227825159825142</v>
      </c>
      <c r="BR47" s="217"/>
      <c r="BT47" s="220">
        <f t="shared" si="61"/>
        <v>227.825159825142</v>
      </c>
      <c r="BU47" s="217">
        <f t="shared" si="112"/>
        <v>0.0132444797166634</v>
      </c>
      <c r="BV47" s="217">
        <f t="shared" si="113"/>
        <v>0.0140520699432892</v>
      </c>
      <c r="BW47" s="217">
        <f t="shared" si="114"/>
        <v>0</v>
      </c>
      <c r="BX47" s="217">
        <f t="shared" si="115"/>
        <v>0.037751677774504</v>
      </c>
      <c r="BY47" s="217">
        <f t="shared" si="116"/>
        <v>0.01344</v>
      </c>
      <c r="BZ47" s="220">
        <f t="shared" si="62"/>
        <v>51.191677774504</v>
      </c>
      <c r="CA47" s="5">
        <f t="shared" si="63"/>
        <v>0.494405208139811</v>
      </c>
      <c r="CB47" s="192">
        <f t="shared" si="64"/>
        <v>3.78</v>
      </c>
      <c r="CC47" s="5">
        <f t="shared" si="65"/>
        <v>0.884333565943091</v>
      </c>
      <c r="CD47" s="192">
        <f t="shared" si="66"/>
        <v>88.4333565943091</v>
      </c>
      <c r="CG47" s="227">
        <f t="shared" si="117"/>
        <v>-50</v>
      </c>
      <c r="CH47">
        <f t="shared" si="118"/>
        <v>-50</v>
      </c>
    </row>
    <row r="48" spans="5:86">
      <c r="E48" s="22">
        <v>43</v>
      </c>
      <c r="F48" s="25">
        <f t="shared" si="119"/>
        <v>0.215</v>
      </c>
      <c r="G48" s="25"/>
      <c r="H48" s="25">
        <f t="shared" si="67"/>
        <v>3.87</v>
      </c>
      <c r="I48" s="212">
        <f t="shared" si="68"/>
        <v>12</v>
      </c>
      <c r="J48" s="27">
        <f t="shared" si="69"/>
        <v>12.2728</v>
      </c>
      <c r="K48" s="131">
        <f t="shared" si="70"/>
        <v>24.2728</v>
      </c>
      <c r="L48" s="131"/>
      <c r="M48" s="25">
        <f t="shared" si="71"/>
        <v>0.505619458818101</v>
      </c>
      <c r="N48" s="27">
        <f t="shared" si="72"/>
        <v>4.09551761642662</v>
      </c>
      <c r="O48" s="27">
        <f t="shared" si="53"/>
        <v>3.87</v>
      </c>
      <c r="P48" s="25">
        <f t="shared" si="73"/>
        <v>0.227528756468145</v>
      </c>
      <c r="Q48" s="25">
        <f t="shared" si="74"/>
        <v>18</v>
      </c>
      <c r="R48" s="25">
        <f t="shared" si="75"/>
        <v>0.25280972940905</v>
      </c>
      <c r="S48" s="27">
        <f t="shared" si="76"/>
        <v>20.0355649679305</v>
      </c>
      <c r="T48" s="27">
        <f t="shared" si="77"/>
        <v>18</v>
      </c>
      <c r="U48" s="25">
        <f t="shared" si="78"/>
        <v>1.41740325489429</v>
      </c>
      <c r="V48" s="25">
        <f t="shared" si="79"/>
        <v>2.95292344769644</v>
      </c>
      <c r="W48" s="25">
        <f t="shared" si="80"/>
        <v>2.88728581679464</v>
      </c>
      <c r="X48" s="24">
        <f t="shared" si="81"/>
        <v>350</v>
      </c>
      <c r="Y48" s="131">
        <f t="shared" si="54"/>
        <v>171.226741151225</v>
      </c>
      <c r="AA48" s="25">
        <f t="shared" si="82"/>
        <v>0.693420972093396</v>
      </c>
      <c r="AB48" s="5">
        <f t="shared" si="83"/>
        <v>1.41251583194828</v>
      </c>
      <c r="AC48" s="5">
        <f t="shared" si="84"/>
        <v>0.114328414122712</v>
      </c>
      <c r="AD48" s="5"/>
      <c r="AE48" s="5">
        <f t="shared" si="85"/>
        <v>0.611107489733394</v>
      </c>
      <c r="AF48" s="216">
        <f t="shared" si="86"/>
        <v>3516.44444444444</v>
      </c>
      <c r="AG48" s="217">
        <f t="shared" si="87"/>
        <v>0.0213994565217391</v>
      </c>
      <c r="AI48" s="5">
        <f t="shared" si="88"/>
        <v>1.00234645342736</v>
      </c>
      <c r="AJ48" s="5">
        <f t="shared" si="89"/>
        <v>1.41740325489429</v>
      </c>
      <c r="AK48" s="5">
        <f t="shared" si="90"/>
        <v>1.94493550326286</v>
      </c>
      <c r="AM48" s="216">
        <f t="shared" si="91"/>
        <v>215</v>
      </c>
      <c r="AN48" s="220">
        <f t="shared" si="92"/>
        <v>171.226741151225</v>
      </c>
      <c r="AP48">
        <f t="shared" si="93"/>
        <v>215</v>
      </c>
      <c r="AQ48" s="220">
        <f t="shared" si="94"/>
        <v>171.226741151225</v>
      </c>
      <c r="AR48" s="220"/>
      <c r="AS48" s="192">
        <f t="shared" si="55"/>
        <v>5.84020926449108</v>
      </c>
      <c r="AT48" s="192">
        <f t="shared" si="95"/>
        <v>2.95292344769644</v>
      </c>
      <c r="AU48" s="192">
        <f t="shared" si="56"/>
        <v>2.88728581679464</v>
      </c>
      <c r="AV48" s="192">
        <f t="shared" si="96"/>
        <v>2.88728581679464</v>
      </c>
      <c r="AW48" s="5">
        <f t="shared" si="57"/>
        <v>0.505619458818101</v>
      </c>
      <c r="AX48" s="5">
        <f t="shared" si="97"/>
        <v>4.29999999999999</v>
      </c>
      <c r="AY48" s="5">
        <f t="shared" si="98"/>
        <v>0.233695652173913</v>
      </c>
      <c r="AZ48" s="5">
        <f t="shared" si="58"/>
        <v>18.4</v>
      </c>
      <c r="BA48" s="220">
        <f t="shared" si="99"/>
        <v>4.91946604768167</v>
      </c>
      <c r="BB48" s="220">
        <f t="shared" si="100"/>
        <v>31.0641994132427</v>
      </c>
      <c r="BC48" s="192">
        <f t="shared" si="101"/>
        <v>1.7243512516968</v>
      </c>
      <c r="BD48" s="220">
        <f t="shared" si="102"/>
        <v>11.4211075101808</v>
      </c>
      <c r="BE48" s="192"/>
      <c r="BF48" s="5">
        <f t="shared" si="59"/>
        <v>0.581895083901893</v>
      </c>
      <c r="BG48" s="5">
        <f t="shared" si="103"/>
        <v>0.38378616646656</v>
      </c>
      <c r="BH48" s="5"/>
      <c r="BI48" s="217">
        <f t="shared" si="104"/>
        <v>0.118510661034217</v>
      </c>
      <c r="BJ48" s="217">
        <f t="shared" si="105"/>
        <v>0.02945472</v>
      </c>
      <c r="BK48" s="217">
        <f t="shared" si="106"/>
        <v>0.00214033426439031</v>
      </c>
      <c r="BL48" s="217">
        <f t="shared" si="107"/>
        <v>0.00504407285045582</v>
      </c>
      <c r="BM48">
        <f t="shared" si="108"/>
        <v>0.00348</v>
      </c>
      <c r="BN48">
        <f t="shared" si="109"/>
        <v>2.99646797014644e-6</v>
      </c>
      <c r="BO48" s="217">
        <f t="shared" si="110"/>
        <v>0.224244751161835</v>
      </c>
      <c r="BP48" s="220">
        <f t="shared" si="60"/>
        <v>224.244751161835</v>
      </c>
      <c r="BQ48" s="217">
        <f t="shared" si="111"/>
        <v>0.23542315037794</v>
      </c>
      <c r="BR48" s="217"/>
      <c r="BT48" s="220">
        <f t="shared" si="61"/>
        <v>235.42315037794</v>
      </c>
      <c r="BU48" s="217">
        <f t="shared" si="112"/>
        <v>0.0138826774354368</v>
      </c>
      <c r="BV48" s="217">
        <f t="shared" si="113"/>
        <v>0.0147291821571098</v>
      </c>
      <c r="BW48" s="217">
        <f t="shared" si="114"/>
        <v>0</v>
      </c>
      <c r="BX48" s="217">
        <f t="shared" si="115"/>
        <v>0.0395749512736523</v>
      </c>
      <c r="BY48" s="217">
        <f t="shared" si="116"/>
        <v>0.01376</v>
      </c>
      <c r="BZ48" s="220">
        <f t="shared" si="62"/>
        <v>53.3349512736522</v>
      </c>
      <c r="CA48" s="5">
        <f t="shared" si="63"/>
        <v>0.513002852813427</v>
      </c>
      <c r="CB48" s="192">
        <f t="shared" si="64"/>
        <v>3.87</v>
      </c>
      <c r="CC48" s="5">
        <f t="shared" si="65"/>
        <v>0.882956304150217</v>
      </c>
      <c r="CD48" s="192">
        <f t="shared" si="66"/>
        <v>88.2956304150217</v>
      </c>
      <c r="CG48" s="227">
        <f t="shared" si="117"/>
        <v>-50</v>
      </c>
      <c r="CH48">
        <f t="shared" si="118"/>
        <v>-50</v>
      </c>
    </row>
    <row r="49" spans="5:86">
      <c r="E49" s="22">
        <v>44</v>
      </c>
      <c r="F49" s="25">
        <f t="shared" si="119"/>
        <v>0.22</v>
      </c>
      <c r="G49" s="25"/>
      <c r="H49" s="25">
        <f t="shared" si="67"/>
        <v>3.96</v>
      </c>
      <c r="I49" s="212">
        <f t="shared" si="68"/>
        <v>12</v>
      </c>
      <c r="J49" s="27">
        <f t="shared" si="69"/>
        <v>12.2728</v>
      </c>
      <c r="K49" s="131">
        <f t="shared" si="70"/>
        <v>24.2728</v>
      </c>
      <c r="L49" s="131"/>
      <c r="M49" s="25">
        <f t="shared" si="71"/>
        <v>0.505619458818101</v>
      </c>
      <c r="N49" s="27">
        <f t="shared" si="72"/>
        <v>4.09551761642662</v>
      </c>
      <c r="O49" s="27">
        <f t="shared" si="53"/>
        <v>3.96</v>
      </c>
      <c r="P49" s="25">
        <f t="shared" si="73"/>
        <v>0.227528756468145</v>
      </c>
      <c r="Q49" s="25">
        <f t="shared" si="74"/>
        <v>18</v>
      </c>
      <c r="R49" s="25">
        <f t="shared" si="75"/>
        <v>0.25280972940905</v>
      </c>
      <c r="S49" s="27">
        <f t="shared" si="76"/>
        <v>19.1944447721389</v>
      </c>
      <c r="T49" s="27">
        <f t="shared" si="77"/>
        <v>18</v>
      </c>
      <c r="U49" s="25">
        <f t="shared" si="78"/>
        <v>1.45036612128718</v>
      </c>
      <c r="V49" s="25">
        <f t="shared" si="79"/>
        <v>3.02159608601496</v>
      </c>
      <c r="W49" s="25">
        <f t="shared" si="80"/>
        <v>2.95443199858056</v>
      </c>
      <c r="X49" s="24">
        <f t="shared" si="81"/>
        <v>350</v>
      </c>
      <c r="Y49" s="131">
        <f t="shared" si="54"/>
        <v>167.335224306879</v>
      </c>
      <c r="AA49" s="25">
        <f t="shared" si="82"/>
        <v>0.693420972093396</v>
      </c>
      <c r="AB49" s="5">
        <f t="shared" si="83"/>
        <v>1.41251583194828</v>
      </c>
      <c r="AC49" s="5">
        <f t="shared" si="84"/>
        <v>0.114328414122712</v>
      </c>
      <c r="AD49" s="5"/>
      <c r="AE49" s="5">
        <f t="shared" si="85"/>
        <v>0.611107489733394</v>
      </c>
      <c r="AF49" s="216">
        <f t="shared" si="86"/>
        <v>3598.22222222222</v>
      </c>
      <c r="AG49" s="217">
        <f t="shared" si="87"/>
        <v>0.0213994565217391</v>
      </c>
      <c r="AI49" s="5">
        <f t="shared" si="88"/>
        <v>1.01393465867554</v>
      </c>
      <c r="AJ49" s="5">
        <f t="shared" si="89"/>
        <v>1.45036612128718</v>
      </c>
      <c r="AK49" s="5">
        <f t="shared" si="90"/>
        <v>1.96691074752479</v>
      </c>
      <c r="AM49" s="216">
        <f t="shared" si="91"/>
        <v>220</v>
      </c>
      <c r="AN49" s="220">
        <f t="shared" si="92"/>
        <v>167.335224306879</v>
      </c>
      <c r="AP49">
        <f t="shared" si="93"/>
        <v>220</v>
      </c>
      <c r="AQ49" s="220">
        <f t="shared" si="94"/>
        <v>167.335224306879</v>
      </c>
      <c r="AR49" s="220"/>
      <c r="AS49" s="192">
        <f t="shared" si="55"/>
        <v>5.97602808459552</v>
      </c>
      <c r="AT49" s="192">
        <f t="shared" si="95"/>
        <v>3.02159608601496</v>
      </c>
      <c r="AU49" s="192">
        <f t="shared" si="56"/>
        <v>2.95443199858056</v>
      </c>
      <c r="AV49" s="192">
        <f t="shared" si="96"/>
        <v>2.95443199858056</v>
      </c>
      <c r="AW49" s="5">
        <f t="shared" si="57"/>
        <v>0.505619458818101</v>
      </c>
      <c r="AX49" s="5">
        <f t="shared" si="97"/>
        <v>4.39999999999999</v>
      </c>
      <c r="AY49" s="5">
        <f t="shared" si="98"/>
        <v>0.239130434782608</v>
      </c>
      <c r="AZ49" s="5">
        <f t="shared" si="58"/>
        <v>18.4</v>
      </c>
      <c r="BA49" s="220">
        <f t="shared" si="99"/>
        <v>4.91946604768167</v>
      </c>
      <c r="BB49" s="220">
        <f t="shared" si="100"/>
        <v>32.5104976008858</v>
      </c>
      <c r="BC49" s="192">
        <f t="shared" si="101"/>
        <v>1.80548622135479</v>
      </c>
      <c r="BD49" s="220">
        <f t="shared" si="102"/>
        <v>11.9329173281287</v>
      </c>
      <c r="BE49" s="192"/>
      <c r="BF49" s="5">
        <f t="shared" si="59"/>
        <v>0.595427527713565</v>
      </c>
      <c r="BG49" s="5">
        <f t="shared" si="103"/>
        <v>0.392711426151829</v>
      </c>
      <c r="BH49" s="5"/>
      <c r="BI49" s="217">
        <f t="shared" si="104"/>
        <v>0.124086879265681</v>
      </c>
      <c r="BJ49" s="217">
        <f t="shared" si="105"/>
        <v>0.02945472</v>
      </c>
      <c r="BK49" s="217">
        <f t="shared" si="106"/>
        <v>0.00209169030383599</v>
      </c>
      <c r="BL49" s="217">
        <f t="shared" si="107"/>
        <v>0.00492943483112728</v>
      </c>
      <c r="BM49">
        <f t="shared" si="108"/>
        <v>0.00348</v>
      </c>
      <c r="BN49">
        <f t="shared" si="109"/>
        <v>2.92836642537038e-6</v>
      </c>
      <c r="BO49" s="217">
        <f t="shared" si="110"/>
        <v>0.233382637964274</v>
      </c>
      <c r="BP49" s="220">
        <f t="shared" si="60"/>
        <v>233.382637964274</v>
      </c>
      <c r="BQ49" s="217">
        <f t="shared" si="111"/>
        <v>0.243122237767275</v>
      </c>
      <c r="BR49" s="217"/>
      <c r="BT49" s="220">
        <f t="shared" si="61"/>
        <v>243.122237767275</v>
      </c>
      <c r="BU49" s="217">
        <f t="shared" si="112"/>
        <v>0.0145358915711226</v>
      </c>
      <c r="BV49" s="217">
        <f t="shared" si="113"/>
        <v>0.0154222264230203</v>
      </c>
      <c r="BW49" s="217">
        <f t="shared" si="114"/>
        <v>0</v>
      </c>
      <c r="BX49" s="217">
        <f t="shared" si="115"/>
        <v>0.0414415236363135</v>
      </c>
      <c r="BY49" s="217">
        <f t="shared" si="116"/>
        <v>0.01408</v>
      </c>
      <c r="BZ49" s="220">
        <f t="shared" si="62"/>
        <v>55.5215236363135</v>
      </c>
      <c r="CA49" s="5">
        <f t="shared" si="63"/>
        <v>0.532026399367863</v>
      </c>
      <c r="CB49" s="192">
        <f t="shared" si="64"/>
        <v>3.96</v>
      </c>
      <c r="CC49" s="5">
        <f t="shared" si="65"/>
        <v>0.881562049714861</v>
      </c>
      <c r="CD49" s="192">
        <f t="shared" si="66"/>
        <v>88.1562049714861</v>
      </c>
      <c r="CG49" s="227">
        <f t="shared" si="117"/>
        <v>-50</v>
      </c>
      <c r="CH49">
        <f t="shared" si="118"/>
        <v>-50</v>
      </c>
    </row>
    <row r="50" spans="5:86">
      <c r="E50" s="22">
        <v>45</v>
      </c>
      <c r="F50" s="25">
        <f t="shared" si="119"/>
        <v>0.225</v>
      </c>
      <c r="G50" s="25"/>
      <c r="H50" s="25">
        <f t="shared" si="67"/>
        <v>4.05</v>
      </c>
      <c r="I50" s="212">
        <f t="shared" si="68"/>
        <v>12</v>
      </c>
      <c r="J50" s="27">
        <f t="shared" si="69"/>
        <v>12.2728</v>
      </c>
      <c r="K50" s="131">
        <f t="shared" si="70"/>
        <v>24.2728</v>
      </c>
      <c r="L50" s="131"/>
      <c r="M50" s="25">
        <f t="shared" si="71"/>
        <v>0.505619458818101</v>
      </c>
      <c r="N50" s="27">
        <f t="shared" si="72"/>
        <v>4.09551761642662</v>
      </c>
      <c r="O50" s="27">
        <f t="shared" si="53"/>
        <v>4.05</v>
      </c>
      <c r="P50" s="25">
        <f t="shared" si="73"/>
        <v>0.227528756468145</v>
      </c>
      <c r="Q50" s="25">
        <f t="shared" si="74"/>
        <v>18</v>
      </c>
      <c r="R50" s="25">
        <f t="shared" si="75"/>
        <v>0.25280972940905</v>
      </c>
      <c r="S50" s="27">
        <f t="shared" si="76"/>
        <v>18.3919468722179</v>
      </c>
      <c r="T50" s="27">
        <f t="shared" si="77"/>
        <v>18</v>
      </c>
      <c r="U50" s="25">
        <f t="shared" si="78"/>
        <v>1.48332898768007</v>
      </c>
      <c r="V50" s="25">
        <f t="shared" si="79"/>
        <v>3.09026872433348</v>
      </c>
      <c r="W50" s="25">
        <f t="shared" si="80"/>
        <v>3.02157818036648</v>
      </c>
      <c r="X50" s="24">
        <f t="shared" si="81"/>
        <v>350</v>
      </c>
      <c r="Y50" s="131">
        <f t="shared" si="54"/>
        <v>163.616663766726</v>
      </c>
      <c r="AA50" s="25">
        <f t="shared" si="82"/>
        <v>0.693420972093396</v>
      </c>
      <c r="AB50" s="5">
        <f t="shared" si="83"/>
        <v>1.41251583194828</v>
      </c>
      <c r="AC50" s="5">
        <f t="shared" si="84"/>
        <v>0.114328414122712</v>
      </c>
      <c r="AD50" s="5"/>
      <c r="AE50" s="5">
        <f t="shared" si="85"/>
        <v>0.611107489733394</v>
      </c>
      <c r="AF50" s="216">
        <f t="shared" si="86"/>
        <v>3680</v>
      </c>
      <c r="AG50" s="217">
        <f t="shared" si="87"/>
        <v>0.0213994565217391</v>
      </c>
      <c r="AI50" s="5">
        <f t="shared" si="88"/>
        <v>1.02539191113865</v>
      </c>
      <c r="AJ50" s="5">
        <f t="shared" si="89"/>
        <v>1.48332898768007</v>
      </c>
      <c r="AK50" s="5">
        <f t="shared" si="90"/>
        <v>1.98888599178671</v>
      </c>
      <c r="AM50" s="216">
        <f t="shared" si="91"/>
        <v>225</v>
      </c>
      <c r="AN50" s="220">
        <f t="shared" si="92"/>
        <v>163.616663766726</v>
      </c>
      <c r="AP50">
        <f t="shared" si="93"/>
        <v>225</v>
      </c>
      <c r="AQ50" s="220">
        <f t="shared" si="94"/>
        <v>163.616663766726</v>
      </c>
      <c r="AR50" s="220"/>
      <c r="AS50" s="192">
        <f t="shared" si="55"/>
        <v>6.11184690469996</v>
      </c>
      <c r="AT50" s="192">
        <f t="shared" si="95"/>
        <v>3.09026872433348</v>
      </c>
      <c r="AU50" s="192">
        <f t="shared" si="56"/>
        <v>3.02157818036648</v>
      </c>
      <c r="AV50" s="192">
        <f t="shared" si="96"/>
        <v>3.02157818036648</v>
      </c>
      <c r="AW50" s="5">
        <f t="shared" si="57"/>
        <v>0.505619458818101</v>
      </c>
      <c r="AX50" s="5">
        <f t="shared" si="97"/>
        <v>4.49999999999999</v>
      </c>
      <c r="AY50" s="5">
        <f t="shared" si="98"/>
        <v>0.244565217391304</v>
      </c>
      <c r="AZ50" s="5">
        <f t="shared" si="58"/>
        <v>18.4</v>
      </c>
      <c r="BA50" s="220">
        <f t="shared" si="99"/>
        <v>4.91946604768167</v>
      </c>
      <c r="BB50" s="220">
        <f t="shared" si="100"/>
        <v>33.9896991951414</v>
      </c>
      <c r="BC50" s="192">
        <f t="shared" si="101"/>
        <v>1.88848636272905</v>
      </c>
      <c r="BD50" s="220">
        <f t="shared" si="102"/>
        <v>12.4559181763743</v>
      </c>
      <c r="BE50" s="192"/>
      <c r="BF50" s="5">
        <f t="shared" si="59"/>
        <v>0.608959971525236</v>
      </c>
      <c r="BG50" s="5">
        <f t="shared" si="103"/>
        <v>0.401636685837097</v>
      </c>
      <c r="BH50" s="5"/>
      <c r="BI50" s="217">
        <f t="shared" si="104"/>
        <v>0.129791286422006</v>
      </c>
      <c r="BJ50" s="217">
        <f t="shared" si="105"/>
        <v>0.02945472</v>
      </c>
      <c r="BK50" s="217">
        <f t="shared" si="106"/>
        <v>0.00204520829708408</v>
      </c>
      <c r="BL50" s="217">
        <f t="shared" si="107"/>
        <v>0.00481989183488001</v>
      </c>
      <c r="BM50">
        <f t="shared" si="108"/>
        <v>0.00348</v>
      </c>
      <c r="BN50">
        <f t="shared" si="109"/>
        <v>2.86329161591771e-6</v>
      </c>
      <c r="BO50" s="217">
        <f t="shared" si="110"/>
        <v>0.242806461470525</v>
      </c>
      <c r="BP50" s="220">
        <f t="shared" si="60"/>
        <v>242.806461470525</v>
      </c>
      <c r="BQ50" s="217">
        <f t="shared" si="111"/>
        <v>0.250922421993147</v>
      </c>
      <c r="BR50" s="217"/>
      <c r="BT50" s="220">
        <f t="shared" si="61"/>
        <v>250.922421993147</v>
      </c>
      <c r="BU50" s="217">
        <f t="shared" si="112"/>
        <v>0.0152041221237207</v>
      </c>
      <c r="BV50" s="217">
        <f t="shared" si="113"/>
        <v>0.0161312027410207</v>
      </c>
      <c r="BW50" s="217">
        <f t="shared" si="114"/>
        <v>0</v>
      </c>
      <c r="BX50" s="217">
        <f t="shared" si="115"/>
        <v>0.0433514227866526</v>
      </c>
      <c r="BY50" s="217">
        <f t="shared" si="116"/>
        <v>0.0144</v>
      </c>
      <c r="BZ50" s="220">
        <f t="shared" si="62"/>
        <v>57.7514227866526</v>
      </c>
      <c r="CA50" s="5">
        <f t="shared" si="63"/>
        <v>0.551480306250325</v>
      </c>
      <c r="CB50" s="192">
        <f t="shared" si="64"/>
        <v>4.05</v>
      </c>
      <c r="CC50" s="5">
        <f t="shared" si="65"/>
        <v>0.880151544818907</v>
      </c>
      <c r="CD50" s="192">
        <f t="shared" si="66"/>
        <v>88.0151544818907</v>
      </c>
      <c r="CG50" s="227">
        <f t="shared" si="117"/>
        <v>-50</v>
      </c>
      <c r="CH50">
        <f t="shared" si="118"/>
        <v>-50</v>
      </c>
    </row>
    <row r="51" spans="5:86">
      <c r="E51" s="22">
        <v>46</v>
      </c>
      <c r="F51" s="25">
        <f t="shared" si="119"/>
        <v>0.23</v>
      </c>
      <c r="G51" s="25"/>
      <c r="H51" s="25">
        <f t="shared" si="67"/>
        <v>4.14</v>
      </c>
      <c r="I51" s="212">
        <f t="shared" si="68"/>
        <v>12</v>
      </c>
      <c r="J51" s="27">
        <f t="shared" si="69"/>
        <v>12.0230876698495</v>
      </c>
      <c r="K51" s="131">
        <f t="shared" si="70"/>
        <v>24.2728</v>
      </c>
      <c r="L51" s="131"/>
      <c r="M51" s="25">
        <f t="shared" si="71"/>
        <v>0.505619458818101</v>
      </c>
      <c r="N51" s="27">
        <f t="shared" si="72"/>
        <v>4.09551761642662</v>
      </c>
      <c r="O51" s="27">
        <f t="shared" si="53"/>
        <v>4.05389229994809</v>
      </c>
      <c r="P51" s="25">
        <f t="shared" si="73"/>
        <v>0.227528756468145</v>
      </c>
      <c r="Q51" s="25">
        <f t="shared" si="74"/>
        <v>17.8065983322896</v>
      </c>
      <c r="R51" s="25">
        <f t="shared" si="75"/>
        <v>0.254220487760387</v>
      </c>
      <c r="S51" s="27">
        <f t="shared" si="76"/>
        <v>17.6256186954265</v>
      </c>
      <c r="T51" s="27">
        <f t="shared" si="77"/>
        <v>17.6256186954265</v>
      </c>
      <c r="U51" s="25">
        <f t="shared" si="78"/>
        <v>1.5</v>
      </c>
      <c r="V51" s="25">
        <f t="shared" si="79"/>
        <v>3.125</v>
      </c>
      <c r="W51" s="25">
        <f t="shared" si="80"/>
        <v>3.11899913148262</v>
      </c>
      <c r="X51" s="24">
        <f t="shared" si="81"/>
        <v>350</v>
      </c>
      <c r="Y51" s="131">
        <f t="shared" si="54"/>
        <v>160.153769874493</v>
      </c>
      <c r="AA51" s="25">
        <f t="shared" si="82"/>
        <v>0.686373299462112</v>
      </c>
      <c r="AB51" s="5">
        <f t="shared" si="83"/>
        <v>1.42719848326346</v>
      </c>
      <c r="AC51" s="5">
        <f t="shared" si="84"/>
        <v>0.114342751531264</v>
      </c>
      <c r="AD51" s="5"/>
      <c r="AE51" s="5">
        <f t="shared" si="85"/>
        <v>0.623799826296524</v>
      </c>
      <c r="AF51" s="216">
        <f t="shared" si="86"/>
        <v>3685.23759995387</v>
      </c>
      <c r="AG51" s="217">
        <f t="shared" si="87"/>
        <v>0.0218439104173385</v>
      </c>
      <c r="AI51" s="5">
        <f t="shared" si="88"/>
        <v>1.02612135176998</v>
      </c>
      <c r="AJ51" s="5">
        <f t="shared" si="89"/>
        <v>1.5</v>
      </c>
      <c r="AK51" s="5">
        <f t="shared" si="90"/>
        <v>2</v>
      </c>
      <c r="AM51" s="216">
        <f t="shared" si="91"/>
        <v>230</v>
      </c>
      <c r="AN51" s="220">
        <f t="shared" si="92"/>
        <v>160.153769874493</v>
      </c>
      <c r="AP51" t="str">
        <f t="shared" si="93"/>
        <v/>
      </c>
      <c r="AQ51" s="220" t="str">
        <f t="shared" si="94"/>
        <v/>
      </c>
      <c r="AR51" s="220"/>
      <c r="AS51" s="192">
        <f t="shared" si="55"/>
        <v>6.24399913148262</v>
      </c>
      <c r="AT51" s="192">
        <f t="shared" si="95"/>
        <v>3.125</v>
      </c>
      <c r="AU51" s="192">
        <f t="shared" si="56"/>
        <v>3.11899913148262</v>
      </c>
      <c r="AV51" s="192">
        <f t="shared" si="96"/>
        <v>3.11899913148262</v>
      </c>
      <c r="AW51" s="5">
        <f t="shared" si="57"/>
        <v>0.50048053085779</v>
      </c>
      <c r="AX51" s="5">
        <f t="shared" si="97"/>
        <v>4.50432477772011</v>
      </c>
      <c r="AY51" s="5">
        <f t="shared" si="98"/>
        <v>0.249884614438391</v>
      </c>
      <c r="AZ51" s="5">
        <f t="shared" si="58"/>
        <v>18.0256186954265</v>
      </c>
      <c r="BA51" s="220">
        <f t="shared" si="99"/>
        <v>4.91946604768167</v>
      </c>
      <c r="BB51" s="220">
        <f t="shared" si="100"/>
        <v>35.5018041960095</v>
      </c>
      <c r="BC51" s="192">
        <f t="shared" si="101"/>
        <v>1.99269388955834</v>
      </c>
      <c r="BD51" s="220">
        <f t="shared" si="102"/>
        <v>12.8335687524506</v>
      </c>
      <c r="BE51" s="192"/>
      <c r="BF51" s="5">
        <f t="shared" si="59"/>
        <v>0.612666628880129</v>
      </c>
      <c r="BG51" s="5">
        <f t="shared" si="103"/>
        <v>0.408256093439408</v>
      </c>
      <c r="BH51" s="5"/>
      <c r="BI51" s="217">
        <f t="shared" si="104"/>
        <v>0.13137613935017</v>
      </c>
      <c r="BJ51" s="217">
        <f t="shared" si="105"/>
        <v>0.0291553531905719</v>
      </c>
      <c r="BK51" s="217">
        <f t="shared" si="106"/>
        <v>0.00200192212343116</v>
      </c>
      <c r="BL51" s="217">
        <f t="shared" si="107"/>
        <v>0.00471788037949409</v>
      </c>
      <c r="BM51">
        <f t="shared" si="108"/>
        <v>0.00348</v>
      </c>
      <c r="BN51">
        <f t="shared" si="109"/>
        <v>2.80269097280362e-6</v>
      </c>
      <c r="BO51" s="217">
        <f t="shared" si="110"/>
        <v>0.245002884686723</v>
      </c>
      <c r="BP51" s="220">
        <f t="shared" si="60"/>
        <v>245.002884686723</v>
      </c>
      <c r="BQ51" s="217">
        <f t="shared" si="111"/>
        <v>0.257625626155285</v>
      </c>
      <c r="BR51" s="217"/>
      <c r="BT51" s="220">
        <f t="shared" si="61"/>
        <v>257.625626155285</v>
      </c>
      <c r="BU51" s="217">
        <f t="shared" si="112"/>
        <v>0.015389776323877</v>
      </c>
      <c r="BV51" s="217">
        <f t="shared" si="113"/>
        <v>0.0166673037830407</v>
      </c>
      <c r="BW51" s="217">
        <f t="shared" si="114"/>
        <v>0</v>
      </c>
      <c r="BX51" s="217">
        <f t="shared" si="115"/>
        <v>0.0443525155189812</v>
      </c>
      <c r="BY51" s="217">
        <f t="shared" si="116"/>
        <v>0.0144138392887043</v>
      </c>
      <c r="BZ51" s="220">
        <f t="shared" si="62"/>
        <v>58.7663548076856</v>
      </c>
      <c r="CA51" s="5">
        <f t="shared" si="63"/>
        <v>0.561394865649693</v>
      </c>
      <c r="CB51" s="192">
        <f t="shared" si="64"/>
        <v>4.05389229994809</v>
      </c>
      <c r="CC51" s="5">
        <f t="shared" si="65"/>
        <v>0.878361877493926</v>
      </c>
      <c r="CD51" s="192">
        <f t="shared" si="66"/>
        <v>87.8361877493926</v>
      </c>
      <c r="CG51" s="227">
        <f t="shared" si="117"/>
        <v>160.153769874493</v>
      </c>
      <c r="CH51">
        <f t="shared" si="118"/>
        <v>3.59734654287394</v>
      </c>
    </row>
    <row r="52" spans="5:86">
      <c r="E52" s="22">
        <v>47</v>
      </c>
      <c r="F52" s="25">
        <f t="shared" si="119"/>
        <v>0.235</v>
      </c>
      <c r="G52" s="25"/>
      <c r="H52" s="25">
        <f t="shared" si="67"/>
        <v>4.23</v>
      </c>
      <c r="I52" s="212">
        <f t="shared" si="68"/>
        <v>12</v>
      </c>
      <c r="J52" s="27">
        <f t="shared" si="69"/>
        <v>11.5345781826805</v>
      </c>
      <c r="K52" s="131">
        <f t="shared" si="70"/>
        <v>24.2728</v>
      </c>
      <c r="L52" s="131"/>
      <c r="M52" s="25">
        <f t="shared" si="71"/>
        <v>0.505619458818101</v>
      </c>
      <c r="N52" s="27">
        <f t="shared" si="72"/>
        <v>4.09551761642662</v>
      </c>
      <c r="O52" s="27">
        <f t="shared" si="53"/>
        <v>3.96990685596688</v>
      </c>
      <c r="P52" s="25">
        <f t="shared" si="73"/>
        <v>0.227528756468145</v>
      </c>
      <c r="Q52" s="25">
        <f t="shared" si="74"/>
        <v>17.4277345379856</v>
      </c>
      <c r="R52" s="25">
        <f t="shared" si="75"/>
        <v>0.257032144176729</v>
      </c>
      <c r="S52" s="27">
        <f t="shared" si="76"/>
        <v>16.8932206636889</v>
      </c>
      <c r="T52" s="27">
        <f t="shared" si="77"/>
        <v>16.8932206636889</v>
      </c>
      <c r="U52" s="25">
        <f t="shared" si="78"/>
        <v>1.5</v>
      </c>
      <c r="V52" s="25">
        <f t="shared" si="79"/>
        <v>3.125</v>
      </c>
      <c r="W52" s="25">
        <f t="shared" si="80"/>
        <v>3.25109418013286</v>
      </c>
      <c r="X52" s="24">
        <f t="shared" si="81"/>
        <v>350</v>
      </c>
      <c r="Y52" s="131">
        <f t="shared" si="54"/>
        <v>156.835826408568</v>
      </c>
      <c r="AA52" s="25">
        <f t="shared" si="82"/>
        <v>0.672153541751007</v>
      </c>
      <c r="AB52" s="5">
        <f t="shared" si="83"/>
        <v>1.45682297849493</v>
      </c>
      <c r="AC52" s="5">
        <f t="shared" si="84"/>
        <v>0.114298138390563</v>
      </c>
      <c r="AD52" s="5"/>
      <c r="AE52" s="5">
        <f t="shared" si="85"/>
        <v>0.650218836026571</v>
      </c>
      <c r="AF52" s="216">
        <f t="shared" si="86"/>
        <v>3612.36164974835</v>
      </c>
      <c r="AG52" s="217">
        <f t="shared" si="87"/>
        <v>0.0227690380905605</v>
      </c>
      <c r="AI52" s="5">
        <f t="shared" si="88"/>
        <v>1.01592486360928</v>
      </c>
      <c r="AJ52" s="5">
        <f t="shared" si="89"/>
        <v>1.5</v>
      </c>
      <c r="AK52" s="5">
        <f t="shared" si="90"/>
        <v>2</v>
      </c>
      <c r="AM52" s="216">
        <f t="shared" si="91"/>
        <v>235</v>
      </c>
      <c r="AN52" s="220">
        <f t="shared" si="92"/>
        <v>156.835826408568</v>
      </c>
      <c r="AP52" t="str">
        <f t="shared" si="93"/>
        <v/>
      </c>
      <c r="AQ52" s="220" t="str">
        <f t="shared" si="94"/>
        <v/>
      </c>
      <c r="AR52" s="220"/>
      <c r="AS52" s="192">
        <f t="shared" si="55"/>
        <v>6.37609418013286</v>
      </c>
      <c r="AT52" s="192">
        <f t="shared" si="95"/>
        <v>3.125</v>
      </c>
      <c r="AU52" s="192">
        <f t="shared" si="56"/>
        <v>3.25109418013286</v>
      </c>
      <c r="AV52" s="192">
        <f t="shared" si="96"/>
        <v>3.25109418013286</v>
      </c>
      <c r="AW52" s="5">
        <f t="shared" si="57"/>
        <v>0.490111957526776</v>
      </c>
      <c r="AX52" s="5">
        <f t="shared" si="97"/>
        <v>4.41100761774099</v>
      </c>
      <c r="AY52" s="5">
        <f t="shared" si="98"/>
        <v>0.25507149324723</v>
      </c>
      <c r="AZ52" s="5">
        <f t="shared" si="58"/>
        <v>17.2932206636889</v>
      </c>
      <c r="BA52" s="220">
        <f t="shared" si="99"/>
        <v>4.91946604768167</v>
      </c>
      <c r="BB52" s="220">
        <f t="shared" si="100"/>
        <v>37.0468126034901</v>
      </c>
      <c r="BC52" s="192">
        <f t="shared" si="101"/>
        <v>2.12224203425339</v>
      </c>
      <c r="BD52" s="220">
        <f t="shared" si="102"/>
        <v>13.0532528999014</v>
      </c>
      <c r="BE52" s="192"/>
      <c r="BF52" s="5">
        <f t="shared" si="59"/>
        <v>0.606287034452397</v>
      </c>
      <c r="BG52" s="5">
        <f t="shared" si="103"/>
        <v>0.412471436581859</v>
      </c>
      <c r="BH52" s="5"/>
      <c r="BI52" s="217">
        <f t="shared" si="104"/>
        <v>0.128654388850779</v>
      </c>
      <c r="BJ52" s="217">
        <f t="shared" si="105"/>
        <v>0.0285513348543742</v>
      </c>
      <c r="BK52" s="217">
        <f t="shared" si="106"/>
        <v>0.0019604478301071</v>
      </c>
      <c r="BL52" s="217">
        <f t="shared" si="107"/>
        <v>0.00462013893768837</v>
      </c>
      <c r="BM52">
        <f t="shared" si="108"/>
        <v>0.00348</v>
      </c>
      <c r="BN52">
        <f t="shared" si="109"/>
        <v>2.74462696214995e-6</v>
      </c>
      <c r="BO52" s="217">
        <f t="shared" si="110"/>
        <v>0.239608841428294</v>
      </c>
      <c r="BP52" s="220">
        <f t="shared" si="60"/>
        <v>239.608841428294</v>
      </c>
      <c r="BQ52" s="217">
        <f t="shared" si="111"/>
        <v>0.2631223208987</v>
      </c>
      <c r="BR52" s="217"/>
      <c r="BT52" s="220">
        <f t="shared" si="61"/>
        <v>263.1223208987</v>
      </c>
      <c r="BU52" s="217">
        <f t="shared" si="112"/>
        <v>0.0150709426939484</v>
      </c>
      <c r="BV52" s="217">
        <f t="shared" si="113"/>
        <v>0.0170132685995903</v>
      </c>
      <c r="BW52" s="217">
        <f t="shared" si="114"/>
        <v>0</v>
      </c>
      <c r="BX52" s="217">
        <f t="shared" si="115"/>
        <v>0.0443901494197501</v>
      </c>
      <c r="BY52" s="217">
        <f t="shared" si="116"/>
        <v>0.0141152243767712</v>
      </c>
      <c r="BZ52" s="220">
        <f t="shared" si="62"/>
        <v>58.5053737965212</v>
      </c>
      <c r="CA52" s="5">
        <f t="shared" si="63"/>
        <v>0.561236536123515</v>
      </c>
      <c r="CB52" s="192">
        <f t="shared" si="64"/>
        <v>3.96990685596688</v>
      </c>
      <c r="CC52" s="5">
        <f t="shared" si="65"/>
        <v>0.876137988238639</v>
      </c>
      <c r="CD52" s="192">
        <f t="shared" si="66"/>
        <v>87.6137988238639</v>
      </c>
      <c r="CG52" s="227">
        <f t="shared" si="117"/>
        <v>-50</v>
      </c>
      <c r="CH52">
        <f t="shared" si="118"/>
        <v>-50</v>
      </c>
    </row>
    <row r="53" spans="5:86">
      <c r="E53" s="22">
        <v>48</v>
      </c>
      <c r="F53" s="25">
        <f t="shared" si="119"/>
        <v>0.24</v>
      </c>
      <c r="G53" s="25"/>
      <c r="H53" s="25">
        <f t="shared" si="67"/>
        <v>4.32</v>
      </c>
      <c r="I53" s="212">
        <f t="shared" si="68"/>
        <v>12</v>
      </c>
      <c r="J53" s="27">
        <f t="shared" si="69"/>
        <v>11.0673337667566</v>
      </c>
      <c r="K53" s="131">
        <f t="shared" si="70"/>
        <v>24.2728</v>
      </c>
      <c r="L53" s="131"/>
      <c r="M53" s="25">
        <f t="shared" si="71"/>
        <v>0.505619458818101</v>
      </c>
      <c r="N53" s="27">
        <f t="shared" si="72"/>
        <v>4.09551761642662</v>
      </c>
      <c r="O53" s="27">
        <f t="shared" si="53"/>
        <v>3.88624903151662</v>
      </c>
      <c r="P53" s="25">
        <f t="shared" si="73"/>
        <v>0.227528756468145</v>
      </c>
      <c r="Q53" s="25">
        <f t="shared" si="74"/>
        <v>17.0646567351109</v>
      </c>
      <c r="R53" s="25">
        <f t="shared" si="75"/>
        <v>0.259788198122147</v>
      </c>
      <c r="S53" s="27">
        <f t="shared" si="76"/>
        <v>16.1927042979859</v>
      </c>
      <c r="T53" s="27">
        <f t="shared" si="77"/>
        <v>16.1927042979859</v>
      </c>
      <c r="U53" s="25">
        <f t="shared" si="78"/>
        <v>1.5</v>
      </c>
      <c r="V53" s="25">
        <f t="shared" si="79"/>
        <v>3.125</v>
      </c>
      <c r="W53" s="25">
        <f t="shared" si="80"/>
        <v>3.38834996669571</v>
      </c>
      <c r="X53" s="24">
        <f t="shared" si="81"/>
        <v>350</v>
      </c>
      <c r="Y53" s="131">
        <f t="shared" si="54"/>
        <v>153.530825936459</v>
      </c>
      <c r="AA53" s="25">
        <f t="shared" si="82"/>
        <v>0.657989254013396</v>
      </c>
      <c r="AB53" s="5">
        <f t="shared" si="83"/>
        <v>1.48633191128162</v>
      </c>
      <c r="AC53" s="5">
        <f t="shared" si="84"/>
        <v>0.11415593241888</v>
      </c>
      <c r="AD53" s="5"/>
      <c r="AE53" s="5">
        <f t="shared" si="85"/>
        <v>0.677669993339141</v>
      </c>
      <c r="AF53" s="216">
        <f t="shared" si="86"/>
        <v>3539.77691690366</v>
      </c>
      <c r="AG53" s="217">
        <f t="shared" si="87"/>
        <v>0.0237303089917534</v>
      </c>
      <c r="AI53" s="5">
        <f t="shared" si="88"/>
        <v>1.00566636286646</v>
      </c>
      <c r="AJ53" s="5">
        <f t="shared" si="89"/>
        <v>1.5</v>
      </c>
      <c r="AK53" s="5">
        <f t="shared" si="90"/>
        <v>2</v>
      </c>
      <c r="AM53" s="216">
        <f t="shared" si="91"/>
        <v>240</v>
      </c>
      <c r="AN53" s="220">
        <f t="shared" si="92"/>
        <v>153.530825936459</v>
      </c>
      <c r="AP53" t="str">
        <f t="shared" si="93"/>
        <v/>
      </c>
      <c r="AQ53" s="220" t="str">
        <f t="shared" si="94"/>
        <v/>
      </c>
      <c r="AR53" s="220"/>
      <c r="AS53" s="192">
        <f t="shared" si="55"/>
        <v>6.51334996669571</v>
      </c>
      <c r="AT53" s="192">
        <f t="shared" si="95"/>
        <v>3.125</v>
      </c>
      <c r="AU53" s="192">
        <f t="shared" si="56"/>
        <v>3.38834996669571</v>
      </c>
      <c r="AV53" s="192">
        <f t="shared" si="96"/>
        <v>3.38834996669571</v>
      </c>
      <c r="AW53" s="5">
        <f t="shared" si="57"/>
        <v>0.479783831051434</v>
      </c>
      <c r="AX53" s="5">
        <f t="shared" si="97"/>
        <v>4.31805447946291</v>
      </c>
      <c r="AY53" s="5">
        <f t="shared" si="98"/>
        <v>0.26023813851652</v>
      </c>
      <c r="AZ53" s="5">
        <f t="shared" si="58"/>
        <v>16.5927042979859</v>
      </c>
      <c r="BA53" s="220">
        <f t="shared" si="99"/>
        <v>4.91946604768167</v>
      </c>
      <c r="BB53" s="220">
        <f t="shared" si="100"/>
        <v>38.6247244175831</v>
      </c>
      <c r="BC53" s="192">
        <f t="shared" si="101"/>
        <v>2.25889997779714</v>
      </c>
      <c r="BD53" s="220">
        <f t="shared" si="102"/>
        <v>13.2720800795977</v>
      </c>
      <c r="BE53" s="192"/>
      <c r="BF53" s="5">
        <f t="shared" si="59"/>
        <v>0.599864879192453</v>
      </c>
      <c r="BG53" s="5">
        <f t="shared" si="103"/>
        <v>0.416627937602027</v>
      </c>
      <c r="BH53" s="5"/>
      <c r="BI53" s="217">
        <f t="shared" si="104"/>
        <v>0.125943255651002</v>
      </c>
      <c r="BJ53" s="217">
        <f t="shared" si="105"/>
        <v>0.0279496727384286</v>
      </c>
      <c r="BK53" s="217">
        <f t="shared" si="106"/>
        <v>0.00191913532420574</v>
      </c>
      <c r="BL53" s="217">
        <f t="shared" si="107"/>
        <v>0.0045227787763022</v>
      </c>
      <c r="BM53">
        <f t="shared" si="108"/>
        <v>0.00348</v>
      </c>
      <c r="BN53">
        <f t="shared" si="109"/>
        <v>2.68678945388803e-6</v>
      </c>
      <c r="BO53" s="217">
        <f t="shared" si="110"/>
        <v>0.234253511641057</v>
      </c>
      <c r="BP53" s="220">
        <f t="shared" si="60"/>
        <v>234.253511641057</v>
      </c>
      <c r="BQ53" s="217">
        <f t="shared" si="111"/>
        <v>0.268610451900704</v>
      </c>
      <c r="BR53" s="217"/>
      <c r="BT53" s="220">
        <f t="shared" si="61"/>
        <v>268.610451900704</v>
      </c>
      <c r="BU53" s="217">
        <f t="shared" si="112"/>
        <v>0.0147533528048316</v>
      </c>
      <c r="BV53" s="217">
        <f t="shared" si="113"/>
        <v>0.0173578838390519</v>
      </c>
      <c r="BW53" s="217">
        <f t="shared" si="114"/>
        <v>0</v>
      </c>
      <c r="BX53" s="217">
        <f t="shared" si="115"/>
        <v>0.0444276366769482</v>
      </c>
      <c r="BY53" s="217">
        <f t="shared" si="116"/>
        <v>0.0138177743342813</v>
      </c>
      <c r="BZ53" s="220">
        <f t="shared" si="62"/>
        <v>58.2454110112295</v>
      </c>
      <c r="CA53" s="5">
        <f t="shared" si="63"/>
        <v>0.56110937455299</v>
      </c>
      <c r="CB53" s="192">
        <f t="shared" si="64"/>
        <v>3.88624903151662</v>
      </c>
      <c r="CC53" s="5">
        <f t="shared" si="65"/>
        <v>0.873833110957011</v>
      </c>
      <c r="CD53" s="192">
        <f t="shared" si="66"/>
        <v>87.3833110957011</v>
      </c>
      <c r="CG53" s="227">
        <f t="shared" si="117"/>
        <v>-50</v>
      </c>
      <c r="CH53">
        <f t="shared" si="118"/>
        <v>-50</v>
      </c>
    </row>
    <row r="54" spans="5:86">
      <c r="E54" s="22">
        <v>49</v>
      </c>
      <c r="F54" s="25">
        <f t="shared" si="119"/>
        <v>0.245</v>
      </c>
      <c r="G54" s="25"/>
      <c r="H54" s="25">
        <f t="shared" si="67"/>
        <v>4.41</v>
      </c>
      <c r="I54" s="212">
        <f t="shared" si="68"/>
        <v>12</v>
      </c>
      <c r="J54" s="27">
        <f t="shared" si="69"/>
        <v>10.6201027446726</v>
      </c>
      <c r="K54" s="131">
        <f t="shared" si="70"/>
        <v>24.2728</v>
      </c>
      <c r="L54" s="131"/>
      <c r="M54" s="25">
        <f t="shared" si="71"/>
        <v>0.505619458818101</v>
      </c>
      <c r="N54" s="27">
        <f t="shared" si="72"/>
        <v>4.09551761642662</v>
      </c>
      <c r="O54" s="27">
        <f t="shared" si="53"/>
        <v>3.80293729002215</v>
      </c>
      <c r="P54" s="25">
        <f t="shared" si="73"/>
        <v>0.227528756468145</v>
      </c>
      <c r="Q54" s="25">
        <f t="shared" si="74"/>
        <v>16.7163984343944</v>
      </c>
      <c r="R54" s="25">
        <f t="shared" si="75"/>
        <v>0.262490432903227</v>
      </c>
      <c r="S54" s="27">
        <f t="shared" si="76"/>
        <v>15.5221930204986</v>
      </c>
      <c r="T54" s="27">
        <f t="shared" si="77"/>
        <v>15.5221930204986</v>
      </c>
      <c r="U54" s="25">
        <f t="shared" si="78"/>
        <v>1.5</v>
      </c>
      <c r="V54" s="25">
        <f t="shared" si="79"/>
        <v>3.125</v>
      </c>
      <c r="W54" s="25">
        <f t="shared" si="80"/>
        <v>3.53103928479517</v>
      </c>
      <c r="X54" s="24">
        <f t="shared" si="81"/>
        <v>350</v>
      </c>
      <c r="Y54" s="131">
        <f t="shared" si="54"/>
        <v>150.239497877419</v>
      </c>
      <c r="AA54" s="25">
        <f t="shared" si="82"/>
        <v>0.643883562331795</v>
      </c>
      <c r="AB54" s="5">
        <f t="shared" si="83"/>
        <v>1.51571876895162</v>
      </c>
      <c r="AC54" s="5">
        <f t="shared" si="84"/>
        <v>0.113917343592028</v>
      </c>
      <c r="AD54" s="5"/>
      <c r="AE54" s="5">
        <f t="shared" si="85"/>
        <v>0.706207856959035</v>
      </c>
      <c r="AF54" s="216">
        <f t="shared" si="86"/>
        <v>3467.49981335304</v>
      </c>
      <c r="AG54" s="217">
        <f t="shared" si="87"/>
        <v>0.024729633631063</v>
      </c>
      <c r="AI54" s="5">
        <f t="shared" si="88"/>
        <v>0.995346287674085</v>
      </c>
      <c r="AJ54" s="5">
        <f t="shared" si="89"/>
        <v>1.5</v>
      </c>
      <c r="AK54" s="5">
        <f t="shared" si="90"/>
        <v>2</v>
      </c>
      <c r="AM54" s="216">
        <f t="shared" si="91"/>
        <v>245</v>
      </c>
      <c r="AN54" s="220">
        <f t="shared" si="92"/>
        <v>150.239497877419</v>
      </c>
      <c r="AP54" t="str">
        <f t="shared" si="93"/>
        <v/>
      </c>
      <c r="AQ54" s="220" t="str">
        <f t="shared" si="94"/>
        <v/>
      </c>
      <c r="AR54" s="220"/>
      <c r="AS54" s="192">
        <f t="shared" si="55"/>
        <v>6.65603928479517</v>
      </c>
      <c r="AT54" s="192">
        <f t="shared" si="95"/>
        <v>3.125</v>
      </c>
      <c r="AU54" s="192">
        <f t="shared" si="56"/>
        <v>3.53103928479517</v>
      </c>
      <c r="AV54" s="192">
        <f t="shared" si="96"/>
        <v>3.53103928479517</v>
      </c>
      <c r="AW54" s="5">
        <f t="shared" si="57"/>
        <v>0.469498430866933</v>
      </c>
      <c r="AX54" s="5">
        <f t="shared" si="97"/>
        <v>4.2254858778024</v>
      </c>
      <c r="AY54" s="5">
        <f t="shared" si="98"/>
        <v>0.265383409958817</v>
      </c>
      <c r="AZ54" s="5">
        <f t="shared" si="58"/>
        <v>15.9221930204986</v>
      </c>
      <c r="BA54" s="220">
        <f t="shared" si="99"/>
        <v>4.91946604768167</v>
      </c>
      <c r="BB54" s="220">
        <f t="shared" si="100"/>
        <v>40.2355396382887</v>
      </c>
      <c r="BC54" s="192">
        <f t="shared" si="101"/>
        <v>2.40306840215227</v>
      </c>
      <c r="BD54" s="220">
        <f t="shared" si="102"/>
        <v>13.4900019960068</v>
      </c>
      <c r="BE54" s="192"/>
      <c r="BF54" s="5">
        <f t="shared" si="59"/>
        <v>0.593400221730832</v>
      </c>
      <c r="BG54" s="5">
        <f t="shared" si="103"/>
        <v>0.420726436586211</v>
      </c>
      <c r="BH54" s="5"/>
      <c r="BI54" s="217">
        <f t="shared" si="104"/>
        <v>0.12324333810257</v>
      </c>
      <c r="BJ54" s="217">
        <f t="shared" si="105"/>
        <v>0.0273504996305926</v>
      </c>
      <c r="BK54" s="217">
        <f t="shared" si="106"/>
        <v>0.00187799372346773</v>
      </c>
      <c r="BL54" s="217">
        <f t="shared" si="107"/>
        <v>0.00442582138288965</v>
      </c>
      <c r="BM54">
        <f t="shared" si="108"/>
        <v>0.00348</v>
      </c>
      <c r="BN54">
        <f t="shared" si="109"/>
        <v>2.62919121285483e-6</v>
      </c>
      <c r="BO54" s="217">
        <f t="shared" si="110"/>
        <v>0.228937778061773</v>
      </c>
      <c r="BP54" s="220">
        <f t="shared" si="60"/>
        <v>228.937778061773</v>
      </c>
      <c r="BQ54" s="217">
        <f t="shared" si="111"/>
        <v>0.274089536540508</v>
      </c>
      <c r="BR54" s="217"/>
      <c r="BT54" s="220">
        <f t="shared" si="61"/>
        <v>274.089536540508</v>
      </c>
      <c r="BU54" s="217">
        <f t="shared" si="112"/>
        <v>0.0144370767491582</v>
      </c>
      <c r="BV54" s="217">
        <f t="shared" si="113"/>
        <v>0.0177010734442531</v>
      </c>
      <c r="BW54" s="217">
        <f t="shared" si="114"/>
        <v>0</v>
      </c>
      <c r="BX54" s="217">
        <f t="shared" si="115"/>
        <v>0.0444649690151118</v>
      </c>
      <c r="BY54" s="217">
        <f t="shared" si="116"/>
        <v>0.0135215548089677</v>
      </c>
      <c r="BZ54" s="220">
        <f t="shared" si="62"/>
        <v>57.9865238240795</v>
      </c>
      <c r="CA54" s="5">
        <f t="shared" si="63"/>
        <v>0.56101383842636</v>
      </c>
      <c r="CB54" s="192">
        <f t="shared" si="64"/>
        <v>3.80293729002215</v>
      </c>
      <c r="CC54" s="5">
        <f t="shared" si="65"/>
        <v>0.871443601930113</v>
      </c>
      <c r="CD54" s="192">
        <f t="shared" si="66"/>
        <v>87.1443601930113</v>
      </c>
      <c r="CG54" s="227">
        <f t="shared" si="117"/>
        <v>-50</v>
      </c>
      <c r="CH54">
        <f t="shared" si="118"/>
        <v>-50</v>
      </c>
    </row>
    <row r="55" spans="5:86">
      <c r="E55" s="22">
        <v>50</v>
      </c>
      <c r="F55" s="25">
        <f t="shared" si="119"/>
        <v>0.25</v>
      </c>
      <c r="G55" s="25"/>
      <c r="H55" s="25">
        <f t="shared" si="67"/>
        <v>4.5</v>
      </c>
      <c r="I55" s="212">
        <f t="shared" si="68"/>
        <v>12</v>
      </c>
      <c r="J55" s="27">
        <f t="shared" si="69"/>
        <v>10.1917368395213</v>
      </c>
      <c r="K55" s="131">
        <f t="shared" si="70"/>
        <v>24.2728</v>
      </c>
      <c r="L55" s="131"/>
      <c r="M55" s="25">
        <f t="shared" si="71"/>
        <v>0.505619458818101</v>
      </c>
      <c r="N55" s="27">
        <f t="shared" si="72"/>
        <v>4.09551761642662</v>
      </c>
      <c r="O55" s="27">
        <f t="shared" si="53"/>
        <v>3.71999131916091</v>
      </c>
      <c r="P55" s="25">
        <f t="shared" si="73"/>
        <v>0.227528756468145</v>
      </c>
      <c r="Q55" s="25">
        <f t="shared" si="74"/>
        <v>16.3820704657065</v>
      </c>
      <c r="R55" s="25">
        <f t="shared" si="75"/>
        <v>0.265140556373233</v>
      </c>
      <c r="S55" s="27">
        <f t="shared" si="76"/>
        <v>14.8799652766436</v>
      </c>
      <c r="T55" s="27">
        <f t="shared" si="77"/>
        <v>14.8799652766436</v>
      </c>
      <c r="U55" s="25">
        <f t="shared" si="78"/>
        <v>1.5</v>
      </c>
      <c r="V55" s="25">
        <f t="shared" si="79"/>
        <v>3.125</v>
      </c>
      <c r="W55" s="25">
        <f t="shared" si="80"/>
        <v>3.67945136245898</v>
      </c>
      <c r="X55" s="24">
        <f t="shared" si="81"/>
        <v>350</v>
      </c>
      <c r="Y55" s="131">
        <f t="shared" si="54"/>
        <v>146.962620016233</v>
      </c>
      <c r="AA55" s="25">
        <f t="shared" si="82"/>
        <v>0.629839800069572</v>
      </c>
      <c r="AB55" s="5">
        <f t="shared" si="83"/>
        <v>1.54497660699792</v>
      </c>
      <c r="AC55" s="5">
        <f t="shared" si="84"/>
        <v>0.113583668466609</v>
      </c>
      <c r="AD55" s="5"/>
      <c r="AE55" s="5">
        <f t="shared" si="85"/>
        <v>0.735890272491796</v>
      </c>
      <c r="AF55" s="216">
        <f t="shared" si="86"/>
        <v>3395.54783925414</v>
      </c>
      <c r="AG55" s="217">
        <f t="shared" si="87"/>
        <v>0.0257690376169815</v>
      </c>
      <c r="AI55" s="5">
        <f t="shared" si="88"/>
        <v>0.984965240757857</v>
      </c>
      <c r="AJ55" s="5">
        <f t="shared" si="89"/>
        <v>1.5</v>
      </c>
      <c r="AK55" s="5">
        <f t="shared" si="90"/>
        <v>2</v>
      </c>
      <c r="AM55" s="216">
        <f t="shared" si="91"/>
        <v>250</v>
      </c>
      <c r="AN55" s="220">
        <f t="shared" si="92"/>
        <v>146.962620016233</v>
      </c>
      <c r="AP55" t="str">
        <f t="shared" si="93"/>
        <v/>
      </c>
      <c r="AQ55" s="220" t="str">
        <f t="shared" si="94"/>
        <v/>
      </c>
      <c r="AR55" s="220"/>
      <c r="AS55" s="192">
        <f t="shared" si="55"/>
        <v>6.80445136245898</v>
      </c>
      <c r="AT55" s="192">
        <f t="shared" si="95"/>
        <v>3.125</v>
      </c>
      <c r="AU55" s="192">
        <f t="shared" si="56"/>
        <v>3.67945136245898</v>
      </c>
      <c r="AV55" s="192">
        <f t="shared" si="96"/>
        <v>3.67945136245898</v>
      </c>
      <c r="AW55" s="5">
        <f t="shared" si="57"/>
        <v>0.459258187550729</v>
      </c>
      <c r="AX55" s="5">
        <f t="shared" si="97"/>
        <v>4.13332368795656</v>
      </c>
      <c r="AY55" s="5">
        <f t="shared" si="98"/>
        <v>0.270506091677748</v>
      </c>
      <c r="AZ55" s="5">
        <f t="shared" si="58"/>
        <v>15.2799652766436</v>
      </c>
      <c r="BA55" s="220">
        <f t="shared" si="99"/>
        <v>4.91946604768167</v>
      </c>
      <c r="BB55" s="220">
        <f t="shared" si="100"/>
        <v>41.8792582656067</v>
      </c>
      <c r="BC55" s="192">
        <f t="shared" si="101"/>
        <v>2.55517455726318</v>
      </c>
      <c r="BD55" s="220">
        <f t="shared" si="102"/>
        <v>13.7069671512689</v>
      </c>
      <c r="BE55" s="192"/>
      <c r="BF55" s="5">
        <f t="shared" si="59"/>
        <v>0.586893210612499</v>
      </c>
      <c r="BG55" s="5">
        <f t="shared" si="103"/>
        <v>0.424767657842564</v>
      </c>
      <c r="BH55" s="5"/>
      <c r="BI55" s="217">
        <f t="shared" si="104"/>
        <v>0.120555274232066</v>
      </c>
      <c r="BJ55" s="217">
        <f t="shared" si="105"/>
        <v>0.0267539571234752</v>
      </c>
      <c r="BK55" s="217">
        <f t="shared" si="106"/>
        <v>0.00183703275020292</v>
      </c>
      <c r="BL55" s="217">
        <f t="shared" si="107"/>
        <v>0.00432928966977793</v>
      </c>
      <c r="BM55">
        <f t="shared" si="108"/>
        <v>0.00348</v>
      </c>
      <c r="BN55">
        <f t="shared" si="109"/>
        <v>2.57184585028408e-6</v>
      </c>
      <c r="BO55" s="217">
        <f t="shared" si="110"/>
        <v>0.223662589299057</v>
      </c>
      <c r="BP55" s="220">
        <f t="shared" si="60"/>
        <v>223.662589299057</v>
      </c>
      <c r="BQ55" s="217">
        <f t="shared" si="111"/>
        <v>0.279559060196235</v>
      </c>
      <c r="BR55" s="217"/>
      <c r="BT55" s="220">
        <f t="shared" si="61"/>
        <v>279.559060196235</v>
      </c>
      <c r="BU55" s="217">
        <f t="shared" si="112"/>
        <v>0.0141221892671849</v>
      </c>
      <c r="BV55" s="217">
        <f t="shared" si="113"/>
        <v>0.0180427563149058</v>
      </c>
      <c r="BW55" s="217">
        <f t="shared" si="114"/>
        <v>0</v>
      </c>
      <c r="BX55" s="217">
        <f t="shared" si="115"/>
        <v>0.0445021376100463</v>
      </c>
      <c r="BY55" s="217">
        <f t="shared" si="116"/>
        <v>0.013226635801461</v>
      </c>
      <c r="BZ55" s="220">
        <f t="shared" si="62"/>
        <v>57.7287734115073</v>
      </c>
      <c r="CA55" s="5">
        <f t="shared" si="63"/>
        <v>0.560950422906799</v>
      </c>
      <c r="CB55" s="192">
        <f t="shared" si="64"/>
        <v>3.71999131916091</v>
      </c>
      <c r="CC55" s="5">
        <f t="shared" si="65"/>
        <v>0.868965648984548</v>
      </c>
      <c r="CD55" s="192">
        <f t="shared" si="66"/>
        <v>86.8965648984548</v>
      </c>
      <c r="CG55" s="227">
        <f t="shared" si="117"/>
        <v>-50</v>
      </c>
      <c r="CH55">
        <f t="shared" si="118"/>
        <v>-50</v>
      </c>
    </row>
    <row r="56" spans="5:86">
      <c r="E56" s="22">
        <v>51</v>
      </c>
      <c r="F56" s="25">
        <f t="shared" si="119"/>
        <v>0.255</v>
      </c>
      <c r="G56" s="25"/>
      <c r="H56" s="25">
        <f t="shared" si="67"/>
        <v>4.59</v>
      </c>
      <c r="I56" s="212">
        <f t="shared" si="68"/>
        <v>12</v>
      </c>
      <c r="J56" s="27">
        <f t="shared" si="69"/>
        <v>9.78118125192921</v>
      </c>
      <c r="K56" s="131">
        <f t="shared" si="70"/>
        <v>24.2728</v>
      </c>
      <c r="L56" s="131"/>
      <c r="M56" s="25">
        <f t="shared" si="71"/>
        <v>0.505619458818101</v>
      </c>
      <c r="N56" s="27">
        <f t="shared" si="72"/>
        <v>4.09551761642662</v>
      </c>
      <c r="O56" s="27">
        <f t="shared" si="53"/>
        <v>3.63743211280652</v>
      </c>
      <c r="P56" s="25">
        <f t="shared" si="73"/>
        <v>0.227528756468145</v>
      </c>
      <c r="Q56" s="25">
        <f t="shared" si="74"/>
        <v>16.0608533977514</v>
      </c>
      <c r="R56" s="25">
        <f t="shared" si="75"/>
        <v>0.267740204880962</v>
      </c>
      <c r="S56" s="27">
        <f t="shared" si="76"/>
        <v>14.2644396580648</v>
      </c>
      <c r="T56" s="27">
        <f t="shared" si="77"/>
        <v>14.2644396580648</v>
      </c>
      <c r="U56" s="25">
        <f t="shared" si="78"/>
        <v>1.5</v>
      </c>
      <c r="V56" s="25">
        <f t="shared" si="79"/>
        <v>3.125</v>
      </c>
      <c r="W56" s="25">
        <f t="shared" si="80"/>
        <v>3.83389276142936</v>
      </c>
      <c r="X56" s="24">
        <f t="shared" si="81"/>
        <v>350</v>
      </c>
      <c r="Y56" s="131">
        <f t="shared" si="54"/>
        <v>143.701021740504</v>
      </c>
      <c r="AA56" s="25">
        <f t="shared" si="82"/>
        <v>0.615861521745019</v>
      </c>
      <c r="AB56" s="5">
        <f t="shared" si="83"/>
        <v>1.57409802017407</v>
      </c>
      <c r="AC56" s="5">
        <f t="shared" si="84"/>
        <v>0.113156296782814</v>
      </c>
      <c r="AD56" s="5"/>
      <c r="AE56" s="5">
        <f t="shared" si="85"/>
        <v>0.766778552285873</v>
      </c>
      <c r="AF56" s="216">
        <f t="shared" si="86"/>
        <v>3323.93965582802</v>
      </c>
      <c r="AG56" s="217">
        <f t="shared" si="87"/>
        <v>0.0268506679546705</v>
      </c>
      <c r="AI56" s="5">
        <f t="shared" si="88"/>
        <v>0.974524009207721</v>
      </c>
      <c r="AJ56" s="5">
        <f t="shared" si="89"/>
        <v>1.5</v>
      </c>
      <c r="AK56" s="5">
        <f t="shared" si="90"/>
        <v>2</v>
      </c>
      <c r="AM56" s="216">
        <f t="shared" si="91"/>
        <v>255</v>
      </c>
      <c r="AN56" s="220">
        <f t="shared" si="92"/>
        <v>143.701021740504</v>
      </c>
      <c r="AP56" t="str">
        <f t="shared" si="93"/>
        <v/>
      </c>
      <c r="AQ56" s="220" t="str">
        <f t="shared" si="94"/>
        <v/>
      </c>
      <c r="AR56" s="220"/>
      <c r="AS56" s="192">
        <f t="shared" si="55"/>
        <v>6.95889276142936</v>
      </c>
      <c r="AT56" s="192">
        <f t="shared" si="95"/>
        <v>3.125</v>
      </c>
      <c r="AU56" s="192">
        <f t="shared" si="56"/>
        <v>3.83389276142936</v>
      </c>
      <c r="AV56" s="192">
        <f t="shared" si="96"/>
        <v>3.83389276142936</v>
      </c>
      <c r="AW56" s="5">
        <f t="shared" si="57"/>
        <v>0.449065692939076</v>
      </c>
      <c r="AX56" s="5">
        <f t="shared" si="97"/>
        <v>4.04159123645169</v>
      </c>
      <c r="AY56" s="5">
        <f t="shared" si="98"/>
        <v>0.275604887107227</v>
      </c>
      <c r="AZ56" s="5">
        <f t="shared" si="58"/>
        <v>14.6644396580648</v>
      </c>
      <c r="BA56" s="220">
        <f t="shared" si="99"/>
        <v>4.91946604768167</v>
      </c>
      <c r="BB56" s="220">
        <f t="shared" si="100"/>
        <v>43.5558802995372</v>
      </c>
      <c r="BC56" s="192">
        <f t="shared" si="101"/>
        <v>2.7156740393458</v>
      </c>
      <c r="BD56" s="220">
        <f t="shared" si="102"/>
        <v>13.9229206308533</v>
      </c>
      <c r="BE56" s="192"/>
      <c r="BF56" s="5">
        <f t="shared" si="59"/>
        <v>0.580344095950245</v>
      </c>
      <c r="BG56" s="5">
        <f t="shared" si="103"/>
        <v>0.428752212473033</v>
      </c>
      <c r="BH56" s="5"/>
      <c r="BI56" s="217">
        <f t="shared" si="104"/>
        <v>0.117879744396508</v>
      </c>
      <c r="BJ56" s="217">
        <f t="shared" si="105"/>
        <v>0.0261601962037719</v>
      </c>
      <c r="BK56" s="217">
        <f t="shared" si="106"/>
        <v>0.00179626277175631</v>
      </c>
      <c r="BL56" s="217">
        <f t="shared" si="107"/>
        <v>0.00423320806943276</v>
      </c>
      <c r="BM56">
        <f t="shared" si="108"/>
        <v>0.00348</v>
      </c>
      <c r="BN56">
        <f t="shared" si="109"/>
        <v>2.51476788045883e-6</v>
      </c>
      <c r="BO56" s="217">
        <f t="shared" si="110"/>
        <v>0.218428964068794</v>
      </c>
      <c r="BP56" s="220">
        <f t="shared" si="60"/>
        <v>218.428964068794</v>
      </c>
      <c r="BQ56" s="217">
        <f t="shared" si="111"/>
        <v>0.285018474102965</v>
      </c>
      <c r="BR56" s="217"/>
      <c r="BT56" s="220">
        <f t="shared" si="61"/>
        <v>285.018474102965</v>
      </c>
      <c r="BU56" s="217">
        <f t="shared" si="112"/>
        <v>0.0138087700578766</v>
      </c>
      <c r="BV56" s="217">
        <f t="shared" si="113"/>
        <v>0.018382845970052</v>
      </c>
      <c r="BW56" s="217">
        <f t="shared" si="114"/>
        <v>0</v>
      </c>
      <c r="BX56" s="217">
        <f t="shared" si="115"/>
        <v>0.0445391330520959</v>
      </c>
      <c r="BY56" s="217">
        <f t="shared" si="116"/>
        <v>0.0129330919566454</v>
      </c>
      <c r="BZ56" s="220">
        <f t="shared" si="62"/>
        <v>57.4722250087413</v>
      </c>
      <c r="CA56" s="5">
        <f t="shared" si="63"/>
        <v>0.560919663180501</v>
      </c>
      <c r="CB56" s="192">
        <f t="shared" si="64"/>
        <v>3.63743211280652</v>
      </c>
      <c r="CC56" s="5">
        <f t="shared" si="65"/>
        <v>0.866395268164819</v>
      </c>
      <c r="CD56" s="192">
        <f t="shared" si="66"/>
        <v>86.6395268164819</v>
      </c>
      <c r="CG56" s="227">
        <f t="shared" si="117"/>
        <v>-50</v>
      </c>
      <c r="CH56">
        <f t="shared" si="118"/>
        <v>-50</v>
      </c>
    </row>
    <row r="57" spans="5:86">
      <c r="E57" s="22">
        <v>52</v>
      </c>
      <c r="F57" s="25">
        <f t="shared" si="119"/>
        <v>0.26</v>
      </c>
      <c r="G57" s="25"/>
      <c r="H57" s="25">
        <f t="shared" si="67"/>
        <v>4.68</v>
      </c>
      <c r="I57" s="212">
        <f t="shared" si="68"/>
        <v>12</v>
      </c>
      <c r="J57" s="27">
        <f t="shared" si="69"/>
        <v>9.38746589143235</v>
      </c>
      <c r="K57" s="131">
        <f t="shared" si="70"/>
        <v>24.2728</v>
      </c>
      <c r="L57" s="131"/>
      <c r="M57" s="25">
        <f t="shared" si="71"/>
        <v>0.505619458818101</v>
      </c>
      <c r="N57" s="27">
        <f t="shared" si="72"/>
        <v>4.09551761642662</v>
      </c>
      <c r="O57" s="27">
        <f t="shared" si="53"/>
        <v>3.5552820566303</v>
      </c>
      <c r="P57" s="25">
        <f t="shared" si="73"/>
        <v>0.227528756468145</v>
      </c>
      <c r="Q57" s="25">
        <f t="shared" si="74"/>
        <v>15.7519908324101</v>
      </c>
      <c r="R57" s="25">
        <f t="shared" si="75"/>
        <v>0.270290946974173</v>
      </c>
      <c r="S57" s="27">
        <f t="shared" si="76"/>
        <v>13.6741617562704</v>
      </c>
      <c r="T57" s="27">
        <f t="shared" si="77"/>
        <v>13.6741617562704</v>
      </c>
      <c r="U57" s="25">
        <f t="shared" si="78"/>
        <v>1.5</v>
      </c>
      <c r="V57" s="25">
        <f t="shared" si="79"/>
        <v>3.125</v>
      </c>
      <c r="W57" s="25">
        <f t="shared" si="80"/>
        <v>3.99468828262003</v>
      </c>
      <c r="X57" s="24">
        <f t="shared" si="81"/>
        <v>350</v>
      </c>
      <c r="Y57" s="131">
        <f t="shared" si="54"/>
        <v>140.455587422432</v>
      </c>
      <c r="AA57" s="25">
        <f t="shared" si="82"/>
        <v>0.601952517524707</v>
      </c>
      <c r="AB57" s="5">
        <f t="shared" si="83"/>
        <v>1.60307511229972</v>
      </c>
      <c r="AC57" s="5">
        <f t="shared" si="84"/>
        <v>0.112636718504314</v>
      </c>
      <c r="AD57" s="5"/>
      <c r="AE57" s="5">
        <f t="shared" si="85"/>
        <v>0.798937656524006</v>
      </c>
      <c r="AF57" s="216">
        <f t="shared" si="86"/>
        <v>3252.69516144916</v>
      </c>
      <c r="AG57" s="217">
        <f t="shared" si="87"/>
        <v>0.0279767993873294</v>
      </c>
      <c r="AI57" s="5">
        <f t="shared" si="88"/>
        <v>0.964023586173989</v>
      </c>
      <c r="AJ57" s="5">
        <f t="shared" si="89"/>
        <v>1.5</v>
      </c>
      <c r="AK57" s="5">
        <f t="shared" si="90"/>
        <v>2</v>
      </c>
      <c r="AM57" s="216">
        <f t="shared" si="91"/>
        <v>260</v>
      </c>
      <c r="AN57" s="220">
        <f t="shared" si="92"/>
        <v>140.455587422432</v>
      </c>
      <c r="AP57" t="str">
        <f t="shared" si="93"/>
        <v/>
      </c>
      <c r="AQ57" s="220" t="str">
        <f t="shared" si="94"/>
        <v/>
      </c>
      <c r="AR57" s="220"/>
      <c r="AS57" s="192">
        <f t="shared" si="55"/>
        <v>7.11968828262003</v>
      </c>
      <c r="AT57" s="192">
        <f t="shared" si="95"/>
        <v>3.125</v>
      </c>
      <c r="AU57" s="192">
        <f t="shared" si="56"/>
        <v>3.99468828262003</v>
      </c>
      <c r="AV57" s="192">
        <f t="shared" si="96"/>
        <v>3.99468828262003</v>
      </c>
      <c r="AW57" s="5">
        <f t="shared" si="57"/>
        <v>0.438923710695099</v>
      </c>
      <c r="AX57" s="5">
        <f t="shared" si="97"/>
        <v>3.95031339625589</v>
      </c>
      <c r="AY57" s="5">
        <f t="shared" si="98"/>
        <v>0.280678413724777</v>
      </c>
      <c r="AZ57" s="5">
        <f t="shared" si="58"/>
        <v>14.0741617562704</v>
      </c>
      <c r="BA57" s="220">
        <f t="shared" si="99"/>
        <v>4.91946604768167</v>
      </c>
      <c r="BB57" s="220">
        <f t="shared" si="100"/>
        <v>45.2654057400802</v>
      </c>
      <c r="BC57" s="192">
        <f t="shared" si="101"/>
        <v>2.88505264855891</v>
      </c>
      <c r="BD57" s="220">
        <f t="shared" si="102"/>
        <v>14.1378038796476</v>
      </c>
      <c r="BE57" s="192"/>
      <c r="BF57" s="5">
        <f t="shared" si="59"/>
        <v>0.573753242275217</v>
      </c>
      <c r="BG57" s="5">
        <f t="shared" si="103"/>
        <v>0.432680600390665</v>
      </c>
      <c r="BH57" s="5"/>
      <c r="BI57" s="217">
        <f t="shared" si="104"/>
        <v>0.115217474057464</v>
      </c>
      <c r="BJ57" s="217">
        <f t="shared" si="105"/>
        <v>0.025569377867904</v>
      </c>
      <c r="BK57" s="217">
        <f t="shared" si="106"/>
        <v>0.0017556948427804</v>
      </c>
      <c r="BL57" s="217">
        <f t="shared" si="107"/>
        <v>0.0041376026340804</v>
      </c>
      <c r="BM57">
        <f t="shared" si="108"/>
        <v>0.00348</v>
      </c>
      <c r="BN57">
        <f t="shared" si="109"/>
        <v>2.45797277989255e-6</v>
      </c>
      <c r="BO57" s="217">
        <f t="shared" si="110"/>
        <v>0.213237995599209</v>
      </c>
      <c r="BP57" s="220">
        <f t="shared" si="60"/>
        <v>213.237995599209</v>
      </c>
      <c r="BQ57" s="217">
        <f t="shared" si="111"/>
        <v>0.290467193115181</v>
      </c>
      <c r="BR57" s="217"/>
      <c r="BT57" s="220">
        <f t="shared" si="61"/>
        <v>290.467193115181</v>
      </c>
      <c r="BU57" s="217">
        <f t="shared" si="112"/>
        <v>0.0134969041038743</v>
      </c>
      <c r="BV57" s="217">
        <f t="shared" si="113"/>
        <v>0.0187212501954426</v>
      </c>
      <c r="BW57" s="217">
        <f t="shared" si="114"/>
        <v>0</v>
      </c>
      <c r="BX57" s="217">
        <f t="shared" si="115"/>
        <v>0.0445759453077744</v>
      </c>
      <c r="BY57" s="217">
        <f t="shared" si="116"/>
        <v>0.0126410028680189</v>
      </c>
      <c r="BZ57" s="220">
        <f t="shared" si="62"/>
        <v>57.2169481757933</v>
      </c>
      <c r="CA57" s="5">
        <f t="shared" si="63"/>
        <v>0.560922136890183</v>
      </c>
      <c r="CB57" s="192">
        <f t="shared" si="64"/>
        <v>3.5552820566303</v>
      </c>
      <c r="CC57" s="5">
        <f t="shared" si="65"/>
        <v>0.863728301483887</v>
      </c>
      <c r="CD57" s="192">
        <f t="shared" si="66"/>
        <v>86.3728301483887</v>
      </c>
      <c r="CG57" s="227">
        <f t="shared" si="117"/>
        <v>-50</v>
      </c>
      <c r="CH57">
        <f t="shared" si="118"/>
        <v>-50</v>
      </c>
    </row>
    <row r="58" spans="5:86">
      <c r="E58" s="22">
        <v>53</v>
      </c>
      <c r="F58" s="25">
        <f t="shared" si="119"/>
        <v>0.265</v>
      </c>
      <c r="G58" s="25"/>
      <c r="H58" s="25">
        <f t="shared" si="67"/>
        <v>4.77</v>
      </c>
      <c r="I58" s="212">
        <f t="shared" si="68"/>
        <v>12</v>
      </c>
      <c r="J58" s="27">
        <f t="shared" si="69"/>
        <v>9.00969760875277</v>
      </c>
      <c r="K58" s="131">
        <f t="shared" si="70"/>
        <v>24.2728</v>
      </c>
      <c r="L58" s="131"/>
      <c r="M58" s="25">
        <f t="shared" si="71"/>
        <v>0.505619458818101</v>
      </c>
      <c r="N58" s="27">
        <f t="shared" si="72"/>
        <v>4.09551761642662</v>
      </c>
      <c r="O58" s="27">
        <f t="shared" si="53"/>
        <v>3.47356501697074</v>
      </c>
      <c r="P58" s="25">
        <f t="shared" si="73"/>
        <v>0.227528756468145</v>
      </c>
      <c r="Q58" s="25">
        <f t="shared" si="74"/>
        <v>15.4547834582136</v>
      </c>
      <c r="R58" s="25">
        <f t="shared" si="75"/>
        <v>0.272794286875194</v>
      </c>
      <c r="S58" s="27">
        <f t="shared" si="76"/>
        <v>13.1077925168707</v>
      </c>
      <c r="T58" s="27">
        <f t="shared" si="77"/>
        <v>13.1077925168707</v>
      </c>
      <c r="U58" s="25">
        <f t="shared" si="78"/>
        <v>1.5</v>
      </c>
      <c r="V58" s="25">
        <f t="shared" si="79"/>
        <v>3.125</v>
      </c>
      <c r="W58" s="25">
        <f t="shared" si="80"/>
        <v>4.16218186541237</v>
      </c>
      <c r="X58" s="24">
        <f t="shared" si="81"/>
        <v>350</v>
      </c>
      <c r="Y58" s="131">
        <f t="shared" si="54"/>
        <v>137.227259929708</v>
      </c>
      <c r="AA58" s="25">
        <f t="shared" si="82"/>
        <v>0.588116828270178</v>
      </c>
      <c r="AB58" s="5">
        <f t="shared" si="83"/>
        <v>1.63189946491332</v>
      </c>
      <c r="AC58" s="5">
        <f t="shared" si="84"/>
        <v>0.112026531298419</v>
      </c>
      <c r="AD58" s="5"/>
      <c r="AE58" s="5">
        <f t="shared" si="85"/>
        <v>0.832436373082475</v>
      </c>
      <c r="AF58" s="216">
        <f t="shared" si="86"/>
        <v>3181.83557064066</v>
      </c>
      <c r="AG58" s="217">
        <f t="shared" si="87"/>
        <v>0.0291498406944156</v>
      </c>
      <c r="AI58" s="5">
        <f t="shared" si="88"/>
        <v>0.953465194606443</v>
      </c>
      <c r="AJ58" s="5">
        <f t="shared" si="89"/>
        <v>1.5</v>
      </c>
      <c r="AK58" s="5">
        <f t="shared" si="90"/>
        <v>2</v>
      </c>
      <c r="AM58" s="216">
        <f t="shared" si="91"/>
        <v>265</v>
      </c>
      <c r="AN58" s="220">
        <f t="shared" si="92"/>
        <v>137.227259929708</v>
      </c>
      <c r="AP58" t="str">
        <f t="shared" si="93"/>
        <v/>
      </c>
      <c r="AQ58" s="220" t="str">
        <f t="shared" si="94"/>
        <v/>
      </c>
      <c r="AR58" s="220"/>
      <c r="AS58" s="192">
        <f t="shared" si="55"/>
        <v>7.28718186541237</v>
      </c>
      <c r="AT58" s="192">
        <f t="shared" si="95"/>
        <v>3.125</v>
      </c>
      <c r="AU58" s="192">
        <f t="shared" si="56"/>
        <v>4.16218186541237</v>
      </c>
      <c r="AV58" s="192">
        <f t="shared" si="96"/>
        <v>4.16218186541237</v>
      </c>
      <c r="AW58" s="5">
        <f t="shared" si="57"/>
        <v>0.428835187280338</v>
      </c>
      <c r="AX58" s="5">
        <f t="shared" si="97"/>
        <v>3.85951668552304</v>
      </c>
      <c r="AY58" s="5">
        <f t="shared" si="98"/>
        <v>0.285725197563011</v>
      </c>
      <c r="AZ58" s="5">
        <f t="shared" si="58"/>
        <v>13.5077925168707</v>
      </c>
      <c r="BA58" s="220">
        <f t="shared" si="99"/>
        <v>4.91946604768167</v>
      </c>
      <c r="BB58" s="220">
        <f t="shared" si="100"/>
        <v>47.0078345872357</v>
      </c>
      <c r="BC58" s="192">
        <f t="shared" si="101"/>
        <v>3.06382831759522</v>
      </c>
      <c r="BD58" s="220">
        <f t="shared" si="102"/>
        <v>14.3515544694978</v>
      </c>
      <c r="BE58" s="192"/>
      <c r="BF58" s="5">
        <f t="shared" si="59"/>
        <v>0.567121142667291</v>
      </c>
      <c r="BG58" s="5">
        <f t="shared" si="103"/>
        <v>0.436553211847683</v>
      </c>
      <c r="BH58" s="5"/>
      <c r="BI58" s="217">
        <f t="shared" si="104"/>
        <v>0.112569236661089</v>
      </c>
      <c r="BJ58" s="217">
        <f t="shared" si="105"/>
        <v>0.0249816737611637</v>
      </c>
      <c r="BK58" s="217">
        <f t="shared" si="106"/>
        <v>0.00171534074912135</v>
      </c>
      <c r="BL58" s="217">
        <f t="shared" si="107"/>
        <v>0.00404250113913316</v>
      </c>
      <c r="BM58">
        <f t="shared" si="108"/>
        <v>0.00348</v>
      </c>
      <c r="BN58">
        <f t="shared" si="109"/>
        <v>2.40147704876989e-6</v>
      </c>
      <c r="BO58" s="217">
        <f t="shared" si="110"/>
        <v>0.208090856180651</v>
      </c>
      <c r="BP58" s="220">
        <f t="shared" si="60"/>
        <v>208.090856180651</v>
      </c>
      <c r="BQ58" s="217">
        <f t="shared" si="111"/>
        <v>0.295904593383777</v>
      </c>
      <c r="BR58" s="217"/>
      <c r="BT58" s="220">
        <f t="shared" si="61"/>
        <v>295.904593383777</v>
      </c>
      <c r="BU58" s="217">
        <f t="shared" si="112"/>
        <v>0.0131866820088704</v>
      </c>
      <c r="BV58" s="217">
        <f t="shared" si="113"/>
        <v>0.0190578706774528</v>
      </c>
      <c r="BW58" s="217">
        <f t="shared" si="114"/>
        <v>0</v>
      </c>
      <c r="BX58" s="217">
        <f t="shared" si="115"/>
        <v>0.04461256367993</v>
      </c>
      <c r="BY58" s="217">
        <f t="shared" si="116"/>
        <v>0.0123504533936737</v>
      </c>
      <c r="BZ58" s="220">
        <f t="shared" si="62"/>
        <v>56.9630170736038</v>
      </c>
      <c r="CA58" s="5">
        <f t="shared" si="63"/>
        <v>0.560958466638031</v>
      </c>
      <c r="CB58" s="192">
        <f t="shared" si="64"/>
        <v>3.47356501697074</v>
      </c>
      <c r="CC58" s="5">
        <f t="shared" si="65"/>
        <v>0.860960416039946</v>
      </c>
      <c r="CD58" s="192">
        <f t="shared" si="66"/>
        <v>86.0960416039946</v>
      </c>
      <c r="CG58" s="227">
        <f t="shared" si="117"/>
        <v>-50</v>
      </c>
      <c r="CH58">
        <f t="shared" si="118"/>
        <v>-50</v>
      </c>
    </row>
    <row r="59" spans="5:86">
      <c r="E59" s="22">
        <v>54</v>
      </c>
      <c r="F59" s="25">
        <f t="shared" si="119"/>
        <v>0.27</v>
      </c>
      <c r="G59" s="25"/>
      <c r="H59" s="25">
        <f t="shared" si="67"/>
        <v>4.86</v>
      </c>
      <c r="I59" s="212">
        <f t="shared" si="68"/>
        <v>12</v>
      </c>
      <c r="J59" s="27">
        <f t="shared" si="69"/>
        <v>8.64705329782631</v>
      </c>
      <c r="K59" s="131">
        <f t="shared" si="70"/>
        <v>24.2728</v>
      </c>
      <c r="L59" s="131"/>
      <c r="M59" s="25">
        <f t="shared" si="71"/>
        <v>0.505619458818101</v>
      </c>
      <c r="N59" s="27">
        <f t="shared" si="72"/>
        <v>4.09551761642662</v>
      </c>
      <c r="O59" s="27">
        <f t="shared" si="53"/>
        <v>3.39230643240345</v>
      </c>
      <c r="P59" s="25">
        <f t="shared" si="73"/>
        <v>0.227528756468145</v>
      </c>
      <c r="Q59" s="25">
        <f t="shared" si="74"/>
        <v>15.168583764543</v>
      </c>
      <c r="R59" s="25">
        <f t="shared" si="75"/>
        <v>0.275251667744905</v>
      </c>
      <c r="S59" s="27">
        <f t="shared" si="76"/>
        <v>12.5640978977906</v>
      </c>
      <c r="T59" s="27">
        <f t="shared" si="77"/>
        <v>12.5640978977906</v>
      </c>
      <c r="U59" s="25">
        <f t="shared" si="78"/>
        <v>1.5</v>
      </c>
      <c r="V59" s="25">
        <f t="shared" si="79"/>
        <v>3.125</v>
      </c>
      <c r="W59" s="25">
        <f t="shared" si="80"/>
        <v>4.3367374651694</v>
      </c>
      <c r="X59" s="24">
        <f t="shared" si="81"/>
        <v>350</v>
      </c>
      <c r="Y59" s="131">
        <f t="shared" si="54"/>
        <v>134.017044243099</v>
      </c>
      <c r="AA59" s="25">
        <f t="shared" si="82"/>
        <v>0.574358761041854</v>
      </c>
      <c r="AB59" s="5">
        <f t="shared" si="83"/>
        <v>1.66056210497233</v>
      </c>
      <c r="AC59" s="5">
        <f t="shared" si="84"/>
        <v>0.111327448451518</v>
      </c>
      <c r="AD59" s="5"/>
      <c r="AE59" s="5">
        <f t="shared" si="85"/>
        <v>0.86734749303388</v>
      </c>
      <c r="AF59" s="216">
        <f t="shared" si="86"/>
        <v>3111.38349546974</v>
      </c>
      <c r="AG59" s="217">
        <f t="shared" si="87"/>
        <v>0.0303723408373139</v>
      </c>
      <c r="AI59" s="5">
        <f t="shared" si="88"/>
        <v>0.942850313141674</v>
      </c>
      <c r="AJ59" s="5">
        <f t="shared" si="89"/>
        <v>1.5</v>
      </c>
      <c r="AK59" s="5">
        <f t="shared" si="90"/>
        <v>2</v>
      </c>
      <c r="AM59" s="216">
        <f t="shared" si="91"/>
        <v>270</v>
      </c>
      <c r="AN59" s="220">
        <f t="shared" si="92"/>
        <v>134.017044243099</v>
      </c>
      <c r="AP59" t="str">
        <f t="shared" si="93"/>
        <v/>
      </c>
      <c r="AQ59" s="220" t="str">
        <f t="shared" si="94"/>
        <v/>
      </c>
      <c r="AR59" s="220"/>
      <c r="AS59" s="192">
        <f t="shared" si="55"/>
        <v>7.4617374651694</v>
      </c>
      <c r="AT59" s="192">
        <f t="shared" si="95"/>
        <v>3.125</v>
      </c>
      <c r="AU59" s="192">
        <f t="shared" si="56"/>
        <v>4.3367374651694</v>
      </c>
      <c r="AV59" s="192">
        <f t="shared" si="96"/>
        <v>4.3367374651694</v>
      </c>
      <c r="AW59" s="5">
        <f t="shared" si="57"/>
        <v>0.418803263259685</v>
      </c>
      <c r="AX59" s="5">
        <f t="shared" si="97"/>
        <v>3.76922936933717</v>
      </c>
      <c r="AY59" s="5">
        <f t="shared" si="98"/>
        <v>0.290743667554342</v>
      </c>
      <c r="AZ59" s="5">
        <f t="shared" si="58"/>
        <v>12.9640978977906</v>
      </c>
      <c r="BA59" s="220">
        <f t="shared" si="99"/>
        <v>4.91946604768167</v>
      </c>
      <c r="BB59" s="220">
        <f t="shared" si="100"/>
        <v>48.7831668410037</v>
      </c>
      <c r="BC59" s="192">
        <f t="shared" si="101"/>
        <v>3.25255309887705</v>
      </c>
      <c r="BD59" s="220">
        <f t="shared" si="102"/>
        <v>14.5641058596854</v>
      </c>
      <c r="BE59" s="192"/>
      <c r="BF59" s="5">
        <f t="shared" si="59"/>
        <v>0.560448434242406</v>
      </c>
      <c r="BG59" s="5">
        <f t="shared" si="103"/>
        <v>0.440370328540362</v>
      </c>
      <c r="BH59" s="5"/>
      <c r="BI59" s="217">
        <f t="shared" si="104"/>
        <v>0.109935856605667</v>
      </c>
      <c r="BJ59" s="217">
        <f t="shared" si="105"/>
        <v>0.0243972668362793</v>
      </c>
      <c r="BK59" s="217">
        <f t="shared" si="106"/>
        <v>0.00167521305303874</v>
      </c>
      <c r="BL59" s="217">
        <f t="shared" si="107"/>
        <v>0.0039479331897576</v>
      </c>
      <c r="BM59">
        <f t="shared" si="108"/>
        <v>0.00348</v>
      </c>
      <c r="BN59">
        <f t="shared" si="109"/>
        <v>2.34529827425424e-6</v>
      </c>
      <c r="BO59" s="217">
        <f t="shared" si="110"/>
        <v>0.202988801825063</v>
      </c>
      <c r="BP59" s="220">
        <f t="shared" si="60"/>
        <v>202.988801825063</v>
      </c>
      <c r="BQ59" s="217">
        <f t="shared" si="111"/>
        <v>0.301330009962488</v>
      </c>
      <c r="BR59" s="217"/>
      <c r="BT59" s="220">
        <f t="shared" si="61"/>
        <v>301.330009962488</v>
      </c>
      <c r="BU59" s="217">
        <f t="shared" si="112"/>
        <v>0.0128782003452353</v>
      </c>
      <c r="BV59" s="217">
        <f t="shared" si="113"/>
        <v>0.0193926026258746</v>
      </c>
      <c r="BW59" s="217">
        <f t="shared" si="114"/>
        <v>0</v>
      </c>
      <c r="BX59" s="217">
        <f t="shared" si="115"/>
        <v>0.0446489767666997</v>
      </c>
      <c r="BY59" s="217">
        <f t="shared" si="116"/>
        <v>0.0120615339818789</v>
      </c>
      <c r="BZ59" s="220">
        <f t="shared" si="62"/>
        <v>56.7105107485787</v>
      </c>
      <c r="CA59" s="5">
        <f t="shared" si="63"/>
        <v>0.561029322536129</v>
      </c>
      <c r="CB59" s="192">
        <f t="shared" si="64"/>
        <v>3.39230643240345</v>
      </c>
      <c r="CC59" s="5">
        <f t="shared" si="65"/>
        <v>0.858087104836684</v>
      </c>
      <c r="CD59" s="192">
        <f t="shared" si="66"/>
        <v>85.8087104836684</v>
      </c>
      <c r="CG59" s="227">
        <f t="shared" si="117"/>
        <v>-50</v>
      </c>
      <c r="CH59">
        <f t="shared" si="118"/>
        <v>-50</v>
      </c>
    </row>
    <row r="60" spans="5:86">
      <c r="E60" s="22">
        <v>55</v>
      </c>
      <c r="F60" s="25">
        <f t="shared" si="119"/>
        <v>0.275</v>
      </c>
      <c r="G60" s="25"/>
      <c r="H60" s="25">
        <f t="shared" si="67"/>
        <v>4.95</v>
      </c>
      <c r="I60" s="212">
        <f t="shared" si="68"/>
        <v>12</v>
      </c>
      <c r="J60" s="27">
        <f t="shared" si="69"/>
        <v>8.29877375498189</v>
      </c>
      <c r="K60" s="131">
        <f t="shared" si="70"/>
        <v>24.2728</v>
      </c>
      <c r="L60" s="131"/>
      <c r="M60" s="25">
        <f t="shared" si="71"/>
        <v>0.505619458818101</v>
      </c>
      <c r="N60" s="27">
        <f t="shared" si="72"/>
        <v>4.09551761642662</v>
      </c>
      <c r="O60" s="27">
        <f t="shared" si="53"/>
        <v>3.31153340722641</v>
      </c>
      <c r="P60" s="25">
        <f t="shared" si="73"/>
        <v>0.227528756468145</v>
      </c>
      <c r="Q60" s="25">
        <f t="shared" si="74"/>
        <v>14.8927913324604</v>
      </c>
      <c r="R60" s="25">
        <f t="shared" si="75"/>
        <v>0.277664474749978</v>
      </c>
      <c r="S60" s="27">
        <f t="shared" si="76"/>
        <v>12.0419396626415</v>
      </c>
      <c r="T60" s="27">
        <f t="shared" si="77"/>
        <v>12.0419396626415</v>
      </c>
      <c r="U60" s="25">
        <f t="shared" si="78"/>
        <v>1.5</v>
      </c>
      <c r="V60" s="25">
        <f t="shared" si="79"/>
        <v>3.125</v>
      </c>
      <c r="W60" s="25">
        <f t="shared" si="80"/>
        <v>4.51873988943103</v>
      </c>
      <c r="X60" s="24">
        <f t="shared" si="81"/>
        <v>350</v>
      </c>
      <c r="Y60" s="131">
        <f t="shared" si="54"/>
        <v>130.826011149686</v>
      </c>
      <c r="AA60" s="25">
        <f t="shared" si="82"/>
        <v>0.560682904927224</v>
      </c>
      <c r="AB60" s="5">
        <f t="shared" si="83"/>
        <v>1.68905347187781</v>
      </c>
      <c r="AC60" s="5">
        <f t="shared" si="84"/>
        <v>0.110541307204237</v>
      </c>
      <c r="AD60" s="5"/>
      <c r="AE60" s="5">
        <f t="shared" si="85"/>
        <v>0.903747977886206</v>
      </c>
      <c r="AF60" s="216">
        <f t="shared" si="86"/>
        <v>3041.3630286457</v>
      </c>
      <c r="AG60" s="217">
        <f t="shared" si="87"/>
        <v>0.0316469948156302</v>
      </c>
      <c r="AI60" s="5">
        <f t="shared" si="88"/>
        <v>0.932180704223888</v>
      </c>
      <c r="AJ60" s="5">
        <f t="shared" si="89"/>
        <v>1.5</v>
      </c>
      <c r="AK60" s="5">
        <f t="shared" si="90"/>
        <v>2</v>
      </c>
      <c r="AM60" s="216">
        <f t="shared" si="91"/>
        <v>275</v>
      </c>
      <c r="AN60" s="220">
        <f t="shared" si="92"/>
        <v>130.826011149686</v>
      </c>
      <c r="AP60" t="str">
        <f t="shared" si="93"/>
        <v/>
      </c>
      <c r="AQ60" t="str">
        <f t="shared" si="94"/>
        <v/>
      </c>
      <c r="AS60" s="192">
        <f t="shared" si="55"/>
        <v>7.64373988943103</v>
      </c>
      <c r="AT60" s="192">
        <f t="shared" si="95"/>
        <v>3.125</v>
      </c>
      <c r="AU60" s="192">
        <f t="shared" si="56"/>
        <v>4.51873988943103</v>
      </c>
      <c r="AV60" s="192">
        <f t="shared" si="96"/>
        <v>4.51873988943103</v>
      </c>
      <c r="AW60" s="5">
        <f t="shared" si="57"/>
        <v>0.408831284842767</v>
      </c>
      <c r="AX60" s="5">
        <f t="shared" si="97"/>
        <v>3.67948156358491</v>
      </c>
      <c r="AY60" s="5">
        <f t="shared" si="98"/>
        <v>0.295732149757406</v>
      </c>
      <c r="AZ60" s="5">
        <f t="shared" si="58"/>
        <v>12.4419396626415</v>
      </c>
      <c r="BA60" s="220">
        <f t="shared" si="99"/>
        <v>4.91946604768167</v>
      </c>
      <c r="BB60" s="220">
        <f t="shared" si="100"/>
        <v>50.5914025013841</v>
      </c>
      <c r="BC60" s="192">
        <f t="shared" si="101"/>
        <v>3.45181519331537</v>
      </c>
      <c r="BD60" s="220">
        <f t="shared" si="102"/>
        <v>14.7753871523938</v>
      </c>
      <c r="BE60" s="192"/>
      <c r="BF60" s="5">
        <f t="shared" si="59"/>
        <v>0.55373591506428</v>
      </c>
      <c r="BG60" s="5">
        <f t="shared" si="103"/>
        <v>0.444132124359621</v>
      </c>
      <c r="BH60" s="5"/>
      <c r="BI60" s="217">
        <f t="shared" si="104"/>
        <v>0.107318212271226</v>
      </c>
      <c r="BJ60" s="217">
        <f t="shared" si="105"/>
        <v>0.0238163520257557</v>
      </c>
      <c r="BK60" s="217">
        <f t="shared" si="106"/>
        <v>0.00163532513937107</v>
      </c>
      <c r="BL60" s="217">
        <f t="shared" si="107"/>
        <v>0.00385393032967174</v>
      </c>
      <c r="BM60">
        <f t="shared" si="108"/>
        <v>0.00348</v>
      </c>
      <c r="BN60">
        <f t="shared" si="109"/>
        <v>2.2894551951195e-6</v>
      </c>
      <c r="BO60" s="217">
        <f t="shared" si="110"/>
        <v>0.197933176987891</v>
      </c>
      <c r="BP60" s="220">
        <f t="shared" si="60"/>
        <v>197.933176987891</v>
      </c>
      <c r="BQ60" s="217">
        <f t="shared" si="111"/>
        <v>0.306742734364251</v>
      </c>
      <c r="BR60" s="217"/>
      <c r="BT60" s="220">
        <f t="shared" si="61"/>
        <v>306.742734364251</v>
      </c>
      <c r="BU60" s="217">
        <f t="shared" si="112"/>
        <v>0.0125715620089151</v>
      </c>
      <c r="BV60" s="217">
        <f t="shared" si="113"/>
        <v>0.019725334388819</v>
      </c>
      <c r="BW60" s="217">
        <f t="shared" si="114"/>
        <v>0</v>
      </c>
      <c r="BX60" s="217">
        <f t="shared" si="115"/>
        <v>0.0446851724196051</v>
      </c>
      <c r="BY60" s="217">
        <f t="shared" si="116"/>
        <v>0.0117743410034717</v>
      </c>
      <c r="BZ60" s="220">
        <f t="shared" si="62"/>
        <v>56.4595134230768</v>
      </c>
      <c r="CA60" s="5">
        <f t="shared" si="63"/>
        <v>0.561135424775218</v>
      </c>
      <c r="CB60" s="192">
        <f t="shared" si="64"/>
        <v>3.31153340722641</v>
      </c>
      <c r="CC60" s="5">
        <f t="shared" si="65"/>
        <v>0.855103689698871</v>
      </c>
      <c r="CD60" s="192">
        <f t="shared" si="66"/>
        <v>85.5103689698871</v>
      </c>
      <c r="CG60" s="227">
        <f t="shared" si="117"/>
        <v>-50</v>
      </c>
      <c r="CH60">
        <f t="shared" si="118"/>
        <v>-50</v>
      </c>
    </row>
    <row r="61" spans="5:86">
      <c r="E61" s="22">
        <v>56</v>
      </c>
      <c r="F61" s="25">
        <f t="shared" si="119"/>
        <v>0.28</v>
      </c>
      <c r="G61" s="25"/>
      <c r="H61" s="25">
        <f t="shared" si="67"/>
        <v>5.04</v>
      </c>
      <c r="I61" s="212">
        <f t="shared" si="68"/>
        <v>12</v>
      </c>
      <c r="J61" s="27">
        <f t="shared" si="69"/>
        <v>7.96415819812902</v>
      </c>
      <c r="K61" s="131">
        <f t="shared" si="70"/>
        <v>24.2728</v>
      </c>
      <c r="L61" s="131"/>
      <c r="M61" s="25">
        <f t="shared" si="71"/>
        <v>0.505619458818101</v>
      </c>
      <c r="N61" s="27">
        <f t="shared" si="72"/>
        <v>4.09551761642662</v>
      </c>
      <c r="O61" s="27">
        <f t="shared" si="53"/>
        <v>3.23127480581128</v>
      </c>
      <c r="P61" s="25">
        <f t="shared" si="73"/>
        <v>0.227528756468145</v>
      </c>
      <c r="Q61" s="25">
        <f t="shared" si="74"/>
        <v>14.6268486300951</v>
      </c>
      <c r="R61" s="25">
        <f t="shared" si="75"/>
        <v>0.280034037947055</v>
      </c>
      <c r="S61" s="27">
        <f t="shared" si="76"/>
        <v>11.5402671636117</v>
      </c>
      <c r="T61" s="27">
        <f t="shared" si="77"/>
        <v>11.5402671636117</v>
      </c>
      <c r="U61" s="25">
        <f t="shared" si="78"/>
        <v>1.5</v>
      </c>
      <c r="V61" s="25">
        <f t="shared" si="79"/>
        <v>3.125</v>
      </c>
      <c r="W61" s="25">
        <f t="shared" si="80"/>
        <v>4.70859556868291</v>
      </c>
      <c r="X61" s="24">
        <f t="shared" si="81"/>
        <v>350</v>
      </c>
      <c r="Y61" s="131">
        <f t="shared" si="54"/>
        <v>127.655300970322</v>
      </c>
      <c r="AA61" s="25">
        <f t="shared" si="82"/>
        <v>0.547094147015667</v>
      </c>
      <c r="AB61" s="5">
        <f t="shared" si="83"/>
        <v>1.71736338419355</v>
      </c>
      <c r="AC61" s="5">
        <f t="shared" si="84"/>
        <v>0.109670077477241</v>
      </c>
      <c r="AD61" s="5"/>
      <c r="AE61" s="5">
        <f t="shared" si="85"/>
        <v>0.941719113736583</v>
      </c>
      <c r="AF61" s="216">
        <f t="shared" si="86"/>
        <v>2971.79982738781</v>
      </c>
      <c r="AG61" s="217">
        <f t="shared" si="87"/>
        <v>0.0329766490652708</v>
      </c>
      <c r="AI61" s="5">
        <f t="shared" si="88"/>
        <v>0.921458444514968</v>
      </c>
      <c r="AJ61" s="5">
        <f t="shared" si="89"/>
        <v>1.5</v>
      </c>
      <c r="AK61" s="5">
        <f t="shared" si="90"/>
        <v>2</v>
      </c>
      <c r="AM61" s="216">
        <f t="shared" si="91"/>
        <v>280</v>
      </c>
      <c r="AN61" s="220">
        <f t="shared" si="92"/>
        <v>127.655300970322</v>
      </c>
      <c r="AP61" t="str">
        <f t="shared" si="93"/>
        <v/>
      </c>
      <c r="AQ61" t="str">
        <f t="shared" si="94"/>
        <v/>
      </c>
      <c r="AS61" s="192">
        <f t="shared" si="55"/>
        <v>7.83359556868291</v>
      </c>
      <c r="AT61" s="192">
        <f t="shared" si="95"/>
        <v>3.125</v>
      </c>
      <c r="AU61" s="192">
        <f t="shared" si="56"/>
        <v>4.70859556868291</v>
      </c>
      <c r="AV61" s="192">
        <f t="shared" si="96"/>
        <v>4.70859556868291</v>
      </c>
      <c r="AW61" s="5">
        <f t="shared" si="57"/>
        <v>0.398922815532257</v>
      </c>
      <c r="AX61" s="5">
        <f t="shared" si="97"/>
        <v>3.59030533979031</v>
      </c>
      <c r="AY61" s="5">
        <f t="shared" si="98"/>
        <v>0.300688861529988</v>
      </c>
      <c r="AZ61" s="5">
        <f t="shared" si="58"/>
        <v>11.9402671636117</v>
      </c>
      <c r="BA61" s="220">
        <f t="shared" si="99"/>
        <v>4.91946604768167</v>
      </c>
      <c r="BB61" s="220">
        <f t="shared" si="100"/>
        <v>52.4325415683771</v>
      </c>
      <c r="BC61" s="192">
        <f t="shared" si="101"/>
        <v>3.66224099786449</v>
      </c>
      <c r="BD61" s="220">
        <f t="shared" si="102"/>
        <v>14.9853228459103</v>
      </c>
      <c r="BE61" s="192"/>
      <c r="BF61" s="5">
        <f t="shared" si="59"/>
        <v>0.546984562532795</v>
      </c>
      <c r="BG61" s="5">
        <f t="shared" si="103"/>
        <v>0.447838665861382</v>
      </c>
      <c r="BH61" s="5"/>
      <c r="BI61" s="217">
        <f t="shared" si="104"/>
        <v>0.104717239077217</v>
      </c>
      <c r="BJ61" s="217">
        <f t="shared" si="105"/>
        <v>0.0232391369204433</v>
      </c>
      <c r="BK61" s="217">
        <f t="shared" si="106"/>
        <v>0.00159569126212903</v>
      </c>
      <c r="BL61" s="217">
        <f t="shared" si="107"/>
        <v>0.00376052615095024</v>
      </c>
      <c r="BM61">
        <f t="shared" si="108"/>
        <v>0.00348</v>
      </c>
      <c r="BN61">
        <f t="shared" si="109"/>
        <v>2.23396776698064e-6</v>
      </c>
      <c r="BO61" s="217">
        <f t="shared" si="110"/>
        <v>0.192925419290468</v>
      </c>
      <c r="BP61" s="220">
        <f t="shared" si="60"/>
        <v>192.925419290468</v>
      </c>
      <c r="BQ61" s="217">
        <f t="shared" si="111"/>
        <v>0.312142012094931</v>
      </c>
      <c r="BR61" s="217"/>
      <c r="BT61" s="220">
        <f t="shared" si="61"/>
        <v>312.142012094931</v>
      </c>
      <c r="BU61" s="217">
        <f t="shared" si="112"/>
        <v>0.0122668765776169</v>
      </c>
      <c r="BV61" s="217">
        <f t="shared" si="113"/>
        <v>0.0200559470640502</v>
      </c>
      <c r="BW61" s="217">
        <f t="shared" si="114"/>
        <v>0</v>
      </c>
      <c r="BX61" s="217">
        <f t="shared" si="115"/>
        <v>0.0447211377012584</v>
      </c>
      <c r="BY61" s="217">
        <f t="shared" si="116"/>
        <v>0.011488977087329</v>
      </c>
      <c r="BZ61" s="220">
        <f t="shared" si="62"/>
        <v>56.2101147885875</v>
      </c>
      <c r="CA61" s="5">
        <f t="shared" si="63"/>
        <v>0.561277546173986</v>
      </c>
      <c r="CB61" s="192">
        <f t="shared" si="64"/>
        <v>3.23127480581128</v>
      </c>
      <c r="CC61" s="5">
        <f t="shared" si="65"/>
        <v>0.852005326734599</v>
      </c>
      <c r="CD61" s="192">
        <f t="shared" si="66"/>
        <v>85.2005326734599</v>
      </c>
      <c r="CG61" s="227">
        <f t="shared" si="117"/>
        <v>-50</v>
      </c>
      <c r="CH61">
        <f t="shared" si="118"/>
        <v>-50</v>
      </c>
    </row>
    <row r="62" spans="5:86">
      <c r="E62" s="22">
        <v>57</v>
      </c>
      <c r="F62" s="25">
        <f t="shared" si="119"/>
        <v>0.285</v>
      </c>
      <c r="G62" s="25"/>
      <c r="H62" s="25">
        <f t="shared" si="67"/>
        <v>5.13</v>
      </c>
      <c r="I62" s="212">
        <f t="shared" si="68"/>
        <v>12</v>
      </c>
      <c r="J62" s="27">
        <f t="shared" si="69"/>
        <v>7.64255936170508</v>
      </c>
      <c r="K62" s="131">
        <f t="shared" si="70"/>
        <v>24.2728</v>
      </c>
      <c r="L62" s="131"/>
      <c r="M62" s="25">
        <f t="shared" si="71"/>
        <v>0.505619458818101</v>
      </c>
      <c r="N62" s="27">
        <f t="shared" si="72"/>
        <v>4.09551761642662</v>
      </c>
      <c r="O62" s="27">
        <f t="shared" si="53"/>
        <v>3.15156134645569</v>
      </c>
      <c r="P62" s="25">
        <f t="shared" si="73"/>
        <v>0.227528756468145</v>
      </c>
      <c r="Q62" s="25">
        <f t="shared" si="74"/>
        <v>14.3702372506197</v>
      </c>
      <c r="R62" s="25">
        <f t="shared" si="75"/>
        <v>0.282361634996512</v>
      </c>
      <c r="S62" s="27">
        <f t="shared" si="76"/>
        <v>11.0581099875638</v>
      </c>
      <c r="T62" s="27">
        <f t="shared" si="77"/>
        <v>11.0581099875638</v>
      </c>
      <c r="U62" s="25">
        <f t="shared" si="78"/>
        <v>1.5</v>
      </c>
      <c r="V62" s="25">
        <f t="shared" si="79"/>
        <v>3.125</v>
      </c>
      <c r="W62" s="25">
        <f t="shared" si="80"/>
        <v>4.90673323231259</v>
      </c>
      <c r="X62" s="24">
        <f t="shared" si="81"/>
        <v>350</v>
      </c>
      <c r="Y62" s="131">
        <f t="shared" si="54"/>
        <v>124.506127267385</v>
      </c>
      <c r="AA62" s="25">
        <f t="shared" si="82"/>
        <v>0.533597688288795</v>
      </c>
      <c r="AB62" s="5">
        <f t="shared" si="83"/>
        <v>1.7454810065412</v>
      </c>
      <c r="AC62" s="5">
        <f t="shared" si="84"/>
        <v>0.108715870941697</v>
      </c>
      <c r="AD62" s="5"/>
      <c r="AE62" s="5">
        <f t="shared" si="85"/>
        <v>0.981346646462518</v>
      </c>
      <c r="AF62" s="216">
        <f t="shared" si="86"/>
        <v>2902.7211968495</v>
      </c>
      <c r="AG62" s="217">
        <f t="shared" si="87"/>
        <v>0.0343643061925012</v>
      </c>
      <c r="AI62" s="5">
        <f t="shared" si="88"/>
        <v>0.910685957608644</v>
      </c>
      <c r="AJ62" s="5">
        <f t="shared" si="89"/>
        <v>1.5</v>
      </c>
      <c r="AK62" s="5">
        <f t="shared" si="90"/>
        <v>2</v>
      </c>
      <c r="AM62" s="216">
        <f t="shared" si="91"/>
        <v>285</v>
      </c>
      <c r="AN62" s="220">
        <f t="shared" si="92"/>
        <v>124.506127267385</v>
      </c>
      <c r="AP62" t="str">
        <f t="shared" si="93"/>
        <v/>
      </c>
      <c r="AQ62" t="str">
        <f t="shared" si="94"/>
        <v/>
      </c>
      <c r="AS62" s="192">
        <f t="shared" si="55"/>
        <v>8.03173323231259</v>
      </c>
      <c r="AT62" s="192">
        <f t="shared" si="95"/>
        <v>3.125</v>
      </c>
      <c r="AU62" s="192">
        <f t="shared" si="56"/>
        <v>4.90673323231259</v>
      </c>
      <c r="AV62" s="192">
        <f t="shared" si="96"/>
        <v>4.90673323231259</v>
      </c>
      <c r="AW62" s="5">
        <f t="shared" si="57"/>
        <v>0.389081647710579</v>
      </c>
      <c r="AX62" s="5">
        <f t="shared" si="97"/>
        <v>3.50173482939521</v>
      </c>
      <c r="AY62" s="5">
        <f t="shared" si="98"/>
        <v>0.305611905732783</v>
      </c>
      <c r="AZ62" s="5">
        <f t="shared" si="58"/>
        <v>11.4581099875638</v>
      </c>
      <c r="BA62" s="220">
        <f t="shared" si="99"/>
        <v>4.91946604768167</v>
      </c>
      <c r="BB62" s="220">
        <f t="shared" si="100"/>
        <v>54.3065840419825</v>
      </c>
      <c r="BC62" s="192">
        <f t="shared" si="101"/>
        <v>3.88449714224747</v>
      </c>
      <c r="BD62" s="220">
        <f t="shared" si="102"/>
        <v>15.1938325891321</v>
      </c>
      <c r="BE62" s="192"/>
      <c r="BF62" s="5">
        <f t="shared" si="59"/>
        <v>0.54019555327949</v>
      </c>
      <c r="BG62" s="5">
        <f t="shared" si="103"/>
        <v>0.451489912538216</v>
      </c>
      <c r="BH62" s="5"/>
      <c r="BI62" s="217">
        <f t="shared" si="104"/>
        <v>0.102133932524027</v>
      </c>
      <c r="BJ62" s="217">
        <f t="shared" si="105"/>
        <v>0.0226658424445184</v>
      </c>
      <c r="BK62" s="217">
        <f t="shared" si="106"/>
        <v>0.00155632659084232</v>
      </c>
      <c r="BL62" s="217">
        <f t="shared" si="107"/>
        <v>0.00366775640324871</v>
      </c>
      <c r="BM62">
        <f t="shared" si="108"/>
        <v>0.00348</v>
      </c>
      <c r="BN62">
        <f t="shared" si="109"/>
        <v>2.17885722717924e-6</v>
      </c>
      <c r="BO62" s="217">
        <f t="shared" si="110"/>
        <v>0.187967064163387</v>
      </c>
      <c r="BP62" s="220">
        <f t="shared" si="60"/>
        <v>187.967064163387</v>
      </c>
      <c r="BQ62" s="217">
        <f t="shared" si="111"/>
        <v>0.317527040200086</v>
      </c>
      <c r="BR62" s="217"/>
      <c r="BT62" s="220">
        <f t="shared" si="61"/>
        <v>317.527040200086</v>
      </c>
      <c r="BU62" s="217">
        <f t="shared" si="112"/>
        <v>0.0119642606671003</v>
      </c>
      <c r="BV62" s="217">
        <f t="shared" si="113"/>
        <v>0.0203843141123766</v>
      </c>
      <c r="BW62" s="217">
        <f t="shared" si="114"/>
        <v>0</v>
      </c>
      <c r="BX62" s="217">
        <f t="shared" si="115"/>
        <v>0.0447568588432931</v>
      </c>
      <c r="BY62" s="217">
        <f t="shared" si="116"/>
        <v>0.0112055514540647</v>
      </c>
      <c r="BZ62" s="220">
        <f t="shared" si="62"/>
        <v>55.9624102973578</v>
      </c>
      <c r="CA62" s="5">
        <f t="shared" si="63"/>
        <v>0.56145651466083</v>
      </c>
      <c r="CB62" s="192">
        <f t="shared" si="64"/>
        <v>3.15156134645569</v>
      </c>
      <c r="CC62" s="5">
        <f t="shared" si="65"/>
        <v>0.848787014859121</v>
      </c>
      <c r="CD62" s="192">
        <f t="shared" si="66"/>
        <v>84.8787014859121</v>
      </c>
      <c r="CG62" s="227">
        <f t="shared" si="117"/>
        <v>-50</v>
      </c>
      <c r="CH62">
        <f t="shared" si="118"/>
        <v>-50</v>
      </c>
    </row>
    <row r="63" spans="5:86">
      <c r="E63" s="22">
        <v>58</v>
      </c>
      <c r="F63" s="25">
        <f t="shared" si="119"/>
        <v>0.29</v>
      </c>
      <c r="G63" s="25"/>
      <c r="H63" s="25">
        <f t="shared" si="67"/>
        <v>5.22</v>
      </c>
      <c r="I63" s="212">
        <f t="shared" si="68"/>
        <v>12</v>
      </c>
      <c r="J63" s="27">
        <f t="shared" si="69"/>
        <v>7.33337909389485</v>
      </c>
      <c r="K63" s="131">
        <f t="shared" si="70"/>
        <v>24.2728</v>
      </c>
      <c r="L63" s="131"/>
      <c r="M63" s="25">
        <f t="shared" si="71"/>
        <v>0.505619458818101</v>
      </c>
      <c r="N63" s="27">
        <f t="shared" si="72"/>
        <v>4.09551761642662</v>
      </c>
      <c r="O63" s="27">
        <f t="shared" si="53"/>
        <v>3.07242569299776</v>
      </c>
      <c r="P63" s="25">
        <f t="shared" si="73"/>
        <v>0.227528756468145</v>
      </c>
      <c r="Q63" s="25">
        <f t="shared" si="74"/>
        <v>14.1224745394021</v>
      </c>
      <c r="R63" s="25">
        <f t="shared" si="75"/>
        <v>0.284648493717413</v>
      </c>
      <c r="S63" s="27">
        <f t="shared" si="76"/>
        <v>10.5945713551647</v>
      </c>
      <c r="T63" s="27">
        <f t="shared" si="77"/>
        <v>10.5945713551647</v>
      </c>
      <c r="U63" s="25">
        <f t="shared" si="78"/>
        <v>1.5</v>
      </c>
      <c r="V63" s="25">
        <f t="shared" si="79"/>
        <v>3.125</v>
      </c>
      <c r="W63" s="25">
        <f t="shared" si="80"/>
        <v>5.11360445435302</v>
      </c>
      <c r="X63" s="24">
        <f t="shared" si="81"/>
        <v>350</v>
      </c>
      <c r="Y63" s="131">
        <f t="shared" si="54"/>
        <v>121.379780464109</v>
      </c>
      <c r="AA63" s="25">
        <f t="shared" si="82"/>
        <v>0.520199059131896</v>
      </c>
      <c r="AB63" s="5">
        <f t="shared" si="83"/>
        <v>1.77339481728474</v>
      </c>
      <c r="AC63" s="5">
        <f t="shared" si="84"/>
        <v>0.107680950367505</v>
      </c>
      <c r="AD63" s="5"/>
      <c r="AE63" s="5">
        <f t="shared" si="85"/>
        <v>1.0227208908706</v>
      </c>
      <c r="AF63" s="216">
        <f t="shared" si="86"/>
        <v>2834.15617155357</v>
      </c>
      <c r="AG63" s="217">
        <f t="shared" si="87"/>
        <v>0.0358131287960613</v>
      </c>
      <c r="AI63" s="5">
        <f t="shared" si="88"/>
        <v>0.899866049008496</v>
      </c>
      <c r="AJ63" s="5">
        <f t="shared" si="89"/>
        <v>1.5</v>
      </c>
      <c r="AK63" s="5">
        <f t="shared" si="90"/>
        <v>2</v>
      </c>
      <c r="AM63" s="216">
        <f t="shared" si="91"/>
        <v>290</v>
      </c>
      <c r="AN63" s="220">
        <f t="shared" si="92"/>
        <v>121.379780464109</v>
      </c>
      <c r="AP63" t="str">
        <f t="shared" si="93"/>
        <v/>
      </c>
      <c r="AQ63" t="str">
        <f t="shared" si="94"/>
        <v/>
      </c>
      <c r="AS63" s="192">
        <f t="shared" si="55"/>
        <v>8.23860445435302</v>
      </c>
      <c r="AT63" s="192">
        <f t="shared" si="95"/>
        <v>3.125</v>
      </c>
      <c r="AU63" s="192">
        <f t="shared" si="56"/>
        <v>5.11360445435302</v>
      </c>
      <c r="AV63" s="192">
        <f t="shared" si="96"/>
        <v>5.11360445435302</v>
      </c>
      <c r="AW63" s="5">
        <f t="shared" si="57"/>
        <v>0.379311813950341</v>
      </c>
      <c r="AX63" s="5">
        <f t="shared" si="97"/>
        <v>3.41380632555307</v>
      </c>
      <c r="AY63" s="5">
        <f t="shared" si="98"/>
        <v>0.310499265071342</v>
      </c>
      <c r="AZ63" s="5">
        <f t="shared" si="58"/>
        <v>10.9945713551647</v>
      </c>
      <c r="BA63" s="220">
        <f t="shared" si="99"/>
        <v>4.91946604768167</v>
      </c>
      <c r="BB63" s="220">
        <f t="shared" si="100"/>
        <v>56.2135299222004</v>
      </c>
      <c r="BC63" s="192">
        <f t="shared" si="101"/>
        <v>4.11929247711771</v>
      </c>
      <c r="BD63" s="220">
        <f t="shared" si="102"/>
        <v>15.4008309419272</v>
      </c>
      <c r="BE63" s="192"/>
      <c r="BF63" s="5">
        <f t="shared" si="59"/>
        <v>0.533370284570443</v>
      </c>
      <c r="BG63" s="5">
        <f t="shared" si="103"/>
        <v>0.455085716983719</v>
      </c>
      <c r="BH63" s="5"/>
      <c r="BI63" s="217">
        <f t="shared" si="104"/>
        <v>0.0995693511619644</v>
      </c>
      <c r="BJ63" s="217">
        <f t="shared" si="105"/>
        <v>0.0220967035143692</v>
      </c>
      <c r="BK63" s="217">
        <f t="shared" si="106"/>
        <v>0.00151724725580136</v>
      </c>
      <c r="BL63" s="217">
        <f t="shared" si="107"/>
        <v>0.00357565910042387</v>
      </c>
      <c r="BM63">
        <f t="shared" si="108"/>
        <v>0.00348</v>
      </c>
      <c r="BN63">
        <f t="shared" si="109"/>
        <v>2.12414615812191e-6</v>
      </c>
      <c r="BO63" s="217">
        <f t="shared" si="110"/>
        <v>0.18305974931075</v>
      </c>
      <c r="BP63" s="220">
        <f t="shared" si="60"/>
        <v>183.05974931075</v>
      </c>
      <c r="BQ63" s="217">
        <f t="shared" si="111"/>
        <v>0.32289696487023</v>
      </c>
      <c r="BR63" s="217"/>
      <c r="BT63" s="220">
        <f t="shared" si="61"/>
        <v>322.89696487023</v>
      </c>
      <c r="BU63" s="217">
        <f t="shared" si="112"/>
        <v>0.011663838278973</v>
      </c>
      <c r="BV63" s="217">
        <f t="shared" si="113"/>
        <v>0.0207103009802585</v>
      </c>
      <c r="BW63" s="217">
        <f t="shared" si="114"/>
        <v>0</v>
      </c>
      <c r="BX63" s="217">
        <f t="shared" si="115"/>
        <v>0.044792321205295</v>
      </c>
      <c r="BY63" s="217">
        <f t="shared" si="116"/>
        <v>0.0109241802417698</v>
      </c>
      <c r="BZ63" s="220">
        <f t="shared" si="62"/>
        <v>55.7165014470648</v>
      </c>
      <c r="CA63" s="5">
        <f t="shared" si="63"/>
        <v>0.561673215628045</v>
      </c>
      <c r="CB63" s="192">
        <f t="shared" si="64"/>
        <v>3.07242569299776</v>
      </c>
      <c r="CC63" s="5">
        <f t="shared" si="65"/>
        <v>0.845443607961558</v>
      </c>
      <c r="CD63" s="192">
        <f t="shared" si="66"/>
        <v>84.5443607961558</v>
      </c>
      <c r="CG63" s="227">
        <f t="shared" si="117"/>
        <v>-50</v>
      </c>
      <c r="CH63">
        <f t="shared" si="118"/>
        <v>-50</v>
      </c>
    </row>
    <row r="64" spans="5:86">
      <c r="E64" s="22">
        <v>59</v>
      </c>
      <c r="F64" s="25">
        <f t="shared" si="119"/>
        <v>0.295</v>
      </c>
      <c r="G64" s="25"/>
      <c r="H64" s="25">
        <f t="shared" si="67"/>
        <v>5.31</v>
      </c>
      <c r="I64" s="212">
        <f t="shared" si="68"/>
        <v>12</v>
      </c>
      <c r="J64" s="27">
        <f t="shared" si="69"/>
        <v>7.03606439161351</v>
      </c>
      <c r="K64" s="131">
        <f t="shared" si="70"/>
        <v>24.2728</v>
      </c>
      <c r="L64" s="131"/>
      <c r="M64" s="25">
        <f t="shared" si="71"/>
        <v>0.505619458818101</v>
      </c>
      <c r="N64" s="27">
        <f t="shared" si="72"/>
        <v>4.09551761642662</v>
      </c>
      <c r="O64" s="27">
        <f t="shared" si="53"/>
        <v>2.99390254201797</v>
      </c>
      <c r="P64" s="25">
        <f t="shared" si="73"/>
        <v>0.227528756468145</v>
      </c>
      <c r="Q64" s="25">
        <f t="shared" si="74"/>
        <v>13.883110564158</v>
      </c>
      <c r="R64" s="25">
        <f t="shared" si="75"/>
        <v>0.28689579449442</v>
      </c>
      <c r="S64" s="27">
        <f t="shared" si="76"/>
        <v>10.1488221763321</v>
      </c>
      <c r="T64" s="27">
        <f t="shared" si="77"/>
        <v>10.1488221763321</v>
      </c>
      <c r="U64" s="25">
        <f t="shared" si="78"/>
        <v>1.5</v>
      </c>
      <c r="V64" s="25">
        <f t="shared" si="79"/>
        <v>3.125</v>
      </c>
      <c r="W64" s="25">
        <f t="shared" si="80"/>
        <v>5.32968402686839</v>
      </c>
      <c r="X64" s="24">
        <f t="shared" si="81"/>
        <v>350</v>
      </c>
      <c r="Y64" s="131">
        <f t="shared" si="54"/>
        <v>118.277631289599</v>
      </c>
      <c r="AA64" s="25">
        <f t="shared" si="82"/>
        <v>0.506904134098281</v>
      </c>
      <c r="AB64" s="5">
        <f t="shared" si="83"/>
        <v>1.80109257777144</v>
      </c>
      <c r="AC64" s="5">
        <f t="shared" si="84"/>
        <v>0.106567739157</v>
      </c>
      <c r="AD64" s="5"/>
      <c r="AE64" s="5">
        <f t="shared" si="85"/>
        <v>1.06593680537368</v>
      </c>
      <c r="AF64" s="216">
        <f t="shared" si="86"/>
        <v>2766.13559290486</v>
      </c>
      <c r="AG64" s="217">
        <f t="shared" si="87"/>
        <v>0.0373264420821728</v>
      </c>
      <c r="AI64" s="5">
        <f t="shared" si="88"/>
        <v>0.889001943257536</v>
      </c>
      <c r="AJ64" s="5">
        <f t="shared" si="89"/>
        <v>1.5</v>
      </c>
      <c r="AK64" s="5">
        <f t="shared" si="90"/>
        <v>2</v>
      </c>
      <c r="AM64" s="216">
        <f t="shared" si="91"/>
        <v>295</v>
      </c>
      <c r="AN64" s="220">
        <f t="shared" si="92"/>
        <v>118.277631289599</v>
      </c>
      <c r="AP64" t="str">
        <f t="shared" si="93"/>
        <v/>
      </c>
      <c r="AQ64" t="str">
        <f t="shared" si="94"/>
        <v/>
      </c>
      <c r="AS64" s="192">
        <f t="shared" si="55"/>
        <v>8.45468402686839</v>
      </c>
      <c r="AT64" s="192">
        <f t="shared" si="95"/>
        <v>3.125</v>
      </c>
      <c r="AU64" s="192">
        <f t="shared" si="56"/>
        <v>5.32968402686839</v>
      </c>
      <c r="AV64" s="192">
        <f t="shared" si="96"/>
        <v>5.32968402686839</v>
      </c>
      <c r="AW64" s="5">
        <f t="shared" si="57"/>
        <v>0.369617597779996</v>
      </c>
      <c r="AX64" s="5">
        <f t="shared" si="97"/>
        <v>3.32655838001997</v>
      </c>
      <c r="AY64" s="5">
        <f t="shared" si="98"/>
        <v>0.315348796710557</v>
      </c>
      <c r="AZ64" s="5">
        <f t="shared" si="58"/>
        <v>10.5488221763321</v>
      </c>
      <c r="BA64" s="220">
        <f t="shared" si="99"/>
        <v>4.91946604768167</v>
      </c>
      <c r="BB64" s="220">
        <f t="shared" si="100"/>
        <v>58.1533792090308</v>
      </c>
      <c r="BC64" s="192">
        <f t="shared" si="101"/>
        <v>4.3673799664616</v>
      </c>
      <c r="BD64" s="220">
        <f t="shared" si="102"/>
        <v>15.6062271470363</v>
      </c>
      <c r="BE64" s="192"/>
      <c r="BF64" s="5">
        <f t="shared" si="59"/>
        <v>0.526510397176539</v>
      </c>
      <c r="BG64" s="5">
        <f t="shared" si="103"/>
        <v>0.458625825053432</v>
      </c>
      <c r="BH64" s="5"/>
      <c r="BI64" s="217">
        <f t="shared" si="104"/>
        <v>0.097024619417249</v>
      </c>
      <c r="BJ64" s="217">
        <f t="shared" si="105"/>
        <v>0.0215319696657463</v>
      </c>
      <c r="BK64" s="217">
        <f t="shared" si="106"/>
        <v>0.00147847039111998</v>
      </c>
      <c r="BL64" s="217">
        <f t="shared" si="107"/>
        <v>0.00348427462201818</v>
      </c>
      <c r="BM64">
        <f t="shared" si="108"/>
        <v>0.00348</v>
      </c>
      <c r="BN64">
        <f t="shared" si="109"/>
        <v>2.06985854756798e-6</v>
      </c>
      <c r="BO64" s="217">
        <f t="shared" si="110"/>
        <v>0.178205218871332</v>
      </c>
      <c r="BP64" s="220">
        <f t="shared" si="60"/>
        <v>178.205218871332</v>
      </c>
      <c r="BQ64" s="217">
        <f t="shared" si="111"/>
        <v>0.32825087916144</v>
      </c>
      <c r="BR64" s="217"/>
      <c r="BT64" s="220">
        <f t="shared" si="61"/>
        <v>328.25087916144</v>
      </c>
      <c r="BU64" s="217">
        <f t="shared" si="112"/>
        <v>0.0113657411317349</v>
      </c>
      <c r="BV64" s="217">
        <f t="shared" si="113"/>
        <v>0.0210337647405942</v>
      </c>
      <c r="BW64" s="217">
        <f t="shared" si="114"/>
        <v>0</v>
      </c>
      <c r="BX64" s="217">
        <f t="shared" si="115"/>
        <v>0.044827509235712</v>
      </c>
      <c r="BY64" s="217">
        <f t="shared" si="116"/>
        <v>0.0106449868160639</v>
      </c>
      <c r="BZ64" s="220">
        <f t="shared" si="62"/>
        <v>55.4724960517759</v>
      </c>
      <c r="CA64" s="5">
        <f t="shared" si="63"/>
        <v>0.561928594084548</v>
      </c>
      <c r="CB64" s="192">
        <f t="shared" si="64"/>
        <v>2.99390254201797</v>
      </c>
      <c r="CC64" s="5">
        <f t="shared" si="65"/>
        <v>0.841969831362558</v>
      </c>
      <c r="CD64" s="192">
        <f t="shared" si="66"/>
        <v>84.1969831362558</v>
      </c>
      <c r="CG64" s="227">
        <f t="shared" si="117"/>
        <v>-50</v>
      </c>
      <c r="CH64">
        <f t="shared" si="118"/>
        <v>-50</v>
      </c>
    </row>
    <row r="65" spans="5:86">
      <c r="E65" s="22">
        <v>60</v>
      </c>
      <c r="F65" s="25">
        <f t="shared" si="119"/>
        <v>0.3</v>
      </c>
      <c r="G65" s="25"/>
      <c r="H65" s="25">
        <f t="shared" si="67"/>
        <v>5.4</v>
      </c>
      <c r="I65" s="212">
        <f t="shared" si="68"/>
        <v>12</v>
      </c>
      <c r="J65" s="27">
        <f t="shared" si="69"/>
        <v>6.75010381623186</v>
      </c>
      <c r="K65" s="131">
        <f t="shared" si="70"/>
        <v>24.2728</v>
      </c>
      <c r="L65" s="131"/>
      <c r="M65" s="25">
        <f t="shared" si="71"/>
        <v>0.505619458818101</v>
      </c>
      <c r="N65" s="27">
        <f t="shared" si="72"/>
        <v>4.09551761642662</v>
      </c>
      <c r="O65" s="27">
        <f t="shared" si="53"/>
        <v>2.91602870295286</v>
      </c>
      <c r="P65" s="25">
        <f t="shared" si="73"/>
        <v>0.227528756468145</v>
      </c>
      <c r="Q65" s="25">
        <f t="shared" si="74"/>
        <v>13.6517253880887</v>
      </c>
      <c r="R65" s="25">
        <f t="shared" si="75"/>
        <v>0.289104672546545</v>
      </c>
      <c r="S65" s="27">
        <f t="shared" si="76"/>
        <v>9.72009567650954</v>
      </c>
      <c r="T65" s="27">
        <f t="shared" si="77"/>
        <v>9.72009567650954</v>
      </c>
      <c r="U65" s="25">
        <f t="shared" si="78"/>
        <v>1.5</v>
      </c>
      <c r="V65" s="25">
        <f t="shared" si="79"/>
        <v>3.125</v>
      </c>
      <c r="W65" s="25">
        <f t="shared" si="80"/>
        <v>5.55547011141138</v>
      </c>
      <c r="X65" s="24">
        <f t="shared" si="81"/>
        <v>350</v>
      </c>
      <c r="Y65" s="131">
        <f t="shared" si="54"/>
        <v>115.201133943817</v>
      </c>
      <c r="AA65" s="25">
        <f t="shared" si="82"/>
        <v>0.4937191454735</v>
      </c>
      <c r="AB65" s="5">
        <f t="shared" si="83"/>
        <v>1.82856130407307</v>
      </c>
      <c r="AC65" s="5">
        <f t="shared" si="84"/>
        <v>0.105378830941429</v>
      </c>
      <c r="AD65" s="5"/>
      <c r="AE65" s="5">
        <f t="shared" si="85"/>
        <v>1.11109402228228</v>
      </c>
      <c r="AF65" s="216">
        <f t="shared" si="86"/>
        <v>2698.69218040254</v>
      </c>
      <c r="AG65" s="217">
        <f t="shared" si="87"/>
        <v>0.0389077349252696</v>
      </c>
      <c r="AI65" s="5">
        <f t="shared" si="88"/>
        <v>0.878097323015189</v>
      </c>
      <c r="AJ65" s="5">
        <f t="shared" si="89"/>
        <v>1.5</v>
      </c>
      <c r="AK65" s="5">
        <f t="shared" si="90"/>
        <v>2</v>
      </c>
      <c r="AM65" s="216">
        <f t="shared" si="91"/>
        <v>300</v>
      </c>
      <c r="AN65" s="220">
        <f t="shared" si="92"/>
        <v>115.201133943817</v>
      </c>
      <c r="AP65" t="str">
        <f t="shared" si="93"/>
        <v/>
      </c>
      <c r="AQ65" t="str">
        <f t="shared" si="94"/>
        <v/>
      </c>
      <c r="AS65" s="192">
        <f t="shared" si="55"/>
        <v>8.68047011141138</v>
      </c>
      <c r="AT65" s="192">
        <f t="shared" si="95"/>
        <v>3.125</v>
      </c>
      <c r="AU65" s="192">
        <f t="shared" si="56"/>
        <v>5.55547011141138</v>
      </c>
      <c r="AV65" s="192">
        <f t="shared" si="96"/>
        <v>5.55547011141138</v>
      </c>
      <c r="AW65" s="5">
        <f t="shared" si="57"/>
        <v>0.360003543574427</v>
      </c>
      <c r="AX65" s="5">
        <f t="shared" si="97"/>
        <v>3.24003189216984</v>
      </c>
      <c r="AY65" s="5">
        <f t="shared" si="98"/>
        <v>0.320158227326893</v>
      </c>
      <c r="AZ65" s="5">
        <f t="shared" si="58"/>
        <v>10.1200956765095</v>
      </c>
      <c r="BA65" s="220">
        <f t="shared" si="99"/>
        <v>4.91946604768167</v>
      </c>
      <c r="BB65" s="220">
        <f t="shared" si="100"/>
        <v>60.1261319024737</v>
      </c>
      <c r="BC65" s="192">
        <f t="shared" si="101"/>
        <v>4.62955842617615</v>
      </c>
      <c r="BD65" s="220">
        <f t="shared" si="102"/>
        <v>15.8099249205168</v>
      </c>
      <c r="BE65" s="192"/>
      <c r="BF65" s="5">
        <f t="shared" si="59"/>
        <v>0.519617799618932</v>
      </c>
      <c r="BG65" s="5">
        <f t="shared" si="103"/>
        <v>0.462109876140986</v>
      </c>
      <c r="BH65" s="5"/>
      <c r="BI65" s="217">
        <f t="shared" si="104"/>
        <v>0.0945009301882871</v>
      </c>
      <c r="BJ65" s="217">
        <f t="shared" si="105"/>
        <v>0.0209719056299361</v>
      </c>
      <c r="BK65" s="217">
        <f t="shared" si="106"/>
        <v>0.00144001417429771</v>
      </c>
      <c r="BL65" s="217">
        <f t="shared" si="107"/>
        <v>0.00339364580649541</v>
      </c>
      <c r="BM65">
        <f t="shared" si="108"/>
        <v>0.00348</v>
      </c>
      <c r="BN65">
        <f t="shared" si="109"/>
        <v>2.01601984401679e-6</v>
      </c>
      <c r="BO65" s="217">
        <f t="shared" si="110"/>
        <v>0.173405327125389</v>
      </c>
      <c r="BP65" s="220">
        <f t="shared" si="60"/>
        <v>173.405327125389</v>
      </c>
      <c r="BQ65" s="217">
        <f t="shared" si="111"/>
        <v>0.333587820901237</v>
      </c>
      <c r="BR65" s="217"/>
      <c r="BT65" s="220">
        <f t="shared" si="61"/>
        <v>333.587820901237</v>
      </c>
      <c r="BU65" s="217">
        <f t="shared" si="112"/>
        <v>0.0110701089649136</v>
      </c>
      <c r="BV65" s="217">
        <f t="shared" si="113"/>
        <v>0.0213545537627038</v>
      </c>
      <c r="BW65" s="217">
        <f t="shared" si="114"/>
        <v>0</v>
      </c>
      <c r="BX65" s="217">
        <f t="shared" si="115"/>
        <v>0.0448624064359388</v>
      </c>
      <c r="BY65" s="217">
        <f t="shared" si="116"/>
        <v>0.0103681020549435</v>
      </c>
      <c r="BZ65" s="220">
        <f t="shared" si="62"/>
        <v>55.2305084908823</v>
      </c>
      <c r="CA65" s="5">
        <f t="shared" si="63"/>
        <v>0.562223656517508</v>
      </c>
      <c r="CB65" s="192">
        <f t="shared" si="64"/>
        <v>2.91602870295286</v>
      </c>
      <c r="CC65" s="5">
        <f t="shared" si="65"/>
        <v>0.838360303275086</v>
      </c>
      <c r="CD65" s="192">
        <f t="shared" si="66"/>
        <v>83.8360303275086</v>
      </c>
      <c r="CG65" s="227">
        <f t="shared" si="117"/>
        <v>-50</v>
      </c>
      <c r="CH65">
        <f t="shared" si="118"/>
        <v>-50</v>
      </c>
    </row>
    <row r="66" spans="5:86">
      <c r="E66" s="22">
        <v>61</v>
      </c>
      <c r="F66" s="25">
        <f t="shared" si="119"/>
        <v>0.305</v>
      </c>
      <c r="G66" s="25"/>
      <c r="H66" s="25">
        <f t="shared" si="67"/>
        <v>5.49</v>
      </c>
      <c r="I66" s="212">
        <f t="shared" si="68"/>
        <v>12</v>
      </c>
      <c r="J66" s="27">
        <f t="shared" si="69"/>
        <v>6.47502423926356</v>
      </c>
      <c r="K66" s="131">
        <f t="shared" si="70"/>
        <v>24.2728</v>
      </c>
      <c r="L66" s="131"/>
      <c r="M66" s="25">
        <f t="shared" si="71"/>
        <v>0.505619458818101</v>
      </c>
      <c r="N66" s="27">
        <f t="shared" si="72"/>
        <v>4.09551761642662</v>
      </c>
      <c r="O66" s="27">
        <f t="shared" si="53"/>
        <v>2.83884316787914</v>
      </c>
      <c r="P66" s="25">
        <f t="shared" si="73"/>
        <v>0.227528756468145</v>
      </c>
      <c r="Q66" s="25">
        <f t="shared" si="74"/>
        <v>13.4279266112348</v>
      </c>
      <c r="R66" s="25">
        <f t="shared" si="75"/>
        <v>0.291276220066931</v>
      </c>
      <c r="S66" s="27">
        <f t="shared" si="76"/>
        <v>9.30768251763652</v>
      </c>
      <c r="T66" s="27">
        <f t="shared" si="77"/>
        <v>9.30768251763652</v>
      </c>
      <c r="U66" s="25">
        <f t="shared" si="78"/>
        <v>1.5</v>
      </c>
      <c r="V66" s="25">
        <f t="shared" si="79"/>
        <v>3.125</v>
      </c>
      <c r="W66" s="25">
        <f t="shared" si="80"/>
        <v>5.79148411099463</v>
      </c>
      <c r="X66" s="24">
        <f t="shared" si="81"/>
        <v>350</v>
      </c>
      <c r="Y66" s="131">
        <f t="shared" si="54"/>
        <v>112.151828854484</v>
      </c>
      <c r="AA66" s="25">
        <f t="shared" si="82"/>
        <v>0.480650695090648</v>
      </c>
      <c r="AB66" s="5">
        <f t="shared" si="83"/>
        <v>1.85578724237067</v>
      </c>
      <c r="AC66" s="5">
        <f t="shared" si="84"/>
        <v>0.104116999081645</v>
      </c>
      <c r="AD66" s="5"/>
      <c r="AE66" s="5">
        <f t="shared" si="85"/>
        <v>1.15829682219893</v>
      </c>
      <c r="AF66" s="216">
        <f t="shared" si="86"/>
        <v>2631.86059367035</v>
      </c>
      <c r="AG66" s="217">
        <f t="shared" si="87"/>
        <v>0.0405606589713509</v>
      </c>
      <c r="AI66" s="5">
        <f t="shared" si="88"/>
        <v>0.867156369762743</v>
      </c>
      <c r="AJ66" s="5">
        <f t="shared" si="89"/>
        <v>1.5</v>
      </c>
      <c r="AK66" s="5">
        <f t="shared" si="90"/>
        <v>2</v>
      </c>
      <c r="AM66" s="216">
        <f t="shared" si="91"/>
        <v>305</v>
      </c>
      <c r="AN66" s="220">
        <f t="shared" si="92"/>
        <v>112.151828854484</v>
      </c>
      <c r="AP66" t="str">
        <f t="shared" si="93"/>
        <v/>
      </c>
      <c r="AQ66" t="str">
        <f t="shared" si="94"/>
        <v/>
      </c>
      <c r="AS66" s="192">
        <f t="shared" si="55"/>
        <v>8.91648411099463</v>
      </c>
      <c r="AT66" s="192">
        <f t="shared" si="95"/>
        <v>3.125</v>
      </c>
      <c r="AU66" s="192">
        <f t="shared" si="56"/>
        <v>5.79148411099463</v>
      </c>
      <c r="AV66" s="192">
        <f t="shared" si="96"/>
        <v>5.79148411099463</v>
      </c>
      <c r="AW66" s="5">
        <f t="shared" si="57"/>
        <v>0.350474465170264</v>
      </c>
      <c r="AX66" s="5">
        <f t="shared" si="97"/>
        <v>3.15427018653238</v>
      </c>
      <c r="AY66" s="5">
        <f t="shared" si="98"/>
        <v>0.324925148798575</v>
      </c>
      <c r="AZ66" s="5">
        <f t="shared" si="58"/>
        <v>9.70768251763652</v>
      </c>
      <c r="BA66" s="220">
        <f t="shared" si="99"/>
        <v>4.91946604768167</v>
      </c>
      <c r="BB66" s="220">
        <f t="shared" si="100"/>
        <v>62.131788002529</v>
      </c>
      <c r="BC66" s="192">
        <f t="shared" si="101"/>
        <v>4.90667403848156</v>
      </c>
      <c r="BD66" s="220">
        <f t="shared" si="102"/>
        <v>16.011822269205</v>
      </c>
      <c r="BE66" s="192"/>
      <c r="BF66" s="5">
        <f t="shared" si="59"/>
        <v>0.512694693631305</v>
      </c>
      <c r="BG66" s="5">
        <f t="shared" si="103"/>
        <v>0.465537403705277</v>
      </c>
      <c r="BH66" s="5"/>
      <c r="BI66" s="217">
        <f t="shared" si="104"/>
        <v>0.0919995471071943</v>
      </c>
      <c r="BJ66" s="217">
        <f t="shared" si="105"/>
        <v>0.0204167918356435</v>
      </c>
      <c r="BK66" s="217">
        <f t="shared" si="106"/>
        <v>0.00140189786068106</v>
      </c>
      <c r="BL66" s="217">
        <f t="shared" si="107"/>
        <v>0.00330381803245471</v>
      </c>
      <c r="BM66">
        <f t="shared" si="108"/>
        <v>0.00348</v>
      </c>
      <c r="BN66">
        <f t="shared" si="109"/>
        <v>1.96265700495348e-6</v>
      </c>
      <c r="BO66" s="217">
        <f t="shared" si="110"/>
        <v>0.168662041565281</v>
      </c>
      <c r="BP66" s="220">
        <f t="shared" si="60"/>
        <v>168.662041565281</v>
      </c>
      <c r="BQ66" s="217">
        <f t="shared" si="111"/>
        <v>0.338906770864481</v>
      </c>
      <c r="BR66" s="217"/>
      <c r="BT66" s="220">
        <f t="shared" si="61"/>
        <v>338.906770864481</v>
      </c>
      <c r="BU66" s="217">
        <f t="shared" si="112"/>
        <v>0.0107770898039856</v>
      </c>
      <c r="BV66" s="217">
        <f t="shared" si="113"/>
        <v>0.021672507424865</v>
      </c>
      <c r="BW66" s="217">
        <f t="shared" si="114"/>
        <v>0</v>
      </c>
      <c r="BX66" s="217">
        <f t="shared" si="115"/>
        <v>0.0448969953290308</v>
      </c>
      <c r="BY66" s="217">
        <f t="shared" si="116"/>
        <v>0.0100936645969036</v>
      </c>
      <c r="BZ66" s="220">
        <f t="shared" si="62"/>
        <v>54.9906599259344</v>
      </c>
      <c r="CA66" s="5">
        <f t="shared" si="63"/>
        <v>0.562559472355696</v>
      </c>
      <c r="CB66" s="192">
        <f t="shared" si="64"/>
        <v>2.83884316787914</v>
      </c>
      <c r="CC66" s="5">
        <f t="shared" si="65"/>
        <v>0.834609562037367</v>
      </c>
      <c r="CD66" s="192">
        <f t="shared" si="66"/>
        <v>83.4609562037367</v>
      </c>
      <c r="CG66" s="227">
        <f t="shared" si="117"/>
        <v>-50</v>
      </c>
      <c r="CH66">
        <f t="shared" si="118"/>
        <v>-50</v>
      </c>
    </row>
    <row r="67" spans="5:86">
      <c r="E67" s="22">
        <v>62</v>
      </c>
      <c r="F67" s="25">
        <f t="shared" si="119"/>
        <v>0.31</v>
      </c>
      <c r="G67" s="25"/>
      <c r="H67" s="25">
        <f t="shared" si="67"/>
        <v>5.58</v>
      </c>
      <c r="I67" s="212">
        <f t="shared" si="68"/>
        <v>12</v>
      </c>
      <c r="J67" s="27">
        <f t="shared" si="69"/>
        <v>6.21038787244102</v>
      </c>
      <c r="K67" s="131">
        <f t="shared" si="70"/>
        <v>24.2728</v>
      </c>
      <c r="L67" s="131"/>
      <c r="M67" s="25">
        <f t="shared" si="71"/>
        <v>0.505619458818101</v>
      </c>
      <c r="N67" s="27">
        <f t="shared" si="72"/>
        <v>4.09551761642662</v>
      </c>
      <c r="O67" s="27">
        <f t="shared" si="53"/>
        <v>2.76238716710152</v>
      </c>
      <c r="P67" s="25">
        <f t="shared" si="73"/>
        <v>0.227528756468145</v>
      </c>
      <c r="Q67" s="25">
        <f t="shared" si="74"/>
        <v>13.2113471497633</v>
      </c>
      <c r="R67" s="25">
        <f t="shared" si="75"/>
        <v>0.293411488242116</v>
      </c>
      <c r="S67" s="27">
        <f t="shared" si="76"/>
        <v>8.91092634548878</v>
      </c>
      <c r="T67" s="27">
        <f t="shared" si="77"/>
        <v>8.91092634548878</v>
      </c>
      <c r="U67" s="25">
        <f t="shared" si="78"/>
        <v>1.5</v>
      </c>
      <c r="V67" s="25">
        <f t="shared" si="79"/>
        <v>3.125</v>
      </c>
      <c r="W67" s="25">
        <f t="shared" si="80"/>
        <v>6.03827019668265</v>
      </c>
      <c r="X67" s="24">
        <f t="shared" si="81"/>
        <v>350</v>
      </c>
      <c r="Y67" s="131">
        <f t="shared" si="54"/>
        <v>109.131344873147</v>
      </c>
      <c r="AA67" s="25">
        <f t="shared" si="82"/>
        <v>0.467705763742057</v>
      </c>
      <c r="AB67" s="5">
        <f t="shared" si="83"/>
        <v>1.88275584934691</v>
      </c>
      <c r="AC67" s="5">
        <f t="shared" si="84"/>
        <v>0.102785205872982</v>
      </c>
      <c r="AD67" s="5"/>
      <c r="AE67" s="5">
        <f t="shared" si="85"/>
        <v>1.20765403933653</v>
      </c>
      <c r="AF67" s="216">
        <f t="shared" si="86"/>
        <v>2565.67748186802</v>
      </c>
      <c r="AG67" s="217">
        <f t="shared" si="87"/>
        <v>0.042289025322467</v>
      </c>
      <c r="AI67" s="5">
        <f t="shared" si="88"/>
        <v>0.856183805677933</v>
      </c>
      <c r="AJ67" s="5">
        <f t="shared" si="89"/>
        <v>1.5</v>
      </c>
      <c r="AK67" s="5">
        <f t="shared" si="90"/>
        <v>2</v>
      </c>
      <c r="AM67" s="216">
        <f t="shared" si="91"/>
        <v>310</v>
      </c>
      <c r="AN67" s="220">
        <f t="shared" si="92"/>
        <v>109.131344873147</v>
      </c>
      <c r="AP67" t="str">
        <f t="shared" si="93"/>
        <v/>
      </c>
      <c r="AQ67" t="str">
        <f t="shared" si="94"/>
        <v/>
      </c>
      <c r="AS67" s="192">
        <f t="shared" si="55"/>
        <v>9.16327019668265</v>
      </c>
      <c r="AT67" s="192">
        <f t="shared" si="95"/>
        <v>3.125</v>
      </c>
      <c r="AU67" s="192">
        <f t="shared" si="56"/>
        <v>6.03827019668265</v>
      </c>
      <c r="AV67" s="192">
        <f t="shared" si="96"/>
        <v>6.03827019668265</v>
      </c>
      <c r="AW67" s="5">
        <f t="shared" si="57"/>
        <v>0.341035452728583</v>
      </c>
      <c r="AX67" s="5">
        <f t="shared" si="97"/>
        <v>3.06931907455725</v>
      </c>
      <c r="AY67" s="5">
        <f t="shared" si="98"/>
        <v>0.329647014772526</v>
      </c>
      <c r="AZ67" s="5">
        <f t="shared" si="58"/>
        <v>9.31092634548878</v>
      </c>
      <c r="BA67" s="220">
        <f t="shared" si="99"/>
        <v>4.91946604768167</v>
      </c>
      <c r="BB67" s="220">
        <f t="shared" si="100"/>
        <v>64.1703475091969</v>
      </c>
      <c r="BC67" s="192">
        <f t="shared" si="101"/>
        <v>5.19962155825451</v>
      </c>
      <c r="BD67" s="220">
        <f t="shared" si="102"/>
        <v>16.2118113453131</v>
      </c>
      <c r="BE67" s="192"/>
      <c r="BF67" s="5">
        <f t="shared" si="59"/>
        <v>0.505743600598601</v>
      </c>
      <c r="BG67" s="5">
        <f t="shared" si="103"/>
        <v>0.468907836203742</v>
      </c>
      <c r="BH67" s="5"/>
      <c r="BI67" s="217">
        <f t="shared" si="104"/>
        <v>0.089521806341253</v>
      </c>
      <c r="BJ67" s="217">
        <f t="shared" si="105"/>
        <v>0.0198669248087768</v>
      </c>
      <c r="BK67" s="217">
        <f t="shared" si="106"/>
        <v>0.00136414181091433</v>
      </c>
      <c r="BL67" s="217">
        <f t="shared" si="107"/>
        <v>0.00321483928332319</v>
      </c>
      <c r="BM67">
        <f t="shared" si="108"/>
        <v>0.00348</v>
      </c>
      <c r="BN67">
        <f t="shared" si="109"/>
        <v>1.90979853528006e-6</v>
      </c>
      <c r="BO67" s="217">
        <f t="shared" si="110"/>
        <v>0.163977445114492</v>
      </c>
      <c r="BP67" s="220">
        <f t="shared" si="60"/>
        <v>163.977445114492</v>
      </c>
      <c r="BQ67" s="217">
        <f t="shared" si="111"/>
        <v>0.344206651320346</v>
      </c>
      <c r="BR67" s="217"/>
      <c r="BT67" s="220">
        <f t="shared" si="61"/>
        <v>344.206651320346</v>
      </c>
      <c r="BU67" s="217">
        <f t="shared" si="112"/>
        <v>0.0104868401714039</v>
      </c>
      <c r="BV67" s="217">
        <f t="shared" si="113"/>
        <v>0.0219874558853275</v>
      </c>
      <c r="BW67" s="217">
        <f t="shared" si="114"/>
        <v>0</v>
      </c>
      <c r="BX67" s="217">
        <f t="shared" si="115"/>
        <v>0.0449312574347804</v>
      </c>
      <c r="BY67" s="217">
        <f t="shared" si="116"/>
        <v>0.00982182103858319</v>
      </c>
      <c r="BZ67" s="220">
        <f t="shared" si="62"/>
        <v>54.7530784733636</v>
      </c>
      <c r="CA67" s="5">
        <f t="shared" si="63"/>
        <v>0.562937174908201</v>
      </c>
      <c r="CB67" s="192">
        <f t="shared" si="64"/>
        <v>2.76238716710152</v>
      </c>
      <c r="CC67" s="5">
        <f t="shared" si="65"/>
        <v>0.830712099930685</v>
      </c>
      <c r="CD67" s="192">
        <f t="shared" si="66"/>
        <v>83.0712099930685</v>
      </c>
      <c r="CG67" s="227">
        <f t="shared" si="117"/>
        <v>-50</v>
      </c>
      <c r="CH67">
        <f t="shared" si="118"/>
        <v>-50</v>
      </c>
    </row>
    <row r="68" spans="5:86">
      <c r="E68" s="22">
        <v>63</v>
      </c>
      <c r="F68" s="25">
        <f t="shared" si="119"/>
        <v>0.315</v>
      </c>
      <c r="G68" s="25"/>
      <c r="H68" s="25">
        <f t="shared" si="67"/>
        <v>5.67</v>
      </c>
      <c r="I68" s="212">
        <f t="shared" si="68"/>
        <v>12</v>
      </c>
      <c r="J68" s="27">
        <f t="shared" si="69"/>
        <v>5.95578954096561</v>
      </c>
      <c r="K68" s="131">
        <f t="shared" si="70"/>
        <v>24.2728</v>
      </c>
      <c r="L68" s="131"/>
      <c r="M68" s="25">
        <f t="shared" si="71"/>
        <v>0.505619458818101</v>
      </c>
      <c r="N68" s="27">
        <f t="shared" si="72"/>
        <v>4.09551761642662</v>
      </c>
      <c r="O68" s="27">
        <f t="shared" si="53"/>
        <v>2.68670420600325</v>
      </c>
      <c r="P68" s="25">
        <f t="shared" si="73"/>
        <v>0.227528756468145</v>
      </c>
      <c r="Q68" s="25">
        <f t="shared" si="74"/>
        <v>13.0016432267512</v>
      </c>
      <c r="R68" s="25">
        <f t="shared" si="75"/>
        <v>0.295511489158641</v>
      </c>
      <c r="S68" s="27">
        <f t="shared" si="76"/>
        <v>8.52921970159761</v>
      </c>
      <c r="T68" s="27">
        <f t="shared" si="77"/>
        <v>8.52921970159761</v>
      </c>
      <c r="U68" s="25">
        <f t="shared" si="78"/>
        <v>1.5</v>
      </c>
      <c r="V68" s="25">
        <f t="shared" si="79"/>
        <v>3.125</v>
      </c>
      <c r="W68" s="25">
        <f t="shared" si="80"/>
        <v>6.29639441455484</v>
      </c>
      <c r="X68" s="24">
        <f t="shared" si="81"/>
        <v>350</v>
      </c>
      <c r="Y68" s="131">
        <f t="shared" si="54"/>
        <v>106.141400730993</v>
      </c>
      <c r="AA68" s="25">
        <f t="shared" si="82"/>
        <v>0.45489171741854</v>
      </c>
      <c r="AB68" s="5">
        <f t="shared" si="83"/>
        <v>1.90945177918757</v>
      </c>
      <c r="AC68" s="5">
        <f t="shared" si="84"/>
        <v>0.101386611207245</v>
      </c>
      <c r="AD68" s="5"/>
      <c r="AE68" s="5">
        <f t="shared" si="85"/>
        <v>1.25927888291097</v>
      </c>
      <c r="AF68" s="216">
        <f t="shared" si="86"/>
        <v>2500.18151644733</v>
      </c>
      <c r="AG68" s="217">
        <f t="shared" si="87"/>
        <v>0.0440967982823348</v>
      </c>
      <c r="AI68" s="5">
        <f t="shared" si="88"/>
        <v>0.845184936051163</v>
      </c>
      <c r="AJ68" s="5">
        <f t="shared" si="89"/>
        <v>1.5</v>
      </c>
      <c r="AK68" s="5">
        <f t="shared" si="90"/>
        <v>2</v>
      </c>
      <c r="AM68" s="216">
        <f t="shared" si="91"/>
        <v>315</v>
      </c>
      <c r="AN68" s="220">
        <f t="shared" si="92"/>
        <v>106.141400730993</v>
      </c>
      <c r="AP68" t="str">
        <f t="shared" si="93"/>
        <v/>
      </c>
      <c r="AQ68" t="str">
        <f t="shared" si="94"/>
        <v/>
      </c>
      <c r="AS68" s="192">
        <f t="shared" si="55"/>
        <v>9.42139441455484</v>
      </c>
      <c r="AT68" s="192">
        <f t="shared" si="95"/>
        <v>3.125</v>
      </c>
      <c r="AU68" s="192">
        <f t="shared" si="56"/>
        <v>6.29639441455484</v>
      </c>
      <c r="AV68" s="192">
        <f t="shared" si="96"/>
        <v>6.29639441455484</v>
      </c>
      <c r="AW68" s="5">
        <f t="shared" si="57"/>
        <v>0.331691877284352</v>
      </c>
      <c r="AX68" s="5">
        <f t="shared" si="97"/>
        <v>2.98522689555916</v>
      </c>
      <c r="AY68" s="5">
        <f t="shared" si="98"/>
        <v>0.334321138388503</v>
      </c>
      <c r="AZ68" s="5">
        <f t="shared" si="58"/>
        <v>8.92921970159762</v>
      </c>
      <c r="BA68" s="220">
        <f t="shared" si="99"/>
        <v>4.91946604768167</v>
      </c>
      <c r="BB68" s="220">
        <f t="shared" si="100"/>
        <v>66.2418104224772</v>
      </c>
      <c r="BC68" s="192">
        <f t="shared" si="101"/>
        <v>5.50934511273549</v>
      </c>
      <c r="BD68" s="220">
        <f t="shared" si="102"/>
        <v>16.4097783500378</v>
      </c>
      <c r="BE68" s="192"/>
      <c r="BF68" s="5">
        <f t="shared" si="59"/>
        <v>0.49876738863248</v>
      </c>
      <c r="BG68" s="5">
        <f t="shared" si="103"/>
        <v>0.472220498607517</v>
      </c>
      <c r="BH68" s="5"/>
      <c r="BI68" s="217">
        <f t="shared" si="104"/>
        <v>0.0870691177871423</v>
      </c>
      <c r="BJ68" s="217">
        <f t="shared" si="105"/>
        <v>0.0193226174374743</v>
      </c>
      <c r="BK68" s="217">
        <f t="shared" si="106"/>
        <v>0.00132676750913741</v>
      </c>
      <c r="BL68" s="217">
        <f t="shared" si="107"/>
        <v>0.00312676019024217</v>
      </c>
      <c r="BM68">
        <f t="shared" si="108"/>
        <v>0.00348</v>
      </c>
      <c r="BN68">
        <f t="shared" si="109"/>
        <v>1.85747451279237e-6</v>
      </c>
      <c r="BO68" s="217">
        <f t="shared" si="110"/>
        <v>0.159353737243834</v>
      </c>
      <c r="BP68" s="220">
        <f t="shared" si="60"/>
        <v>159.353737243834</v>
      </c>
      <c r="BQ68" s="217">
        <f t="shared" si="111"/>
        <v>0.349486325069071</v>
      </c>
      <c r="BR68" s="217"/>
      <c r="BT68" s="220">
        <f t="shared" si="61"/>
        <v>349.486325069071</v>
      </c>
      <c r="BU68" s="217">
        <f t="shared" si="112"/>
        <v>0.0101995252264938</v>
      </c>
      <c r="BV68" s="217">
        <f t="shared" si="113"/>
        <v>0.0222992199305132</v>
      </c>
      <c r="BW68" s="217">
        <f t="shared" si="114"/>
        <v>0</v>
      </c>
      <c r="BX68" s="217">
        <f t="shared" si="115"/>
        <v>0.0449651732531893</v>
      </c>
      <c r="BY68" s="217">
        <f t="shared" si="116"/>
        <v>0.00955272606578933</v>
      </c>
      <c r="BZ68" s="220">
        <f t="shared" si="62"/>
        <v>54.5178993189787</v>
      </c>
      <c r="CA68" s="5">
        <f t="shared" si="63"/>
        <v>0.563357961631884</v>
      </c>
      <c r="CB68" s="192">
        <f t="shared" si="64"/>
        <v>2.68670420600325</v>
      </c>
      <c r="CC68" s="5">
        <f t="shared" si="65"/>
        <v>0.826662404417389</v>
      </c>
      <c r="CD68" s="192">
        <f t="shared" si="66"/>
        <v>82.6662404417389</v>
      </c>
      <c r="CG68" s="227">
        <f t="shared" si="117"/>
        <v>-50</v>
      </c>
      <c r="CH68">
        <f t="shared" si="118"/>
        <v>-50</v>
      </c>
    </row>
    <row r="69" spans="5:86">
      <c r="E69" s="22">
        <v>64</v>
      </c>
      <c r="F69" s="25">
        <f t="shared" si="119"/>
        <v>0.32</v>
      </c>
      <c r="G69" s="25"/>
      <c r="H69" s="25">
        <f t="shared" ref="H69:H100" si="120">F69*Vout</f>
        <v>5.76</v>
      </c>
      <c r="I69" s="212">
        <f t="shared" ref="I69:I105" si="121">Vin</f>
        <v>12</v>
      </c>
      <c r="J69" s="27">
        <f t="shared" ref="J69:J105" si="122">(T69+Vfwd1)*Nps</f>
        <v>5.71085416240354</v>
      </c>
      <c r="K69" s="131">
        <f t="shared" ref="K69:K105" si="123">(Vout+Vfwd1)*Nps+I69</f>
        <v>24.2728</v>
      </c>
      <c r="L69" s="131"/>
      <c r="M69" s="25">
        <f t="shared" ref="M69:M105" si="124">(Vout+Vfwd1)*Nps/((Vout+Vfwd1)*Nps+I69)</f>
        <v>0.505619458818101</v>
      </c>
      <c r="N69" s="27">
        <f t="shared" ref="N69:N100" si="125">M69*I69*Isw_max*0.5*Efficiency</f>
        <v>4.09551761642662</v>
      </c>
      <c r="O69" s="27">
        <f t="shared" si="53"/>
        <v>2.61184007791474</v>
      </c>
      <c r="P69" s="25">
        <f t="shared" ref="P69:P100" si="126">N69/Vout</f>
        <v>0.227528756468145</v>
      </c>
      <c r="Q69" s="25">
        <f t="shared" ref="Q69:Q105" si="127">MIN(Vout,N69/F69)</f>
        <v>12.7984925513332</v>
      </c>
      <c r="R69" s="25">
        <f t="shared" ref="R69:R100" si="128">Isw_max/2*I69*Nps*(Q69+Vfwd1)/Q69/(I69+Nps*(Q69+Vfwd1))</f>
        <v>0.297577197604254</v>
      </c>
      <c r="S69" s="27">
        <f t="shared" ref="S69:S105" si="129">(SQRT(Isw_max^2*Nps^2*I69^2+4*Isw_max*F69/Efficiency*(Nps^2*Vfwd1*I69-Nps*I69^2)+4*(F69/Efficiency)^2*Nps^2*Vfwd1^2+8*(F69/Efficiency)^2*Nps*Vfwd1*I69+4*(F69/Efficiency)^2*I69^2)-2*F69/Efficiency*I69-2*F69/Efficiency*Nps*Vfwd1+Isw_max*Nps*I69)/(4*F69/Efficiency*Nps)</f>
        <v>8.16200024348356</v>
      </c>
      <c r="T69" s="27">
        <f t="shared" ref="T69:T100" si="130">MIN(Vout,S69)</f>
        <v>8.16200024348356</v>
      </c>
      <c r="U69" s="25">
        <f t="shared" ref="U69:U105" si="131">MIN(2*Vout*F69/(Efficiency*I69*M69),Isw_max)</f>
        <v>1.5</v>
      </c>
      <c r="V69" s="25">
        <f t="shared" ref="V69:V100" si="132">L*U69/I69*1000000</f>
        <v>3.125</v>
      </c>
      <c r="W69" s="25">
        <f t="shared" ref="W69:W105" si="133">L*U69/J69*1000000</f>
        <v>6.56644329089596</v>
      </c>
      <c r="X69" s="24">
        <f t="shared" ref="X69:X105" si="134">IF(1/((350000*L)*(1/I69+1/J69))&gt;Isw_min,350,0.001/((Isw_min*L)*(1/I69+1/J69)))</f>
        <v>350</v>
      </c>
      <c r="Y69" s="131">
        <f t="shared" si="54"/>
        <v>103.183805547249</v>
      </c>
      <c r="AA69" s="25">
        <f t="shared" ref="AA69:AA105" si="135">1/((X69*1000*L)*(1/I69+1/J69))</f>
        <v>0.44221630948821</v>
      </c>
      <c r="AB69" s="5">
        <f t="shared" ref="AB69:AB100" si="136">L*AA69/J69*1000000</f>
        <v>1.93585887904242</v>
      </c>
      <c r="AC69" s="5">
        <f t="shared" ref="AC69:AC100" si="137">0.5*AB69*AA69*Nps*X69/1000</f>
        <v>0.0999245803925498</v>
      </c>
      <c r="AD69" s="5"/>
      <c r="AE69" s="5">
        <f t="shared" ref="AE69:AE105" si="138">L*Isw_min/J69*1000000</f>
        <v>1.31328865817919</v>
      </c>
      <c r="AF69" s="216">
        <f t="shared" ref="AF69:AF100" si="139">MAX(12,F69/(0.5*AE69/1000000*Isw_min*Nps)/1000)</f>
        <v>2435.41340259088</v>
      </c>
      <c r="AG69" s="217">
        <f t="shared" ref="AG69:AG105" si="140">0.5*AE69/1000000*Isw_min*Nps*X69*1000</f>
        <v>0.0459880855877899</v>
      </c>
      <c r="AI69" s="5">
        <f t="shared" ref="AI69:AI105" si="141">SQRT(F69/Efficiency/(0.5*L/J69*Fsw_DCM*Nps))</f>
        <v>0.834165691418828</v>
      </c>
      <c r="AJ69" s="5">
        <f t="shared" ref="AJ69:AJ100" si="142">MAX(IF(F69&gt;AC69,U69,AI69),Isw_min)</f>
        <v>1.5</v>
      </c>
      <c r="AK69" s="5">
        <f t="shared" ref="AK69:AK100" si="143">IF(F69&gt;AG69,(AJ69-Isw_min)/1.2*0.8+1.2,AF69*0.2/350+1)</f>
        <v>2</v>
      </c>
      <c r="AM69" s="216">
        <f t="shared" ref="AM69:AM105" si="144">F69*1000</f>
        <v>320</v>
      </c>
      <c r="AN69" s="220">
        <f t="shared" ref="AN69:AN105" si="145">IF(F69&gt;AG69,Y69,AF69)</f>
        <v>103.183805547249</v>
      </c>
      <c r="AP69" t="str">
        <f t="shared" ref="AP69:AP105" si="146">IF(H69&gt;N69,"",AM69)</f>
        <v/>
      </c>
      <c r="AQ69" t="str">
        <f t="shared" ref="AQ69:AQ105" si="147">IF(H69&gt;N69,"",AN69)</f>
        <v/>
      </c>
      <c r="AS69" s="192">
        <f t="shared" si="55"/>
        <v>9.69144329089596</v>
      </c>
      <c r="AT69" s="192">
        <f t="shared" ref="AT69:AT105" si="148">L*AJ69/I69*1000000</f>
        <v>3.125</v>
      </c>
      <c r="AU69" s="192">
        <f t="shared" si="56"/>
        <v>6.56644329089596</v>
      </c>
      <c r="AV69" s="192">
        <f t="shared" ref="AV69:AV105" si="149">L*AJ69/J69*1000000</f>
        <v>6.56644329089596</v>
      </c>
      <c r="AW69" s="5">
        <f t="shared" si="57"/>
        <v>0.322449392335153</v>
      </c>
      <c r="AX69" s="5">
        <f t="shared" ref="AX69:AX132" si="150">0.5*L*AJ69^2*AN69*1000</f>
        <v>2.90204453101638</v>
      </c>
      <c r="AY69" s="5">
        <f t="shared" ref="AY69:AY132" si="151">AJ69*Nps/2*(1-AW69)</f>
        <v>0.33894469148434</v>
      </c>
      <c r="AZ69" s="5">
        <f t="shared" si="58"/>
        <v>8.56200024348357</v>
      </c>
      <c r="BA69" s="220">
        <f t="shared" ref="BA69:BA105" si="152">L*Isw_max^2/(2*Vout_ripple*Vout)*1000000000*((1+M69)/2)^2</f>
        <v>4.91946604768167</v>
      </c>
      <c r="BB69" s="220">
        <f t="shared" ref="BB69:BB105" si="153">L*F69^2/(2*Cout*Vout*Nps^2)*1000000000*((1+M69)/(1-M69))^2+F69*RCoutEsr</f>
        <v>68.34617674237</v>
      </c>
      <c r="BC69" s="192">
        <f t="shared" ref="BC69:BC105" si="154">H69/Efficiency/I69*AU69/Vinripple1</f>
        <v>5.83683848079641</v>
      </c>
      <c r="BD69" s="220">
        <f t="shared" ref="BD69:BD105" si="155">((CB69/I69/Efficiency)*AU69/Cin+(CB69/I69/Efficiency)*RCinEsr)*1000</f>
        <v>16.6056034998989</v>
      </c>
      <c r="BE69" s="192"/>
      <c r="BF69" s="5">
        <f t="shared" si="59"/>
        <v>0.491769299826011</v>
      </c>
      <c r="BG69" s="5">
        <f t="shared" ref="BG69:BG132" si="156">AJ69*Nps*SQRT((1-AW69)/3)</f>
        <v>0.475474614695732</v>
      </c>
      <c r="BH69" s="5"/>
      <c r="BI69" s="217">
        <f t="shared" ref="BI69:BI105" si="157">Rdson*BF69^2</f>
        <v>0.0846429654879777</v>
      </c>
      <c r="BJ69" s="217">
        <f t="shared" ref="BJ69:BJ105" si="158">0.5*K69*AJ69*AN69*1000*Trise</f>
        <v>0.0187841990646545</v>
      </c>
      <c r="BK69" s="217">
        <f t="shared" ref="BK69:BK105" si="159">Qg*Vdd*AN69*1000</f>
        <v>0.00128979756934061</v>
      </c>
      <c r="BL69" s="217">
        <f t="shared" ref="BL69:BL105" si="160">0.5*(Coss+Csw)*K69^2*AN69*1000</f>
        <v>0.00303963404704364</v>
      </c>
      <c r="BM69">
        <f t="shared" ref="BM69:BM105" si="161">I69*IQ</f>
        <v>0.00348</v>
      </c>
      <c r="BN69">
        <f t="shared" ref="BN69:BN105" si="162">(I69-Vdd)*Qg*AN69</f>
        <v>1.80571659707686e-6</v>
      </c>
      <c r="BO69" s="217">
        <f t="shared" ref="BO69:BO100" si="163">(BJ69+BK69+BL69+BM69+BN69+BI69*(1+RdsonTC*(Ta-25)))/(1-BI69*RdsonTC*ThetaJA)</f>
        <v>0.154793233696598</v>
      </c>
      <c r="BP69" s="220">
        <f t="shared" si="60"/>
        <v>154.793233696598</v>
      </c>
      <c r="BQ69" s="217">
        <f t="shared" ref="BQ69:BQ105" si="164">(Vfwd2*F69+BG69^2*Rdiode)*(1+Diode_TC/1000*(Ta-25))</f>
        <v>0.354744595105586</v>
      </c>
      <c r="BR69" s="217"/>
      <c r="BT69" s="220">
        <f t="shared" si="61"/>
        <v>354.744595105586</v>
      </c>
      <c r="BU69" s="217">
        <f t="shared" ref="BU69:BU105" si="165">Rdcr_pri*BF69^2</f>
        <v>0.00991531881430596</v>
      </c>
      <c r="BV69" s="217">
        <f t="shared" ref="BV69:BV105" si="166">Rdcr_sec*BG69^2</f>
        <v>0.0226076109220055</v>
      </c>
      <c r="BW69" s="217">
        <f t="shared" ref="BW69:BW105" si="167">AJ69^2.5*AN69^2.5*k_core</f>
        <v>0</v>
      </c>
      <c r="BX69" s="217">
        <f t="shared" ref="BX69:BX100" si="168">(BW69+(BU69+BV69)*(1+Ltc*(Ta-25)))/(1-(BU69+BV69)*Ltc*ThetaCa)</f>
        <v>0.0449987222586892</v>
      </c>
      <c r="BY69" s="217">
        <f t="shared" ref="BY69:BY105" si="169">0.5*Lleak*0.000000001*AJ69^2*AN69*1000</f>
        <v>0.00928654249925241</v>
      </c>
      <c r="BZ69" s="220">
        <f t="shared" si="62"/>
        <v>54.2852647579416</v>
      </c>
      <c r="CA69" s="5">
        <f t="shared" si="63"/>
        <v>0.563823093560125</v>
      </c>
      <c r="CB69" s="192">
        <f t="shared" si="64"/>
        <v>2.61184007791474</v>
      </c>
      <c r="CC69" s="5">
        <f t="shared" si="65"/>
        <v>0.822455007626558</v>
      </c>
      <c r="CD69" s="192">
        <f t="shared" si="66"/>
        <v>82.2455007626558</v>
      </c>
      <c r="CG69" s="227">
        <f t="shared" ref="CG69:CG105" si="170">IF(ABS(F69-Ioutmax_Vinnom)&lt;Iout/200,AN69,-50)</f>
        <v>-50</v>
      </c>
      <c r="CH69">
        <f t="shared" ref="CH69:CH105" si="171">IF(ABS(F69-Ioutmax_Vinnom)&lt;Iout/200,N69*CC69,-50)</f>
        <v>-50</v>
      </c>
    </row>
    <row r="70" spans="5:86">
      <c r="E70" s="22">
        <v>65</v>
      </c>
      <c r="F70" s="25">
        <f t="shared" ref="F70:F101" si="172">IF(PLOT_TYPE=1,E70/100*Iout_max,min_I*EXP(N70*rr/100))</f>
        <v>0.325</v>
      </c>
      <c r="G70" s="25"/>
      <c r="H70" s="25">
        <f t="shared" si="120"/>
        <v>5.85</v>
      </c>
      <c r="I70" s="212">
        <f t="shared" si="121"/>
        <v>12</v>
      </c>
      <c r="J70" s="27">
        <f t="shared" si="122"/>
        <v>5.47523439687605</v>
      </c>
      <c r="K70" s="131">
        <f t="shared" si="123"/>
        <v>24.2728</v>
      </c>
      <c r="L70" s="131"/>
      <c r="M70" s="25">
        <f t="shared" si="124"/>
        <v>0.505619458818101</v>
      </c>
      <c r="N70" s="27">
        <f t="shared" si="125"/>
        <v>4.09551761642662</v>
      </c>
      <c r="O70" s="27">
        <f t="shared" ref="O70:O133" si="173">T70*F70</f>
        <v>2.53784284705355</v>
      </c>
      <c r="P70" s="25">
        <f t="shared" si="126"/>
        <v>0.227528756468145</v>
      </c>
      <c r="Q70" s="25">
        <f t="shared" si="127"/>
        <v>12.6015926659281</v>
      </c>
      <c r="R70" s="25">
        <f t="shared" si="128"/>
        <v>0.299609552770463</v>
      </c>
      <c r="S70" s="27">
        <f t="shared" si="129"/>
        <v>7.80874722170323</v>
      </c>
      <c r="T70" s="27">
        <f t="shared" si="130"/>
        <v>7.80874722170323</v>
      </c>
      <c r="U70" s="25">
        <f t="shared" si="131"/>
        <v>1.5</v>
      </c>
      <c r="V70" s="25">
        <f t="shared" si="132"/>
        <v>3.125</v>
      </c>
      <c r="W70" s="25">
        <f t="shared" si="133"/>
        <v>6.84902184669866</v>
      </c>
      <c r="X70" s="24">
        <f t="shared" si="134"/>
        <v>350</v>
      </c>
      <c r="Y70" s="131">
        <f t="shared" ref="Y70:Y105" si="174">MIN(1/(V70+W70)*1000,350)</f>
        <v>100.260458155202</v>
      </c>
      <c r="AA70" s="25">
        <f t="shared" si="135"/>
        <v>0.429687677808008</v>
      </c>
      <c r="AB70" s="5">
        <f t="shared" si="136"/>
        <v>1.96196019504284</v>
      </c>
      <c r="AC70" s="5">
        <f t="shared" si="137"/>
        <v>0.0984026907756416</v>
      </c>
      <c r="AD70" s="5"/>
      <c r="AE70" s="5">
        <f t="shared" si="138"/>
        <v>1.36980436933973</v>
      </c>
      <c r="AF70" s="216">
        <f t="shared" si="139"/>
        <v>2371.4158640476</v>
      </c>
      <c r="AG70" s="217">
        <f t="shared" si="140"/>
        <v>0.047967124503354</v>
      </c>
      <c r="AI70" s="5">
        <f t="shared" si="141"/>
        <v>0.823132668363907</v>
      </c>
      <c r="AJ70" s="5">
        <f t="shared" si="89"/>
        <v>1.5</v>
      </c>
      <c r="AK70" s="5">
        <f t="shared" si="143"/>
        <v>2</v>
      </c>
      <c r="AM70" s="216">
        <f t="shared" si="144"/>
        <v>325</v>
      </c>
      <c r="AN70" s="220">
        <f t="shared" si="145"/>
        <v>100.260458155202</v>
      </c>
      <c r="AP70" t="str">
        <f t="shared" si="146"/>
        <v/>
      </c>
      <c r="AQ70" t="str">
        <f t="shared" si="147"/>
        <v/>
      </c>
      <c r="AS70" s="192">
        <f t="shared" ref="AS70:AS133" si="175">1/AN70*1000</f>
        <v>9.97402184669865</v>
      </c>
      <c r="AT70" s="192">
        <f t="shared" si="148"/>
        <v>3.125</v>
      </c>
      <c r="AU70" s="192">
        <f t="shared" ref="AU70:AU105" si="176">AS70-AT70</f>
        <v>6.84902184669865</v>
      </c>
      <c r="AV70" s="192">
        <f t="shared" si="149"/>
        <v>6.84902184669866</v>
      </c>
      <c r="AW70" s="5">
        <f t="shared" ref="AW70:AW105" si="177">AT70/AS70</f>
        <v>0.313313931735006</v>
      </c>
      <c r="AX70" s="5">
        <f t="shared" si="150"/>
        <v>2.81982538561505</v>
      </c>
      <c r="AY70" s="5">
        <f t="shared" si="151"/>
        <v>0.343514705649563</v>
      </c>
      <c r="AZ70" s="5">
        <f t="shared" ref="AZ70:AZ133" si="178">AX70/AY70</f>
        <v>8.20874722170322</v>
      </c>
      <c r="BA70" s="220">
        <f t="shared" si="152"/>
        <v>4.91946604768167</v>
      </c>
      <c r="BB70" s="220">
        <f t="shared" si="153"/>
        <v>70.4834464688753</v>
      </c>
      <c r="BC70" s="192">
        <f t="shared" si="154"/>
        <v>6.18314472271406</v>
      </c>
      <c r="BD70" s="220">
        <f t="shared" si="155"/>
        <v>16.7991610713646</v>
      </c>
      <c r="BE70" s="192"/>
      <c r="BF70" s="5">
        <f t="shared" ref="BF70:BF133" si="179">AJ70*SQRT(AW70/3)</f>
        <v>0.484752977093751</v>
      </c>
      <c r="BG70" s="5">
        <f t="shared" si="156"/>
        <v>0.478669310347194</v>
      </c>
      <c r="BH70" s="5"/>
      <c r="BI70" s="217">
        <f t="shared" si="157"/>
        <v>0.082244907080439</v>
      </c>
      <c r="BJ70" s="217">
        <f t="shared" si="158"/>
        <v>0.0182520153653219</v>
      </c>
      <c r="BK70" s="217">
        <f t="shared" si="159"/>
        <v>0.00125325572694002</v>
      </c>
      <c r="BL70" s="217">
        <f t="shared" si="160"/>
        <v>0.0029535167903959</v>
      </c>
      <c r="BM70">
        <f t="shared" si="161"/>
        <v>0.00348</v>
      </c>
      <c r="BN70">
        <f t="shared" si="162"/>
        <v>1.75455801771603e-6</v>
      </c>
      <c r="BO70" s="217">
        <f t="shared" si="163"/>
        <v>0.150298364498154</v>
      </c>
      <c r="BP70" s="220">
        <f t="shared" ref="BP70:BP105" si="180">BO70*1000</f>
        <v>150.298364498154</v>
      </c>
      <c r="BQ70" s="217">
        <f t="shared" si="164"/>
        <v>0.359980205065444</v>
      </c>
      <c r="BR70" s="217"/>
      <c r="BT70" s="220">
        <f t="shared" ref="BT70:BT105" si="181">SUM(BQ70:BS70)*1000</f>
        <v>359.980205065444</v>
      </c>
      <c r="BU70" s="217">
        <f t="shared" si="165"/>
        <v>0.00963440340085143</v>
      </c>
      <c r="BV70" s="217">
        <f t="shared" si="166"/>
        <v>0.0229124308668259</v>
      </c>
      <c r="BW70" s="217">
        <f t="shared" si="167"/>
        <v>0</v>
      </c>
      <c r="BX70" s="217">
        <f t="shared" si="168"/>
        <v>0.0450318829077755</v>
      </c>
      <c r="BY70" s="217">
        <f t="shared" si="169"/>
        <v>0.00902344123396817</v>
      </c>
      <c r="BZ70" s="220">
        <f t="shared" ref="BZ70:BZ105" si="182">1000*(BX70+BY70)</f>
        <v>54.0553241417437</v>
      </c>
      <c r="CA70" s="5">
        <f t="shared" ref="CA70:CA105" si="183">SUM(BO70,BQ70:BS70,BX70,BY70)</f>
        <v>0.564333893705342</v>
      </c>
      <c r="CB70" s="192">
        <f t="shared" ref="CB70:CB105" si="184">MIN(H70,O70)</f>
        <v>2.53784284705355</v>
      </c>
      <c r="CC70" s="5">
        <f t="shared" ref="CC70:CC105" si="185">CB70/(CB70+CA70)</f>
        <v>0.818084544864685</v>
      </c>
      <c r="CD70" s="192">
        <f t="shared" ref="CD70:CD105" si="186">CC70*100</f>
        <v>81.8084544864685</v>
      </c>
      <c r="CG70" s="227">
        <f t="shared" si="170"/>
        <v>-50</v>
      </c>
      <c r="CH70">
        <f t="shared" si="171"/>
        <v>-50</v>
      </c>
    </row>
    <row r="71" spans="5:86">
      <c r="E71" s="22">
        <v>66</v>
      </c>
      <c r="F71" s="25">
        <f t="shared" si="172"/>
        <v>0.33</v>
      </c>
      <c r="G71" s="25"/>
      <c r="H71" s="25">
        <f t="shared" si="120"/>
        <v>5.94</v>
      </c>
      <c r="I71" s="212">
        <f t="shared" si="121"/>
        <v>12</v>
      </c>
      <c r="J71" s="27">
        <f t="shared" si="122"/>
        <v>5.24860843702816</v>
      </c>
      <c r="K71" s="131">
        <f t="shared" si="123"/>
        <v>24.2728</v>
      </c>
      <c r="L71" s="131"/>
      <c r="M71" s="25">
        <f t="shared" si="124"/>
        <v>0.505619458818101</v>
      </c>
      <c r="N71" s="27">
        <f t="shared" si="125"/>
        <v>4.09551761642662</v>
      </c>
      <c r="O71" s="27">
        <f t="shared" si="173"/>
        <v>2.46476279493147</v>
      </c>
      <c r="P71" s="25">
        <f t="shared" si="126"/>
        <v>0.227528756468145</v>
      </c>
      <c r="Q71" s="25">
        <f t="shared" si="127"/>
        <v>12.410659443717</v>
      </c>
      <c r="R71" s="25">
        <f t="shared" si="128"/>
        <v>0.301609459862662</v>
      </c>
      <c r="S71" s="27">
        <f t="shared" si="129"/>
        <v>7.468978166459</v>
      </c>
      <c r="T71" s="27">
        <f t="shared" si="130"/>
        <v>7.468978166459</v>
      </c>
      <c r="U71" s="25">
        <f t="shared" si="131"/>
        <v>1.5</v>
      </c>
      <c r="V71" s="25">
        <f t="shared" si="132"/>
        <v>3.125</v>
      </c>
      <c r="W71" s="25">
        <f t="shared" si="133"/>
        <v>7.14475092777793</v>
      </c>
      <c r="X71" s="24">
        <f t="shared" si="134"/>
        <v>350</v>
      </c>
      <c r="Y71" s="131">
        <f t="shared" si="174"/>
        <v>97.373344984947</v>
      </c>
      <c r="AA71" s="25">
        <f t="shared" si="135"/>
        <v>0.417314335649773</v>
      </c>
      <c r="AB71" s="5">
        <f t="shared" si="136"/>
        <v>1.98773799120583</v>
      </c>
      <c r="AC71" s="5">
        <f t="shared" si="137"/>
        <v>0.0968247367529748</v>
      </c>
      <c r="AD71" s="5"/>
      <c r="AE71" s="5">
        <f t="shared" si="138"/>
        <v>1.42895018555559</v>
      </c>
      <c r="AF71" s="216">
        <f t="shared" si="139"/>
        <v>2308.23359549464</v>
      </c>
      <c r="AG71" s="217">
        <f t="shared" si="140"/>
        <v>0.0500382631226927</v>
      </c>
      <c r="AI71" s="5">
        <f t="shared" si="141"/>
        <v>0.812093167683653</v>
      </c>
      <c r="AJ71" s="5">
        <f t="shared" si="89"/>
        <v>1.5</v>
      </c>
      <c r="AK71" s="5">
        <f t="shared" si="143"/>
        <v>2</v>
      </c>
      <c r="AM71" s="216">
        <f t="shared" si="144"/>
        <v>330</v>
      </c>
      <c r="AN71" s="220">
        <f t="shared" si="145"/>
        <v>97.373344984947</v>
      </c>
      <c r="AP71" t="str">
        <f t="shared" si="146"/>
        <v/>
      </c>
      <c r="AQ71" t="str">
        <f t="shared" si="147"/>
        <v/>
      </c>
      <c r="AS71" s="192">
        <f t="shared" si="175"/>
        <v>10.2697509277779</v>
      </c>
      <c r="AT71" s="192">
        <f t="shared" si="148"/>
        <v>3.125</v>
      </c>
      <c r="AU71" s="192">
        <f t="shared" si="176"/>
        <v>7.14475092777793</v>
      </c>
      <c r="AV71" s="192">
        <f t="shared" si="149"/>
        <v>7.14475092777793</v>
      </c>
      <c r="AW71" s="5">
        <f t="shared" si="177"/>
        <v>0.304291703077959</v>
      </c>
      <c r="AX71" s="5">
        <f t="shared" si="150"/>
        <v>2.73862532770164</v>
      </c>
      <c r="AY71" s="5">
        <f t="shared" si="151"/>
        <v>0.348028075535251</v>
      </c>
      <c r="AZ71" s="5">
        <f t="shared" si="178"/>
        <v>7.86897816645901</v>
      </c>
      <c r="BA71" s="220">
        <f t="shared" si="152"/>
        <v>4.91946604768167</v>
      </c>
      <c r="BB71" s="220">
        <f t="shared" si="153"/>
        <v>72.6536196019931</v>
      </c>
      <c r="BC71" s="192">
        <f t="shared" si="154"/>
        <v>6.54935501712977</v>
      </c>
      <c r="BD71" s="220">
        <f t="shared" si="155"/>
        <v>16.9903195410357</v>
      </c>
      <c r="BE71" s="192"/>
      <c r="BF71" s="5">
        <f t="shared" si="179"/>
        <v>0.477722489849986</v>
      </c>
      <c r="BG71" s="5">
        <f t="shared" si="156"/>
        <v>0.481803618066544</v>
      </c>
      <c r="BH71" s="5"/>
      <c r="BI71" s="217">
        <f t="shared" si="157"/>
        <v>0.0798765720579643</v>
      </c>
      <c r="BJ71" s="217">
        <f t="shared" si="158"/>
        <v>0.0177264279611297</v>
      </c>
      <c r="BK71" s="217">
        <f t="shared" si="159"/>
        <v>0.00121716681231184</v>
      </c>
      <c r="BL71" s="217">
        <f t="shared" si="160"/>
        <v>0.00286846693743272</v>
      </c>
      <c r="BM71">
        <f t="shared" si="161"/>
        <v>0.00348</v>
      </c>
      <c r="BN71">
        <f t="shared" si="162"/>
        <v>1.70403353723657e-6</v>
      </c>
      <c r="BO71" s="217">
        <f t="shared" si="163"/>
        <v>0.1458716698923</v>
      </c>
      <c r="BP71" s="220">
        <f t="shared" si="180"/>
        <v>145.8716698923</v>
      </c>
      <c r="BQ71" s="217">
        <f t="shared" si="164"/>
        <v>0.365191840625706</v>
      </c>
      <c r="BR71" s="217"/>
      <c r="BT71" s="220">
        <f t="shared" si="181"/>
        <v>365.191840625706</v>
      </c>
      <c r="BU71" s="217">
        <f t="shared" si="165"/>
        <v>0.00935696986964725</v>
      </c>
      <c r="BV71" s="217">
        <f t="shared" si="166"/>
        <v>0.0232134726382012</v>
      </c>
      <c r="BW71" s="217">
        <f t="shared" si="167"/>
        <v>0</v>
      </c>
      <c r="BX71" s="217">
        <f t="shared" si="168"/>
        <v>0.0450646326630139</v>
      </c>
      <c r="BY71" s="217">
        <f t="shared" si="169"/>
        <v>0.00876360104864523</v>
      </c>
      <c r="BZ71" s="220">
        <f t="shared" si="182"/>
        <v>53.8282337116592</v>
      </c>
      <c r="CA71" s="5">
        <f t="shared" si="183"/>
        <v>0.564891744229665</v>
      </c>
      <c r="CB71" s="192">
        <f t="shared" si="184"/>
        <v>2.46476279493147</v>
      </c>
      <c r="CC71" s="5">
        <f t="shared" si="185"/>
        <v>0.813545822823062</v>
      </c>
      <c r="CD71" s="192">
        <f t="shared" si="186"/>
        <v>81.3545822823062</v>
      </c>
      <c r="CG71" s="227">
        <f t="shared" si="170"/>
        <v>-50</v>
      </c>
      <c r="CH71">
        <f t="shared" si="171"/>
        <v>-50</v>
      </c>
    </row>
    <row r="72" spans="5:86">
      <c r="E72" s="22">
        <v>67</v>
      </c>
      <c r="F72" s="25">
        <f t="shared" si="172"/>
        <v>0.335</v>
      </c>
      <c r="G72" s="25"/>
      <c r="H72" s="25">
        <f t="shared" si="120"/>
        <v>6.03</v>
      </c>
      <c r="I72" s="212">
        <f t="shared" si="121"/>
        <v>12</v>
      </c>
      <c r="J72" s="27">
        <f t="shared" si="122"/>
        <v>5.03067790892162</v>
      </c>
      <c r="K72" s="131">
        <f t="shared" si="123"/>
        <v>24.2728</v>
      </c>
      <c r="L72" s="131"/>
      <c r="M72" s="25">
        <f t="shared" si="124"/>
        <v>0.505619458818101</v>
      </c>
      <c r="N72" s="27">
        <f t="shared" si="125"/>
        <v>4.09551761642662</v>
      </c>
      <c r="O72" s="27">
        <f t="shared" si="173"/>
        <v>2.39265232307158</v>
      </c>
      <c r="P72" s="25">
        <f t="shared" si="126"/>
        <v>0.227528756468145</v>
      </c>
      <c r="Q72" s="25">
        <f t="shared" si="127"/>
        <v>12.2254257206765</v>
      </c>
      <c r="R72" s="25">
        <f t="shared" si="128"/>
        <v>0.30357779162365</v>
      </c>
      <c r="S72" s="27">
        <f t="shared" si="129"/>
        <v>7.14224574051218</v>
      </c>
      <c r="T72" s="27">
        <f t="shared" si="130"/>
        <v>7.14224574051218</v>
      </c>
      <c r="U72" s="25">
        <f t="shared" si="131"/>
        <v>1.5</v>
      </c>
      <c r="V72" s="25">
        <f t="shared" si="132"/>
        <v>3.125</v>
      </c>
      <c r="W72" s="25">
        <f t="shared" si="133"/>
        <v>7.45426375508873</v>
      </c>
      <c r="X72" s="24">
        <f t="shared" si="134"/>
        <v>350</v>
      </c>
      <c r="Y72" s="131">
        <f t="shared" si="174"/>
        <v>94.5245362201117</v>
      </c>
      <c r="AA72" s="25">
        <f t="shared" si="135"/>
        <v>0.40510515522905</v>
      </c>
      <c r="AB72" s="5">
        <f t="shared" si="136"/>
        <v>2.013173783749</v>
      </c>
      <c r="AC72" s="5">
        <f t="shared" si="137"/>
        <v>0.0951947326992408</v>
      </c>
      <c r="AD72" s="5"/>
      <c r="AE72" s="5">
        <f t="shared" si="138"/>
        <v>1.49085275101775</v>
      </c>
      <c r="AF72" s="216">
        <f t="shared" si="139"/>
        <v>2245.91317606363</v>
      </c>
      <c r="AG72" s="217">
        <f t="shared" si="140"/>
        <v>0.0522059362087639</v>
      </c>
      <c r="AI72" s="5">
        <f t="shared" si="141"/>
        <v>0.801055228355275</v>
      </c>
      <c r="AJ72" s="5">
        <f t="shared" si="142"/>
        <v>1.5</v>
      </c>
      <c r="AK72" s="5">
        <f t="shared" si="143"/>
        <v>2</v>
      </c>
      <c r="AM72" s="216">
        <f t="shared" si="144"/>
        <v>335</v>
      </c>
      <c r="AN72" s="220">
        <f t="shared" si="145"/>
        <v>94.5245362201117</v>
      </c>
      <c r="AP72" t="str">
        <f t="shared" si="146"/>
        <v/>
      </c>
      <c r="AQ72" t="str">
        <f t="shared" si="147"/>
        <v/>
      </c>
      <c r="AS72" s="192">
        <f t="shared" si="175"/>
        <v>10.5792637550887</v>
      </c>
      <c r="AT72" s="192">
        <f t="shared" si="148"/>
        <v>3.125</v>
      </c>
      <c r="AU72" s="192">
        <f t="shared" si="176"/>
        <v>7.45426375508873</v>
      </c>
      <c r="AV72" s="192">
        <f t="shared" si="149"/>
        <v>7.45426375508873</v>
      </c>
      <c r="AW72" s="5">
        <f t="shared" si="177"/>
        <v>0.295389175687849</v>
      </c>
      <c r="AX72" s="5">
        <f t="shared" si="150"/>
        <v>2.65850258119064</v>
      </c>
      <c r="AY72" s="5">
        <f t="shared" si="151"/>
        <v>0.352481564862154</v>
      </c>
      <c r="AZ72" s="5">
        <f t="shared" si="178"/>
        <v>7.54224574051217</v>
      </c>
      <c r="BA72" s="220">
        <f t="shared" si="152"/>
        <v>4.91946604768167</v>
      </c>
      <c r="BB72" s="220">
        <f t="shared" si="153"/>
        <v>74.8566961417234</v>
      </c>
      <c r="BC72" s="192">
        <f t="shared" si="154"/>
        <v>6.93660654987424</v>
      </c>
      <c r="BD72" s="220">
        <f t="shared" si="155"/>
        <v>17.1789418401137</v>
      </c>
      <c r="BE72" s="192"/>
      <c r="BF72" s="5">
        <f t="shared" si="179"/>
        <v>0.470682357610615</v>
      </c>
      <c r="BG72" s="5">
        <f t="shared" si="156"/>
        <v>0.484876482996501</v>
      </c>
      <c r="BH72" s="5"/>
      <c r="BI72" s="217">
        <f t="shared" si="157"/>
        <v>0.0775396586180604</v>
      </c>
      <c r="BJ72" s="217">
        <f t="shared" si="158"/>
        <v>0.0172078137207265</v>
      </c>
      <c r="BK72" s="217">
        <f t="shared" si="159"/>
        <v>0.0011815567027514</v>
      </c>
      <c r="BL72" s="217">
        <f t="shared" si="160"/>
        <v>0.00278454547253633</v>
      </c>
      <c r="BM72">
        <f t="shared" si="161"/>
        <v>0.00348</v>
      </c>
      <c r="BN72">
        <f t="shared" si="162"/>
        <v>1.65417938385196e-6</v>
      </c>
      <c r="BO72" s="217">
        <f t="shared" si="163"/>
        <v>0.141515793819978</v>
      </c>
      <c r="BP72" s="220">
        <f t="shared" si="180"/>
        <v>141.515793819978</v>
      </c>
      <c r="BQ72" s="217">
        <f t="shared" si="164"/>
        <v>0.370378132047847</v>
      </c>
      <c r="BR72" s="217"/>
      <c r="BT72" s="220">
        <f t="shared" si="181"/>
        <v>370.378132047847</v>
      </c>
      <c r="BU72" s="217">
        <f t="shared" si="165"/>
        <v>0.00908321715240136</v>
      </c>
      <c r="BV72" s="217">
        <f t="shared" si="166"/>
        <v>0.0235105203763056</v>
      </c>
      <c r="BW72" s="217">
        <f t="shared" si="167"/>
        <v>0</v>
      </c>
      <c r="BX72" s="217">
        <f t="shared" si="168"/>
        <v>0.0450969480366278</v>
      </c>
      <c r="BY72" s="217">
        <f t="shared" si="169"/>
        <v>0.00850720825981006</v>
      </c>
      <c r="BZ72" s="220">
        <f t="shared" si="182"/>
        <v>53.6041562964378</v>
      </c>
      <c r="CA72" s="5">
        <f t="shared" si="183"/>
        <v>0.565498082164264</v>
      </c>
      <c r="CB72" s="192">
        <f t="shared" si="184"/>
        <v>2.39265232307158</v>
      </c>
      <c r="CC72" s="5">
        <f t="shared" si="185"/>
        <v>0.808833897977822</v>
      </c>
      <c r="CD72" s="192">
        <f t="shared" si="186"/>
        <v>80.8833897977822</v>
      </c>
      <c r="CG72" s="227">
        <f t="shared" si="170"/>
        <v>-50</v>
      </c>
      <c r="CH72">
        <f t="shared" si="171"/>
        <v>-50</v>
      </c>
    </row>
    <row r="73" spans="5:86">
      <c r="E73" s="22">
        <v>68</v>
      </c>
      <c r="F73" s="25">
        <f t="shared" si="172"/>
        <v>0.34</v>
      </c>
      <c r="G73" s="25"/>
      <c r="H73" s="25">
        <f t="shared" si="120"/>
        <v>6.12</v>
      </c>
      <c r="I73" s="212">
        <f t="shared" si="121"/>
        <v>12</v>
      </c>
      <c r="J73" s="27">
        <f t="shared" si="122"/>
        <v>4.82116585766232</v>
      </c>
      <c r="K73" s="131">
        <f t="shared" si="123"/>
        <v>24.2728</v>
      </c>
      <c r="L73" s="131"/>
      <c r="M73" s="25">
        <f t="shared" si="124"/>
        <v>0.505619458818101</v>
      </c>
      <c r="N73" s="27">
        <f t="shared" si="125"/>
        <v>4.09551761642662</v>
      </c>
      <c r="O73" s="27">
        <f t="shared" si="173"/>
        <v>2.32156580450553</v>
      </c>
      <c r="P73" s="25">
        <f t="shared" si="126"/>
        <v>0.227528756468145</v>
      </c>
      <c r="Q73" s="25">
        <f t="shared" si="127"/>
        <v>12.0456400483136</v>
      </c>
      <c r="R73" s="25">
        <f t="shared" si="128"/>
        <v>0.305515389775924</v>
      </c>
      <c r="S73" s="27">
        <f t="shared" si="129"/>
        <v>6.82813471913392</v>
      </c>
      <c r="T73" s="27">
        <f t="shared" si="130"/>
        <v>6.82813471913392</v>
      </c>
      <c r="U73" s="25">
        <f t="shared" si="131"/>
        <v>1.5</v>
      </c>
      <c r="V73" s="25">
        <f t="shared" si="132"/>
        <v>3.125</v>
      </c>
      <c r="W73" s="25">
        <f t="shared" si="133"/>
        <v>7.77820160250262</v>
      </c>
      <c r="X73" s="24">
        <f t="shared" si="134"/>
        <v>350</v>
      </c>
      <c r="Y73" s="131">
        <f t="shared" si="174"/>
        <v>91.7161799310827</v>
      </c>
      <c r="AA73" s="25">
        <f t="shared" si="135"/>
        <v>0.393069342561783</v>
      </c>
      <c r="AB73" s="5">
        <f t="shared" si="136"/>
        <v>2.03824839347248</v>
      </c>
      <c r="AC73" s="5">
        <f t="shared" si="137"/>
        <v>0.0935169132890809</v>
      </c>
      <c r="AD73" s="5"/>
      <c r="AE73" s="5">
        <f t="shared" si="138"/>
        <v>1.55564032050052</v>
      </c>
      <c r="AF73" s="216">
        <f t="shared" si="139"/>
        <v>2184.50293733825</v>
      </c>
      <c r="AG73" s="217">
        <f t="shared" si="140"/>
        <v>0.0544746349231271</v>
      </c>
      <c r="AI73" s="5">
        <f t="shared" si="141"/>
        <v>0.790027655454135</v>
      </c>
      <c r="AJ73" s="5">
        <f t="shared" si="142"/>
        <v>1.5</v>
      </c>
      <c r="AK73" s="5">
        <f t="shared" si="143"/>
        <v>2</v>
      </c>
      <c r="AM73" s="216">
        <f t="shared" si="144"/>
        <v>340</v>
      </c>
      <c r="AN73" s="220">
        <f t="shared" si="145"/>
        <v>91.7161799310827</v>
      </c>
      <c r="AP73" t="str">
        <f t="shared" si="146"/>
        <v/>
      </c>
      <c r="AQ73" t="str">
        <f t="shared" si="147"/>
        <v/>
      </c>
      <c r="AS73" s="192">
        <f t="shared" si="175"/>
        <v>10.9032016025026</v>
      </c>
      <c r="AT73" s="192">
        <f t="shared" si="148"/>
        <v>3.125</v>
      </c>
      <c r="AU73" s="192">
        <f t="shared" si="176"/>
        <v>7.77820160250262</v>
      </c>
      <c r="AV73" s="192">
        <f t="shared" si="149"/>
        <v>7.77820160250262</v>
      </c>
      <c r="AW73" s="5">
        <f t="shared" si="177"/>
        <v>0.286613062284634</v>
      </c>
      <c r="AX73" s="5">
        <f t="shared" si="150"/>
        <v>2.5795175605617</v>
      </c>
      <c r="AY73" s="5">
        <f t="shared" si="151"/>
        <v>0.356871815592112</v>
      </c>
      <c r="AZ73" s="5">
        <f t="shared" si="178"/>
        <v>7.22813471913391</v>
      </c>
      <c r="BA73" s="220">
        <f t="shared" si="152"/>
        <v>4.91946604768167</v>
      </c>
      <c r="BB73" s="220">
        <f t="shared" si="153"/>
        <v>77.0926760880662</v>
      </c>
      <c r="BC73" s="192">
        <f t="shared" si="154"/>
        <v>7.34607929125248</v>
      </c>
      <c r="BD73" s="220">
        <f t="shared" si="155"/>
        <v>17.3648857428443</v>
      </c>
      <c r="BE73" s="192"/>
      <c r="BF73" s="5">
        <f t="shared" si="179"/>
        <v>0.463637570429182</v>
      </c>
      <c r="BG73" s="5">
        <f t="shared" si="156"/>
        <v>0.487886770675265</v>
      </c>
      <c r="BH73" s="5"/>
      <c r="BI73" s="217">
        <f t="shared" si="157"/>
        <v>0.0752359288497163</v>
      </c>
      <c r="BJ73" s="217">
        <f t="shared" si="158"/>
        <v>0.0166965636917339</v>
      </c>
      <c r="BK73" s="217">
        <f t="shared" si="159"/>
        <v>0.00114645224913853</v>
      </c>
      <c r="BL73" s="217">
        <f t="shared" si="160"/>
        <v>0.00270181567451145</v>
      </c>
      <c r="BM73">
        <f t="shared" si="161"/>
        <v>0.00348</v>
      </c>
      <c r="BN73">
        <f t="shared" si="162"/>
        <v>1.60503314879395e-6</v>
      </c>
      <c r="BO73" s="217">
        <f t="shared" si="163"/>
        <v>0.137233474540043</v>
      </c>
      <c r="BP73" s="220">
        <f t="shared" si="180"/>
        <v>137.233474540043</v>
      </c>
      <c r="BQ73" s="217">
        <f t="shared" si="164"/>
        <v>0.375537658059511</v>
      </c>
      <c r="BR73" s="217"/>
      <c r="BT73" s="220">
        <f t="shared" si="181"/>
        <v>375.537658059511</v>
      </c>
      <c r="BU73" s="217">
        <f t="shared" si="165"/>
        <v>0.00881335166525248</v>
      </c>
      <c r="BV73" s="217">
        <f t="shared" si="166"/>
        <v>0.0238033500999939</v>
      </c>
      <c r="BW73" s="217">
        <f t="shared" si="167"/>
        <v>0</v>
      </c>
      <c r="BX73" s="217">
        <f t="shared" si="168"/>
        <v>0.0451288046570416</v>
      </c>
      <c r="BY73" s="217">
        <f t="shared" si="169"/>
        <v>0.00825445619379744</v>
      </c>
      <c r="BZ73" s="220">
        <f t="shared" si="182"/>
        <v>53.3832608508391</v>
      </c>
      <c r="CA73" s="5">
        <f t="shared" si="183"/>
        <v>0.566154393450393</v>
      </c>
      <c r="CB73" s="192">
        <f t="shared" si="184"/>
        <v>2.32156580450553</v>
      </c>
      <c r="CC73" s="5">
        <f t="shared" si="185"/>
        <v>0.803944165417707</v>
      </c>
      <c r="CD73" s="192">
        <f t="shared" si="186"/>
        <v>80.3944165417707</v>
      </c>
      <c r="CG73" s="227">
        <f t="shared" si="170"/>
        <v>-50</v>
      </c>
      <c r="CH73">
        <f t="shared" si="171"/>
        <v>-50</v>
      </c>
    </row>
    <row r="74" spans="5:86">
      <c r="E74" s="22">
        <v>69</v>
      </c>
      <c r="F74" s="25">
        <f t="shared" si="172"/>
        <v>0.345</v>
      </c>
      <c r="G74" s="25"/>
      <c r="H74" s="25">
        <f t="shared" si="120"/>
        <v>6.21</v>
      </c>
      <c r="I74" s="212">
        <f t="shared" si="121"/>
        <v>12</v>
      </c>
      <c r="J74" s="27">
        <f t="shared" si="122"/>
        <v>4.61981479441747</v>
      </c>
      <c r="K74" s="131">
        <f t="shared" si="123"/>
        <v>24.2728</v>
      </c>
      <c r="L74" s="131"/>
      <c r="M74" s="25">
        <f t="shared" si="124"/>
        <v>0.505619458818101</v>
      </c>
      <c r="N74" s="27">
        <f t="shared" si="125"/>
        <v>4.09551761642662</v>
      </c>
      <c r="O74" s="27">
        <f t="shared" si="173"/>
        <v>2.25155937642283</v>
      </c>
      <c r="P74" s="25">
        <f t="shared" si="126"/>
        <v>0.227528756468145</v>
      </c>
      <c r="Q74" s="25">
        <f t="shared" si="127"/>
        <v>11.8710655548598</v>
      </c>
      <c r="R74" s="25">
        <f t="shared" si="128"/>
        <v>0.307423066387752</v>
      </c>
      <c r="S74" s="27">
        <f t="shared" si="129"/>
        <v>6.52625906209516</v>
      </c>
      <c r="T74" s="27">
        <f t="shared" si="130"/>
        <v>6.52625906209516</v>
      </c>
      <c r="U74" s="25">
        <f t="shared" si="131"/>
        <v>1.5</v>
      </c>
      <c r="V74" s="25">
        <f t="shared" si="132"/>
        <v>3.125</v>
      </c>
      <c r="W74" s="25">
        <f t="shared" si="133"/>
        <v>8.11720851782079</v>
      </c>
      <c r="X74" s="24">
        <f t="shared" si="134"/>
        <v>350</v>
      </c>
      <c r="Y74" s="131">
        <f t="shared" si="174"/>
        <v>88.950493883371</v>
      </c>
      <c r="AA74" s="25">
        <f t="shared" si="135"/>
        <v>0.381216402357304</v>
      </c>
      <c r="AB74" s="5">
        <f t="shared" si="136"/>
        <v>2.06294201889847</v>
      </c>
      <c r="AC74" s="5">
        <f t="shared" si="137"/>
        <v>0.0917957306447473</v>
      </c>
      <c r="AD74" s="5"/>
      <c r="AE74" s="5">
        <f t="shared" si="138"/>
        <v>1.62344170356416</v>
      </c>
      <c r="AF74" s="216">
        <f t="shared" si="139"/>
        <v>2124.05277904251</v>
      </c>
      <c r="AG74" s="217">
        <f t="shared" si="140"/>
        <v>0.0568488698545579</v>
      </c>
      <c r="AI74" s="5">
        <f t="shared" si="141"/>
        <v>0.779020039911411</v>
      </c>
      <c r="AJ74" s="5">
        <f t="shared" si="142"/>
        <v>1.5</v>
      </c>
      <c r="AK74" s="5">
        <f t="shared" si="143"/>
        <v>2</v>
      </c>
      <c r="AM74" s="216">
        <f t="shared" si="144"/>
        <v>345</v>
      </c>
      <c r="AN74" s="220">
        <f t="shared" si="145"/>
        <v>88.950493883371</v>
      </c>
      <c r="AP74" t="str">
        <f t="shared" si="146"/>
        <v/>
      </c>
      <c r="AQ74" t="str">
        <f t="shared" si="147"/>
        <v/>
      </c>
      <c r="AS74" s="192">
        <f t="shared" si="175"/>
        <v>11.2422085178208</v>
      </c>
      <c r="AT74" s="192">
        <f t="shared" si="148"/>
        <v>3.125</v>
      </c>
      <c r="AU74" s="192">
        <f t="shared" si="176"/>
        <v>8.11720851782079</v>
      </c>
      <c r="AV74" s="192">
        <f t="shared" si="149"/>
        <v>8.11720851782079</v>
      </c>
      <c r="AW74" s="5">
        <f t="shared" si="177"/>
        <v>0.277970293385534</v>
      </c>
      <c r="AX74" s="5">
        <f t="shared" si="150"/>
        <v>2.50173264046981</v>
      </c>
      <c r="AY74" s="5">
        <f t="shared" si="151"/>
        <v>0.361195360733886</v>
      </c>
      <c r="AZ74" s="5">
        <f t="shared" si="178"/>
        <v>6.92625906209516</v>
      </c>
      <c r="BA74" s="220">
        <f t="shared" si="152"/>
        <v>4.91946604768167</v>
      </c>
      <c r="BB74" s="220">
        <f t="shared" si="153"/>
        <v>79.3615594410214</v>
      </c>
      <c r="BC74" s="192">
        <f t="shared" si="154"/>
        <v>7.77899149624492</v>
      </c>
      <c r="BD74" s="220">
        <f t="shared" si="155"/>
        <v>17.548004408894</v>
      </c>
      <c r="BE74" s="192"/>
      <c r="BF74" s="5">
        <f t="shared" si="179"/>
        <v>0.456593604903913</v>
      </c>
      <c r="BG74" s="5">
        <f t="shared" si="156"/>
        <v>0.490833276795189</v>
      </c>
      <c r="BH74" s="5"/>
      <c r="BI74" s="217">
        <f t="shared" si="157"/>
        <v>0.0729672020137028</v>
      </c>
      <c r="BJ74" s="217">
        <f t="shared" si="158"/>
        <v>0.0161930816094922</v>
      </c>
      <c r="BK74" s="217">
        <f t="shared" si="159"/>
        <v>0.00111188117354214</v>
      </c>
      <c r="BL74" s="217">
        <f t="shared" si="160"/>
        <v>0.00262034287527254</v>
      </c>
      <c r="BM74">
        <f t="shared" si="161"/>
        <v>0.00348</v>
      </c>
      <c r="BN74">
        <f t="shared" si="162"/>
        <v>1.55663364295899e-6</v>
      </c>
      <c r="BO74" s="217">
        <f t="shared" si="163"/>
        <v>0.133027531991633</v>
      </c>
      <c r="BP74" s="220">
        <f t="shared" si="180"/>
        <v>133.027531991633</v>
      </c>
      <c r="BQ74" s="217">
        <f t="shared" si="164"/>
        <v>0.38066895127451</v>
      </c>
      <c r="BR74" s="217"/>
      <c r="BT74" s="220">
        <f t="shared" si="181"/>
        <v>380.66895127451</v>
      </c>
      <c r="BU74" s="217">
        <f t="shared" si="165"/>
        <v>0.00854758652160519</v>
      </c>
      <c r="BV74" s="217">
        <f t="shared" si="166"/>
        <v>0.0240917305609502</v>
      </c>
      <c r="BW74" s="217">
        <f t="shared" si="167"/>
        <v>0</v>
      </c>
      <c r="BX74" s="217">
        <f t="shared" si="168"/>
        <v>0.0451601773617998</v>
      </c>
      <c r="BY74" s="217">
        <f t="shared" si="169"/>
        <v>0.00800554444950339</v>
      </c>
      <c r="BZ74" s="220">
        <f t="shared" si="182"/>
        <v>53.1657218113032</v>
      </c>
      <c r="CA74" s="5">
        <f t="shared" si="183"/>
        <v>0.566862205077446</v>
      </c>
      <c r="CB74" s="192">
        <f t="shared" si="184"/>
        <v>2.25155937642283</v>
      </c>
      <c r="CC74" s="5">
        <f t="shared" si="185"/>
        <v>0.798872457974971</v>
      </c>
      <c r="CD74" s="192">
        <f t="shared" si="186"/>
        <v>79.8872457974971</v>
      </c>
      <c r="CG74" s="227">
        <f t="shared" si="170"/>
        <v>-50</v>
      </c>
      <c r="CH74">
        <f t="shared" si="171"/>
        <v>-50</v>
      </c>
    </row>
    <row r="75" spans="5:86">
      <c r="E75" s="22">
        <v>70</v>
      </c>
      <c r="F75" s="25">
        <f t="shared" si="172"/>
        <v>0.35</v>
      </c>
      <c r="G75" s="25"/>
      <c r="H75" s="25">
        <f t="shared" si="120"/>
        <v>6.3</v>
      </c>
      <c r="I75" s="212">
        <f t="shared" si="121"/>
        <v>12</v>
      </c>
      <c r="J75" s="27">
        <f t="shared" si="122"/>
        <v>4.42638478468652</v>
      </c>
      <c r="K75" s="131">
        <f t="shared" si="123"/>
        <v>24.2728</v>
      </c>
      <c r="L75" s="131"/>
      <c r="M75" s="25">
        <f t="shared" si="124"/>
        <v>0.505619458818101</v>
      </c>
      <c r="N75" s="27">
        <f t="shared" si="125"/>
        <v>4.09551761642662</v>
      </c>
      <c r="O75" s="27">
        <f t="shared" si="173"/>
        <v>2.18269066662711</v>
      </c>
      <c r="P75" s="25">
        <f t="shared" si="126"/>
        <v>0.227528756468145</v>
      </c>
      <c r="Q75" s="25">
        <f t="shared" si="127"/>
        <v>11.7014789040761</v>
      </c>
      <c r="R75" s="25">
        <f t="shared" si="128"/>
        <v>0.309301605167682</v>
      </c>
      <c r="S75" s="27">
        <f t="shared" si="129"/>
        <v>6.23625904750602</v>
      </c>
      <c r="T75" s="27">
        <f t="shared" si="130"/>
        <v>6.23625904750602</v>
      </c>
      <c r="U75" s="25">
        <f t="shared" si="131"/>
        <v>1.5</v>
      </c>
      <c r="V75" s="25">
        <f t="shared" si="132"/>
        <v>3.125</v>
      </c>
      <c r="W75" s="25">
        <f t="shared" si="133"/>
        <v>8.47192501874999</v>
      </c>
      <c r="X75" s="24">
        <f t="shared" si="134"/>
        <v>350</v>
      </c>
      <c r="Y75" s="131">
        <f t="shared" si="174"/>
        <v>86.2297547309475</v>
      </c>
      <c r="AA75" s="25">
        <f t="shared" si="135"/>
        <v>0.369556091704061</v>
      </c>
      <c r="AB75" s="5">
        <f t="shared" si="136"/>
        <v>2.0872343327594</v>
      </c>
      <c r="AC75" s="5">
        <f t="shared" si="137"/>
        <v>0.0900358477160728</v>
      </c>
      <c r="AD75" s="5"/>
      <c r="AE75" s="5">
        <f t="shared" si="138"/>
        <v>1.69438500375</v>
      </c>
      <c r="AF75" s="216">
        <f t="shared" si="139"/>
        <v>2064.61392589076</v>
      </c>
      <c r="AG75" s="217">
        <f t="shared" si="140"/>
        <v>0.0593331268688155</v>
      </c>
      <c r="AI75" s="5">
        <f t="shared" si="141"/>
        <v>0.768042767762087</v>
      </c>
      <c r="AJ75" s="5">
        <f t="shared" si="142"/>
        <v>1.5</v>
      </c>
      <c r="AK75" s="5">
        <f t="shared" si="143"/>
        <v>2</v>
      </c>
      <c r="AM75" s="216">
        <f t="shared" si="144"/>
        <v>350</v>
      </c>
      <c r="AN75" s="220">
        <f t="shared" si="145"/>
        <v>86.2297547309475</v>
      </c>
      <c r="AP75" t="str">
        <f t="shared" si="146"/>
        <v/>
      </c>
      <c r="AQ75" t="str">
        <f t="shared" si="147"/>
        <v/>
      </c>
      <c r="AS75" s="192">
        <f t="shared" si="175"/>
        <v>11.59692501875</v>
      </c>
      <c r="AT75" s="192">
        <f t="shared" si="148"/>
        <v>3.125</v>
      </c>
      <c r="AU75" s="192">
        <f t="shared" si="176"/>
        <v>8.47192501874999</v>
      </c>
      <c r="AV75" s="192">
        <f t="shared" si="149"/>
        <v>8.47192501874999</v>
      </c>
      <c r="AW75" s="5">
        <f t="shared" si="177"/>
        <v>0.269467983534211</v>
      </c>
      <c r="AX75" s="5">
        <f t="shared" si="150"/>
        <v>2.4252118518079</v>
      </c>
      <c r="AY75" s="5">
        <f t="shared" si="151"/>
        <v>0.365448641237011</v>
      </c>
      <c r="AZ75" s="5">
        <f t="shared" si="178"/>
        <v>6.63625904750603</v>
      </c>
      <c r="BA75" s="220">
        <f t="shared" si="152"/>
        <v>4.91946604768167</v>
      </c>
      <c r="BB75" s="220">
        <f t="shared" si="153"/>
        <v>81.6633462005891</v>
      </c>
      <c r="BC75" s="192">
        <f t="shared" si="154"/>
        <v>8.23659376822916</v>
      </c>
      <c r="BD75" s="220">
        <f t="shared" si="155"/>
        <v>17.7281470988689</v>
      </c>
      <c r="BE75" s="192"/>
      <c r="BF75" s="5">
        <f t="shared" si="179"/>
        <v>0.449556434333509</v>
      </c>
      <c r="BG75" s="5">
        <f t="shared" si="156"/>
        <v>0.493714739201785</v>
      </c>
      <c r="BH75" s="5"/>
      <c r="BI75" s="217">
        <f t="shared" si="157"/>
        <v>0.0707353456777304</v>
      </c>
      <c r="BJ75" s="217">
        <f t="shared" si="158"/>
        <v>0.0156977819297501</v>
      </c>
      <c r="BK75" s="217">
        <f t="shared" si="159"/>
        <v>0.00107787193413684</v>
      </c>
      <c r="BL75" s="217">
        <f t="shared" si="160"/>
        <v>0.00254019414149625</v>
      </c>
      <c r="BM75">
        <f t="shared" si="161"/>
        <v>0.00348</v>
      </c>
      <c r="BN75">
        <f t="shared" si="162"/>
        <v>1.50902070779158e-6</v>
      </c>
      <c r="BO75" s="217">
        <f t="shared" si="163"/>
        <v>0.128900851519389</v>
      </c>
      <c r="BP75" s="220">
        <f t="shared" si="180"/>
        <v>128.900851519389</v>
      </c>
      <c r="BQ75" s="217">
        <f t="shared" si="164"/>
        <v>0.385770505343063</v>
      </c>
      <c r="BR75" s="217"/>
      <c r="BT75" s="220">
        <f t="shared" si="181"/>
        <v>385.770505343062</v>
      </c>
      <c r="BU75" s="217">
        <f t="shared" si="165"/>
        <v>0.00828614049367699</v>
      </c>
      <c r="BV75" s="217">
        <f t="shared" si="166"/>
        <v>0.0243754243705086</v>
      </c>
      <c r="BW75" s="217">
        <f t="shared" si="167"/>
        <v>0</v>
      </c>
      <c r="BX75" s="217">
        <f t="shared" si="168"/>
        <v>0.0451910403201519</v>
      </c>
      <c r="BY75" s="217">
        <f t="shared" si="169"/>
        <v>0.00776067792578527</v>
      </c>
      <c r="BZ75" s="220">
        <f t="shared" si="182"/>
        <v>52.9517182459372</v>
      </c>
      <c r="CA75" s="5">
        <f t="shared" si="183"/>
        <v>0.567623075108388</v>
      </c>
      <c r="CB75" s="192">
        <f t="shared" si="184"/>
        <v>2.18269066662711</v>
      </c>
      <c r="CC75" s="5">
        <f t="shared" si="185"/>
        <v>0.793615155065833</v>
      </c>
      <c r="CD75" s="192">
        <f t="shared" si="186"/>
        <v>79.3615155065833</v>
      </c>
      <c r="CG75" s="227">
        <f t="shared" si="170"/>
        <v>-50</v>
      </c>
      <c r="CH75">
        <f t="shared" si="171"/>
        <v>-50</v>
      </c>
    </row>
    <row r="76" spans="5:86">
      <c r="E76" s="22">
        <v>71</v>
      </c>
      <c r="F76" s="25">
        <f t="shared" si="172"/>
        <v>0.355</v>
      </c>
      <c r="G76" s="25"/>
      <c r="H76" s="25">
        <f t="shared" si="120"/>
        <v>6.39</v>
      </c>
      <c r="I76" s="212">
        <f t="shared" si="121"/>
        <v>12</v>
      </c>
      <c r="J76" s="27">
        <f t="shared" si="122"/>
        <v>4.24065156142859</v>
      </c>
      <c r="K76" s="131">
        <f t="shared" si="123"/>
        <v>24.2728</v>
      </c>
      <c r="L76" s="131"/>
      <c r="M76" s="25">
        <f t="shared" si="124"/>
        <v>0.505619458818101</v>
      </c>
      <c r="N76" s="27">
        <f t="shared" si="125"/>
        <v>4.09551761642662</v>
      </c>
      <c r="O76" s="27">
        <f t="shared" si="173"/>
        <v>2.11501844723711</v>
      </c>
      <c r="P76" s="25">
        <f t="shared" si="126"/>
        <v>0.227528756468145</v>
      </c>
      <c r="Q76" s="25">
        <f t="shared" si="127"/>
        <v>11.5366693420468</v>
      </c>
      <c r="R76" s="25">
        <f t="shared" si="128"/>
        <v>0.311151762691832</v>
      </c>
      <c r="S76" s="27">
        <f t="shared" si="129"/>
        <v>5.95779844292143</v>
      </c>
      <c r="T76" s="27">
        <f t="shared" si="130"/>
        <v>5.95779844292143</v>
      </c>
      <c r="U76" s="25">
        <f t="shared" si="131"/>
        <v>1.5</v>
      </c>
      <c r="V76" s="25">
        <f t="shared" si="132"/>
        <v>3.125</v>
      </c>
      <c r="W76" s="25">
        <f t="shared" si="133"/>
        <v>8.8429807204832</v>
      </c>
      <c r="X76" s="24">
        <f t="shared" si="134"/>
        <v>350</v>
      </c>
      <c r="Y76" s="131">
        <f t="shared" si="174"/>
        <v>83.5562843352931</v>
      </c>
      <c r="AA76" s="25">
        <f t="shared" si="135"/>
        <v>0.35809836143697</v>
      </c>
      <c r="AB76" s="5">
        <f t="shared" si="136"/>
        <v>2.11110460414917</v>
      </c>
      <c r="AC76" s="5">
        <f t="shared" si="137"/>
        <v>0.0882421272970586</v>
      </c>
      <c r="AD76" s="5"/>
      <c r="AE76" s="5">
        <f t="shared" si="138"/>
        <v>1.76859614409664</v>
      </c>
      <c r="AF76" s="216">
        <f t="shared" si="139"/>
        <v>2006.23861976632</v>
      </c>
      <c r="AG76" s="217">
        <f t="shared" si="140"/>
        <v>0.0619318154759041</v>
      </c>
      <c r="AI76" s="5">
        <f t="shared" si="141"/>
        <v>0.757107016358287</v>
      </c>
      <c r="AJ76" s="5">
        <f t="shared" si="142"/>
        <v>1.5</v>
      </c>
      <c r="AK76" s="5">
        <f t="shared" si="143"/>
        <v>2</v>
      </c>
      <c r="AM76" s="216">
        <f t="shared" si="144"/>
        <v>355</v>
      </c>
      <c r="AN76" s="220">
        <f t="shared" si="145"/>
        <v>83.5562843352931</v>
      </c>
      <c r="AP76" t="str">
        <f t="shared" si="146"/>
        <v/>
      </c>
      <c r="AQ76" t="str">
        <f t="shared" si="147"/>
        <v/>
      </c>
      <c r="AS76" s="192">
        <f t="shared" si="175"/>
        <v>11.9679807204832</v>
      </c>
      <c r="AT76" s="192">
        <f t="shared" si="148"/>
        <v>3.125</v>
      </c>
      <c r="AU76" s="192">
        <f t="shared" si="176"/>
        <v>8.8429807204832</v>
      </c>
      <c r="AV76" s="192">
        <f t="shared" si="149"/>
        <v>8.8429807204832</v>
      </c>
      <c r="AW76" s="5">
        <f t="shared" si="177"/>
        <v>0.261113388547791</v>
      </c>
      <c r="AX76" s="5">
        <f t="shared" si="150"/>
        <v>2.35002049693012</v>
      </c>
      <c r="AY76" s="5">
        <f t="shared" si="151"/>
        <v>0.369628027378968</v>
      </c>
      <c r="AZ76" s="5">
        <f t="shared" si="178"/>
        <v>6.35779844292142</v>
      </c>
      <c r="BA76" s="220">
        <f t="shared" si="152"/>
        <v>4.91946604768167</v>
      </c>
      <c r="BB76" s="220">
        <f t="shared" si="153"/>
        <v>83.9980363667694</v>
      </c>
      <c r="BC76" s="192">
        <f t="shared" si="154"/>
        <v>8.72016154380982</v>
      </c>
      <c r="BD76" s="220">
        <f t="shared" si="155"/>
        <v>17.9051600801437</v>
      </c>
      <c r="BE76" s="192"/>
      <c r="BF76" s="5">
        <f t="shared" si="179"/>
        <v>0.442532531471804</v>
      </c>
      <c r="BG76" s="5">
        <f t="shared" si="156"/>
        <v>0.496529852336968</v>
      </c>
      <c r="BH76" s="5"/>
      <c r="BI76" s="217">
        <f t="shared" si="157"/>
        <v>0.0685422644937951</v>
      </c>
      <c r="BJ76" s="217">
        <f t="shared" si="158"/>
        <v>0.0152110873381028</v>
      </c>
      <c r="BK76" s="217">
        <f t="shared" si="159"/>
        <v>0.00104445355419116</v>
      </c>
      <c r="BL76" s="217">
        <f t="shared" si="160"/>
        <v>0.002461437871602</v>
      </c>
      <c r="BM76">
        <f t="shared" si="161"/>
        <v>0.00348</v>
      </c>
      <c r="BN76">
        <f t="shared" si="162"/>
        <v>1.46223497586763e-6</v>
      </c>
      <c r="BO76" s="217">
        <f t="shared" si="163"/>
        <v>0.124856363632417</v>
      </c>
      <c r="BP76" s="220">
        <f t="shared" si="180"/>
        <v>124.856363632417</v>
      </c>
      <c r="BQ76" s="217">
        <f t="shared" si="164"/>
        <v>0.390840784003807</v>
      </c>
      <c r="BR76" s="217"/>
      <c r="BT76" s="220">
        <f t="shared" si="181"/>
        <v>390.840784003807</v>
      </c>
      <c r="BU76" s="217">
        <f t="shared" si="165"/>
        <v>0.00802923669784457</v>
      </c>
      <c r="BV76" s="217">
        <f t="shared" si="166"/>
        <v>0.0246541894261771</v>
      </c>
      <c r="BW76" s="217">
        <f t="shared" si="167"/>
        <v>0</v>
      </c>
      <c r="BX76" s="217">
        <f t="shared" si="168"/>
        <v>0.0452213671882479</v>
      </c>
      <c r="BY76" s="217">
        <f t="shared" si="169"/>
        <v>0.00752006559017638</v>
      </c>
      <c r="BZ76" s="220">
        <f t="shared" si="182"/>
        <v>52.7414327784243</v>
      </c>
      <c r="CA76" s="5">
        <f t="shared" si="183"/>
        <v>0.568438580414648</v>
      </c>
      <c r="CB76" s="192">
        <f t="shared" si="184"/>
        <v>2.11501844723711</v>
      </c>
      <c r="CC76" s="5">
        <f t="shared" si="185"/>
        <v>0.788169300064373</v>
      </c>
      <c r="CD76" s="192">
        <f t="shared" si="186"/>
        <v>78.8169300064373</v>
      </c>
      <c r="CG76" s="227">
        <f t="shared" si="170"/>
        <v>-50</v>
      </c>
      <c r="CH76">
        <f t="shared" si="171"/>
        <v>-50</v>
      </c>
    </row>
    <row r="77" spans="5:86">
      <c r="E77" s="22">
        <v>72</v>
      </c>
      <c r="F77" s="25">
        <f t="shared" si="172"/>
        <v>0.36</v>
      </c>
      <c r="G77" s="25"/>
      <c r="H77" s="25">
        <f t="shared" si="120"/>
        <v>6.48</v>
      </c>
      <c r="I77" s="212">
        <f t="shared" si="121"/>
        <v>12</v>
      </c>
      <c r="J77" s="27">
        <f t="shared" si="122"/>
        <v>4.06240465106244</v>
      </c>
      <c r="K77" s="131">
        <f t="shared" si="123"/>
        <v>24.2728</v>
      </c>
      <c r="L77" s="131"/>
      <c r="M77" s="25">
        <f t="shared" si="124"/>
        <v>0.505619458818101</v>
      </c>
      <c r="N77" s="27">
        <f t="shared" si="125"/>
        <v>4.09551761642662</v>
      </c>
      <c r="O77" s="27">
        <f t="shared" si="173"/>
        <v>2.04860221046848</v>
      </c>
      <c r="P77" s="25">
        <f t="shared" si="126"/>
        <v>0.227528756468145</v>
      </c>
      <c r="Q77" s="25">
        <f t="shared" si="127"/>
        <v>11.3764378234073</v>
      </c>
      <c r="R77" s="25">
        <f t="shared" si="128"/>
        <v>0.312974269567988</v>
      </c>
      <c r="S77" s="27">
        <f t="shared" si="129"/>
        <v>5.69056169574579</v>
      </c>
      <c r="T77" s="27">
        <f t="shared" si="130"/>
        <v>5.69056169574579</v>
      </c>
      <c r="U77" s="25">
        <f t="shared" si="131"/>
        <v>1.5</v>
      </c>
      <c r="V77" s="25">
        <f t="shared" si="132"/>
        <v>3.125</v>
      </c>
      <c r="W77" s="25">
        <f t="shared" si="133"/>
        <v>9.23098588669463</v>
      </c>
      <c r="X77" s="24">
        <f t="shared" si="134"/>
        <v>350</v>
      </c>
      <c r="Y77" s="131">
        <f t="shared" si="174"/>
        <v>80.9324330061623</v>
      </c>
      <c r="AA77" s="25">
        <f t="shared" si="135"/>
        <v>0.346853284312124</v>
      </c>
      <c r="AB77" s="5">
        <f t="shared" si="136"/>
        <v>2.13453184815927</v>
      </c>
      <c r="AC77" s="5">
        <f t="shared" si="137"/>
        <v>0.086419616114285</v>
      </c>
      <c r="AD77" s="5"/>
      <c r="AE77" s="5">
        <f t="shared" si="138"/>
        <v>1.84619717733893</v>
      </c>
      <c r="AF77" s="216">
        <f t="shared" si="139"/>
        <v>1948.97974263865</v>
      </c>
      <c r="AG77" s="217">
        <f t="shared" si="140"/>
        <v>0.0646492096574658</v>
      </c>
      <c r="AI77" s="5">
        <f t="shared" si="141"/>
        <v>0.746224734942239</v>
      </c>
      <c r="AJ77" s="5">
        <f t="shared" si="142"/>
        <v>1.5</v>
      </c>
      <c r="AK77" s="5">
        <f t="shared" si="143"/>
        <v>2</v>
      </c>
      <c r="AM77" s="216">
        <f t="shared" si="144"/>
        <v>360</v>
      </c>
      <c r="AN77" s="220">
        <f t="shared" si="145"/>
        <v>80.9324330061623</v>
      </c>
      <c r="AP77" t="str">
        <f t="shared" si="146"/>
        <v/>
      </c>
      <c r="AQ77" t="str">
        <f t="shared" si="147"/>
        <v/>
      </c>
      <c r="AS77" s="192">
        <f t="shared" si="175"/>
        <v>12.3559858866946</v>
      </c>
      <c r="AT77" s="192">
        <f t="shared" si="148"/>
        <v>3.125</v>
      </c>
      <c r="AU77" s="192">
        <f t="shared" si="176"/>
        <v>9.23098588669463</v>
      </c>
      <c r="AV77" s="192">
        <f t="shared" si="149"/>
        <v>9.23098588669463</v>
      </c>
      <c r="AW77" s="5">
        <f t="shared" si="177"/>
        <v>0.252913853144257</v>
      </c>
      <c r="AX77" s="5">
        <f t="shared" si="150"/>
        <v>2.27622467829831</v>
      </c>
      <c r="AY77" s="5">
        <f t="shared" si="151"/>
        <v>0.373729844964585</v>
      </c>
      <c r="AZ77" s="5">
        <f t="shared" si="178"/>
        <v>6.09056169574579</v>
      </c>
      <c r="BA77" s="220">
        <f t="shared" si="152"/>
        <v>4.91946604768167</v>
      </c>
      <c r="BB77" s="220">
        <f t="shared" si="153"/>
        <v>86.3656299395621</v>
      </c>
      <c r="BC77" s="192">
        <f t="shared" si="154"/>
        <v>9.23098588669463</v>
      </c>
      <c r="BD77" s="220">
        <f t="shared" si="155"/>
        <v>18.078887736506</v>
      </c>
      <c r="BE77" s="192"/>
      <c r="BF77" s="5">
        <f t="shared" si="179"/>
        <v>0.435528862256215</v>
      </c>
      <c r="BG77" s="5">
        <f t="shared" si="156"/>
        <v>0.499277284273357</v>
      </c>
      <c r="BH77" s="5"/>
      <c r="BI77" s="217">
        <f t="shared" si="157"/>
        <v>0.0663898864503675</v>
      </c>
      <c r="BJ77" s="217">
        <f t="shared" si="158"/>
        <v>0.0147334256990398</v>
      </c>
      <c r="BK77" s="217">
        <f t="shared" si="159"/>
        <v>0.00101165541257703</v>
      </c>
      <c r="BL77" s="217">
        <f t="shared" si="160"/>
        <v>0.00238414330205103</v>
      </c>
      <c r="BM77">
        <f t="shared" si="161"/>
        <v>0.00348</v>
      </c>
      <c r="BN77">
        <f t="shared" si="162"/>
        <v>1.41631757760784e-6</v>
      </c>
      <c r="BO77" s="217">
        <f t="shared" si="163"/>
        <v>0.120897019551775</v>
      </c>
      <c r="BP77" s="220">
        <f t="shared" si="180"/>
        <v>120.897019551775</v>
      </c>
      <c r="BQ77" s="217">
        <f t="shared" si="164"/>
        <v>0.395878232172559</v>
      </c>
      <c r="BR77" s="217"/>
      <c r="BT77" s="220">
        <f t="shared" si="181"/>
        <v>395.878232172559</v>
      </c>
      <c r="BU77" s="217">
        <f t="shared" si="165"/>
        <v>0.00777710098418591</v>
      </c>
      <c r="BV77" s="217">
        <f t="shared" si="166"/>
        <v>0.0249277806591379</v>
      </c>
      <c r="BW77" s="217">
        <f t="shared" si="167"/>
        <v>0</v>
      </c>
      <c r="BX77" s="217">
        <f t="shared" si="168"/>
        <v>0.0452511312992563</v>
      </c>
      <c r="BY77" s="217">
        <f t="shared" si="169"/>
        <v>0.00728391897055461</v>
      </c>
      <c r="BZ77" s="220">
        <f t="shared" si="182"/>
        <v>52.5350502698109</v>
      </c>
      <c r="CA77" s="5">
        <f t="shared" si="183"/>
        <v>0.569310301994145</v>
      </c>
      <c r="CB77" s="192">
        <f t="shared" si="184"/>
        <v>2.04860221046848</v>
      </c>
      <c r="CC77" s="5">
        <f t="shared" si="185"/>
        <v>0.782532724342799</v>
      </c>
      <c r="CD77" s="192">
        <f t="shared" si="186"/>
        <v>78.2532724342799</v>
      </c>
      <c r="CG77" s="227">
        <f t="shared" si="170"/>
        <v>-50</v>
      </c>
      <c r="CH77">
        <f t="shared" si="171"/>
        <v>-50</v>
      </c>
    </row>
    <row r="78" spans="5:86">
      <c r="E78" s="22">
        <v>73</v>
      </c>
      <c r="F78" s="25">
        <f t="shared" si="172"/>
        <v>0.365</v>
      </c>
      <c r="G78" s="25"/>
      <c r="H78" s="25">
        <f t="shared" si="120"/>
        <v>6.57</v>
      </c>
      <c r="I78" s="212">
        <f t="shared" si="121"/>
        <v>12</v>
      </c>
      <c r="J78" s="27">
        <f t="shared" si="122"/>
        <v>3.89144550553526</v>
      </c>
      <c r="K78" s="131">
        <f t="shared" si="123"/>
        <v>24.2728</v>
      </c>
      <c r="L78" s="131"/>
      <c r="M78" s="25">
        <f t="shared" si="124"/>
        <v>0.505619458818101</v>
      </c>
      <c r="N78" s="27">
        <f t="shared" si="125"/>
        <v>4.09551761642662</v>
      </c>
      <c r="O78" s="27">
        <f t="shared" si="173"/>
        <v>1.98350166344883</v>
      </c>
      <c r="P78" s="25">
        <f t="shared" si="126"/>
        <v>0.227528756468145</v>
      </c>
      <c r="Q78" s="25">
        <f t="shared" si="127"/>
        <v>11.220596209388</v>
      </c>
      <c r="R78" s="25">
        <f t="shared" si="128"/>
        <v>0.314769831540277</v>
      </c>
      <c r="S78" s="27">
        <f t="shared" si="129"/>
        <v>5.43425113273651</v>
      </c>
      <c r="T78" s="27">
        <f t="shared" si="130"/>
        <v>5.43425113273651</v>
      </c>
      <c r="U78" s="25">
        <f t="shared" si="131"/>
        <v>1.5</v>
      </c>
      <c r="V78" s="25">
        <f t="shared" si="132"/>
        <v>3.125</v>
      </c>
      <c r="W78" s="25">
        <f t="shared" si="133"/>
        <v>9.63652194195174</v>
      </c>
      <c r="X78" s="24">
        <f t="shared" si="134"/>
        <v>350</v>
      </c>
      <c r="Y78" s="131">
        <f t="shared" si="174"/>
        <v>78.3605595436574</v>
      </c>
      <c r="AA78" s="25">
        <f t="shared" si="135"/>
        <v>0.335830969472818</v>
      </c>
      <c r="AB78" s="5">
        <f t="shared" si="136"/>
        <v>2.15749500407449</v>
      </c>
      <c r="AC78" s="5">
        <f t="shared" si="137"/>
        <v>0.0845735234948942</v>
      </c>
      <c r="AD78" s="5"/>
      <c r="AE78" s="5">
        <f t="shared" si="138"/>
        <v>1.92730438839035</v>
      </c>
      <c r="AF78" s="216">
        <f t="shared" si="139"/>
        <v>1892.89036751007</v>
      </c>
      <c r="AG78" s="217">
        <f t="shared" si="140"/>
        <v>0.067489381420459</v>
      </c>
      <c r="AI78" s="5">
        <f t="shared" si="141"/>
        <v>0.735408607026456</v>
      </c>
      <c r="AJ78" s="5">
        <f t="shared" si="142"/>
        <v>1.5</v>
      </c>
      <c r="AK78" s="5">
        <f t="shared" si="143"/>
        <v>2</v>
      </c>
      <c r="AM78" s="216">
        <f t="shared" si="144"/>
        <v>365</v>
      </c>
      <c r="AN78" s="220">
        <f t="shared" si="145"/>
        <v>78.3605595436574</v>
      </c>
      <c r="AP78" t="str">
        <f t="shared" si="146"/>
        <v/>
      </c>
      <c r="AQ78" t="str">
        <f t="shared" si="147"/>
        <v/>
      </c>
      <c r="AS78" s="192">
        <f t="shared" si="175"/>
        <v>12.7615219419517</v>
      </c>
      <c r="AT78" s="192">
        <f t="shared" si="148"/>
        <v>3.125</v>
      </c>
      <c r="AU78" s="192">
        <f t="shared" si="176"/>
        <v>9.63652194195174</v>
      </c>
      <c r="AV78" s="192">
        <f t="shared" si="149"/>
        <v>9.63652194195174</v>
      </c>
      <c r="AW78" s="5">
        <f t="shared" si="177"/>
        <v>0.244876748573929</v>
      </c>
      <c r="AX78" s="5">
        <f t="shared" si="150"/>
        <v>2.20389073716536</v>
      </c>
      <c r="AY78" s="5">
        <f t="shared" si="151"/>
        <v>0.377750406525892</v>
      </c>
      <c r="AZ78" s="5">
        <f t="shared" si="178"/>
        <v>5.83425113273652</v>
      </c>
      <c r="BA78" s="220">
        <f t="shared" si="152"/>
        <v>4.91946604768167</v>
      </c>
      <c r="BB78" s="220">
        <f t="shared" si="153"/>
        <v>88.7661269189673</v>
      </c>
      <c r="BC78" s="192">
        <f t="shared" si="154"/>
        <v>9.77036252447885</v>
      </c>
      <c r="BD78" s="220">
        <f t="shared" si="155"/>
        <v>18.2491738895899</v>
      </c>
      <c r="BE78" s="192"/>
      <c r="BF78" s="5">
        <f t="shared" si="179"/>
        <v>0.42855286888603</v>
      </c>
      <c r="BG78" s="5">
        <f t="shared" si="156"/>
        <v>0.501955696404344</v>
      </c>
      <c r="BH78" s="5"/>
      <c r="BI78" s="217">
        <f t="shared" si="157"/>
        <v>0.0642801465006565</v>
      </c>
      <c r="BJ78" s="217">
        <f t="shared" si="158"/>
        <v>0.0142652264226847</v>
      </c>
      <c r="BK78" s="217">
        <f t="shared" si="159"/>
        <v>0.000979506994295718</v>
      </c>
      <c r="BL78" s="217">
        <f t="shared" si="160"/>
        <v>0.00230837991941694</v>
      </c>
      <c r="BM78">
        <f t="shared" si="161"/>
        <v>0.00348</v>
      </c>
      <c r="BN78">
        <f t="shared" si="162"/>
        <v>1.37130979201401e-6</v>
      </c>
      <c r="BO78" s="217">
        <f t="shared" si="163"/>
        <v>0.117025762424435</v>
      </c>
      <c r="BP78" s="220">
        <f t="shared" si="180"/>
        <v>117.025762424435</v>
      </c>
      <c r="BQ78" s="217">
        <f t="shared" si="164"/>
        <v>0.40088128914749</v>
      </c>
      <c r="BR78" s="217"/>
      <c r="BT78" s="220">
        <f t="shared" si="181"/>
        <v>400.88128914749</v>
      </c>
      <c r="BU78" s="217">
        <f t="shared" si="165"/>
        <v>0.00752996001864833</v>
      </c>
      <c r="BV78" s="217">
        <f t="shared" si="166"/>
        <v>0.025195952115277</v>
      </c>
      <c r="BW78" s="217">
        <f t="shared" si="167"/>
        <v>0</v>
      </c>
      <c r="BX78" s="217">
        <f t="shared" si="168"/>
        <v>0.0452803058897726</v>
      </c>
      <c r="BY78" s="217">
        <f t="shared" si="169"/>
        <v>0.00705245035892917</v>
      </c>
      <c r="BZ78" s="220">
        <f t="shared" si="182"/>
        <v>52.3327562487018</v>
      </c>
      <c r="CA78" s="5">
        <f t="shared" si="183"/>
        <v>0.570239807820627</v>
      </c>
      <c r="CB78" s="192">
        <f t="shared" si="184"/>
        <v>1.98350166344883</v>
      </c>
      <c r="CC78" s="5">
        <f t="shared" si="185"/>
        <v>0.776704175330182</v>
      </c>
      <c r="CD78" s="192">
        <f t="shared" si="186"/>
        <v>77.6704175330182</v>
      </c>
      <c r="CG78" s="227">
        <f t="shared" si="170"/>
        <v>-50</v>
      </c>
      <c r="CH78">
        <f t="shared" si="171"/>
        <v>-50</v>
      </c>
    </row>
    <row r="79" spans="5:86">
      <c r="E79" s="22">
        <v>74</v>
      </c>
      <c r="F79" s="25">
        <f t="shared" si="172"/>
        <v>0.37</v>
      </c>
      <c r="G79" s="25"/>
      <c r="H79" s="25">
        <f t="shared" si="120"/>
        <v>6.66</v>
      </c>
      <c r="I79" s="212">
        <f t="shared" si="121"/>
        <v>12</v>
      </c>
      <c r="J79" s="27">
        <f t="shared" si="122"/>
        <v>3.72758563962203</v>
      </c>
      <c r="K79" s="131">
        <f t="shared" si="123"/>
        <v>24.2728</v>
      </c>
      <c r="L79" s="131"/>
      <c r="M79" s="25">
        <f t="shared" si="124"/>
        <v>0.505619458818101</v>
      </c>
      <c r="N79" s="27">
        <f t="shared" si="125"/>
        <v>4.09551761642662</v>
      </c>
      <c r="O79" s="27">
        <f t="shared" si="173"/>
        <v>1.91977614191927</v>
      </c>
      <c r="P79" s="25">
        <f t="shared" si="126"/>
        <v>0.227528756468145</v>
      </c>
      <c r="Q79" s="25">
        <f t="shared" si="127"/>
        <v>11.0689665308827</v>
      </c>
      <c r="R79" s="25">
        <f t="shared" si="128"/>
        <v>0.316539130537935</v>
      </c>
      <c r="S79" s="27">
        <f t="shared" si="129"/>
        <v>5.18858416734937</v>
      </c>
      <c r="T79" s="27">
        <f t="shared" si="130"/>
        <v>5.18858416734937</v>
      </c>
      <c r="U79" s="25">
        <f t="shared" si="131"/>
        <v>1.5</v>
      </c>
      <c r="V79" s="25">
        <f t="shared" si="132"/>
        <v>3.125</v>
      </c>
      <c r="W79" s="25">
        <f t="shared" si="133"/>
        <v>10.0601310406922</v>
      </c>
      <c r="X79" s="24">
        <f t="shared" si="134"/>
        <v>350</v>
      </c>
      <c r="Y79" s="131">
        <f t="shared" si="174"/>
        <v>75.8430080758229</v>
      </c>
      <c r="AA79" s="25">
        <f t="shared" si="135"/>
        <v>0.325041463182098</v>
      </c>
      <c r="AB79" s="5">
        <f t="shared" si="136"/>
        <v>2.17997314218015</v>
      </c>
      <c r="AC79" s="5">
        <f t="shared" si="137"/>
        <v>0.0827091942438801</v>
      </c>
      <c r="AD79" s="5"/>
      <c r="AE79" s="5">
        <f t="shared" si="138"/>
        <v>2.01202620813844</v>
      </c>
      <c r="AF79" s="216">
        <f t="shared" si="139"/>
        <v>1838.02323726157</v>
      </c>
      <c r="AG79" s="217">
        <f t="shared" si="140"/>
        <v>0.0704561277434877</v>
      </c>
      <c r="AI79" s="5">
        <f t="shared" si="141"/>
        <v>0.724671992256116</v>
      </c>
      <c r="AJ79" s="5">
        <f t="shared" si="142"/>
        <v>1.5</v>
      </c>
      <c r="AK79" s="5">
        <f t="shared" si="143"/>
        <v>2</v>
      </c>
      <c r="AM79" s="216">
        <f t="shared" si="144"/>
        <v>370</v>
      </c>
      <c r="AN79" s="220">
        <f t="shared" si="145"/>
        <v>75.8430080758229</v>
      </c>
      <c r="AP79" t="str">
        <f t="shared" si="146"/>
        <v/>
      </c>
      <c r="AQ79" t="str">
        <f t="shared" si="147"/>
        <v/>
      </c>
      <c r="AS79" s="192">
        <f t="shared" si="175"/>
        <v>13.1851310406922</v>
      </c>
      <c r="AT79" s="192">
        <f t="shared" si="148"/>
        <v>3.125</v>
      </c>
      <c r="AU79" s="192">
        <f t="shared" si="176"/>
        <v>10.0601310406922</v>
      </c>
      <c r="AV79" s="192">
        <f t="shared" si="149"/>
        <v>10.0601310406922</v>
      </c>
      <c r="AW79" s="5">
        <f t="shared" si="177"/>
        <v>0.237009400236946</v>
      </c>
      <c r="AX79" s="5">
        <f t="shared" si="150"/>
        <v>2.13308460213252</v>
      </c>
      <c r="AY79" s="5">
        <f t="shared" si="151"/>
        <v>0.381686047531468</v>
      </c>
      <c r="AZ79" s="5">
        <f t="shared" si="178"/>
        <v>5.58858416734937</v>
      </c>
      <c r="BA79" s="220">
        <f t="shared" si="152"/>
        <v>4.91946604768167</v>
      </c>
      <c r="BB79" s="220">
        <f t="shared" si="153"/>
        <v>91.1995273049849</v>
      </c>
      <c r="BC79" s="192">
        <f t="shared" si="154"/>
        <v>10.3395791251559</v>
      </c>
      <c r="BD79" s="220">
        <f t="shared" si="155"/>
        <v>18.4158633324797</v>
      </c>
      <c r="BE79" s="192"/>
      <c r="BF79" s="5">
        <f t="shared" si="179"/>
        <v>0.421612440729291</v>
      </c>
      <c r="BG79" s="5">
        <f t="shared" si="156"/>
        <v>0.504563765745707</v>
      </c>
      <c r="BH79" s="5"/>
      <c r="BI79" s="217">
        <f t="shared" si="157"/>
        <v>0.0622149675621985</v>
      </c>
      <c r="BJ79" s="217">
        <f t="shared" si="158"/>
        <v>0.0138069162481712</v>
      </c>
      <c r="BK79" s="217">
        <f t="shared" si="159"/>
        <v>0.000948037600947786</v>
      </c>
      <c r="BL79" s="217">
        <f t="shared" si="160"/>
        <v>0.00223421677805741</v>
      </c>
      <c r="BM79">
        <f t="shared" si="161"/>
        <v>0.00348</v>
      </c>
      <c r="BN79">
        <f t="shared" si="162"/>
        <v>1.3272526413269e-6</v>
      </c>
      <c r="BO79" s="217">
        <f t="shared" si="163"/>
        <v>0.113245494247387</v>
      </c>
      <c r="BP79" s="220">
        <f t="shared" si="180"/>
        <v>113.245494247387</v>
      </c>
      <c r="BQ79" s="217">
        <f t="shared" si="164"/>
        <v>0.405848403934549</v>
      </c>
      <c r="BR79" s="217"/>
      <c r="BT79" s="220">
        <f t="shared" si="181"/>
        <v>405.848403934549</v>
      </c>
      <c r="BU79" s="217">
        <f t="shared" si="165"/>
        <v>0.00728803905728611</v>
      </c>
      <c r="BV79" s="217">
        <f t="shared" si="166"/>
        <v>0.0254584593703489</v>
      </c>
      <c r="BW79" s="217">
        <f t="shared" si="167"/>
        <v>0</v>
      </c>
      <c r="BX79" s="217">
        <f t="shared" si="168"/>
        <v>0.0453088643625849</v>
      </c>
      <c r="BY79" s="217">
        <f t="shared" si="169"/>
        <v>0.00682587072682406</v>
      </c>
      <c r="BZ79" s="220">
        <f t="shared" si="182"/>
        <v>52.1347350894089</v>
      </c>
      <c r="CA79" s="5">
        <f t="shared" si="183"/>
        <v>0.571228633271345</v>
      </c>
      <c r="CB79" s="192">
        <f t="shared" si="184"/>
        <v>1.91977614191927</v>
      </c>
      <c r="CC79" s="5">
        <f t="shared" si="185"/>
        <v>0.770683445105948</v>
      </c>
      <c r="CD79" s="192">
        <f t="shared" si="186"/>
        <v>77.0683445105948</v>
      </c>
      <c r="CG79" s="227">
        <f t="shared" si="170"/>
        <v>-50</v>
      </c>
      <c r="CH79">
        <f t="shared" si="171"/>
        <v>-50</v>
      </c>
    </row>
    <row r="80" spans="5:86">
      <c r="E80" s="22">
        <v>75</v>
      </c>
      <c r="F80" s="25">
        <f t="shared" si="172"/>
        <v>0.375</v>
      </c>
      <c r="G80" s="25"/>
      <c r="H80" s="25">
        <f t="shared" si="120"/>
        <v>6.75</v>
      </c>
      <c r="I80" s="212">
        <f t="shared" si="121"/>
        <v>12</v>
      </c>
      <c r="J80" s="27">
        <f t="shared" si="122"/>
        <v>3.57064477927893</v>
      </c>
      <c r="K80" s="131">
        <f t="shared" si="123"/>
        <v>24.2728</v>
      </c>
      <c r="L80" s="131"/>
      <c r="M80" s="25">
        <f t="shared" si="124"/>
        <v>0.505619458818101</v>
      </c>
      <c r="N80" s="27">
        <f t="shared" si="125"/>
        <v>4.09551761642662</v>
      </c>
      <c r="O80" s="27">
        <f t="shared" si="173"/>
        <v>1.85748394637121</v>
      </c>
      <c r="P80" s="25">
        <f t="shared" si="126"/>
        <v>0.227528756468145</v>
      </c>
      <c r="Q80" s="25">
        <f t="shared" si="127"/>
        <v>10.921380310471</v>
      </c>
      <c r="R80" s="25">
        <f t="shared" si="128"/>
        <v>0.318282825671419</v>
      </c>
      <c r="S80" s="27">
        <f t="shared" si="129"/>
        <v>4.95329052365656</v>
      </c>
      <c r="T80" s="27">
        <f t="shared" si="130"/>
        <v>4.95329052365656</v>
      </c>
      <c r="U80" s="25">
        <f t="shared" si="131"/>
        <v>1.5</v>
      </c>
      <c r="V80" s="25">
        <f t="shared" si="132"/>
        <v>3.125</v>
      </c>
      <c r="W80" s="25">
        <f t="shared" si="133"/>
        <v>10.5023048547475</v>
      </c>
      <c r="X80" s="24">
        <f t="shared" si="134"/>
        <v>350</v>
      </c>
      <c r="Y80" s="131">
        <f t="shared" si="174"/>
        <v>73.3820818319491</v>
      </c>
      <c r="AA80" s="25">
        <f t="shared" si="135"/>
        <v>0.314494636422639</v>
      </c>
      <c r="AB80" s="5">
        <f t="shared" si="136"/>
        <v>2.20194569792903</v>
      </c>
      <c r="AC80" s="5">
        <f t="shared" si="137"/>
        <v>0.0808320755373168</v>
      </c>
      <c r="AD80" s="5"/>
      <c r="AE80" s="5">
        <f t="shared" si="138"/>
        <v>2.1004609709495</v>
      </c>
      <c r="AF80" s="216">
        <f t="shared" si="139"/>
        <v>1784.43017455219</v>
      </c>
      <c r="AG80" s="217">
        <f t="shared" si="140"/>
        <v>0.0735528920502243</v>
      </c>
      <c r="AI80" s="5">
        <f t="shared" si="141"/>
        <v>0.714028845866325</v>
      </c>
      <c r="AJ80" s="5">
        <f t="shared" si="142"/>
        <v>1.5</v>
      </c>
      <c r="AK80" s="5">
        <f t="shared" si="143"/>
        <v>2</v>
      </c>
      <c r="AM80" s="216">
        <f t="shared" si="144"/>
        <v>375</v>
      </c>
      <c r="AN80" s="220">
        <f t="shared" si="145"/>
        <v>73.3820818319491</v>
      </c>
      <c r="AP80" t="str">
        <f t="shared" si="146"/>
        <v/>
      </c>
      <c r="AQ80" t="str">
        <f t="shared" si="147"/>
        <v/>
      </c>
      <c r="AS80" s="192">
        <f t="shared" si="175"/>
        <v>13.6273048547475</v>
      </c>
      <c r="AT80" s="192">
        <f t="shared" si="148"/>
        <v>3.125</v>
      </c>
      <c r="AU80" s="192">
        <f t="shared" si="176"/>
        <v>10.5023048547475</v>
      </c>
      <c r="AV80" s="192">
        <f t="shared" si="149"/>
        <v>10.5023048547475</v>
      </c>
      <c r="AW80" s="5">
        <f t="shared" si="177"/>
        <v>0.229319005724841</v>
      </c>
      <c r="AX80" s="5">
        <f t="shared" si="150"/>
        <v>2.06387105152357</v>
      </c>
      <c r="AY80" s="5">
        <f t="shared" si="151"/>
        <v>0.385533167386148</v>
      </c>
      <c r="AZ80" s="5">
        <f t="shared" si="178"/>
        <v>5.35329052365657</v>
      </c>
      <c r="BA80" s="220">
        <f t="shared" si="152"/>
        <v>4.91946604768167</v>
      </c>
      <c r="BB80" s="220">
        <f t="shared" si="153"/>
        <v>93.6658310976151</v>
      </c>
      <c r="BC80" s="192">
        <f t="shared" si="154"/>
        <v>10.939900890362</v>
      </c>
      <c r="BD80" s="220">
        <f t="shared" si="155"/>
        <v>18.5788035662049</v>
      </c>
      <c r="BE80" s="192"/>
      <c r="BF80" s="5">
        <f t="shared" si="179"/>
        <v>0.414715871764791</v>
      </c>
      <c r="BG80" s="5">
        <f t="shared" si="156"/>
        <v>0.507100209669214</v>
      </c>
      <c r="BH80" s="5"/>
      <c r="BI80" s="217">
        <f t="shared" si="157"/>
        <v>0.0601962390027708</v>
      </c>
      <c r="BJ80" s="217">
        <f t="shared" si="158"/>
        <v>0.013358914469179</v>
      </c>
      <c r="BK80" s="217">
        <f t="shared" si="159"/>
        <v>0.000917276022899364</v>
      </c>
      <c r="BL80" s="217">
        <f t="shared" si="160"/>
        <v>0.00216172172751659</v>
      </c>
      <c r="BM80">
        <f t="shared" si="161"/>
        <v>0.00348</v>
      </c>
      <c r="BN80">
        <f t="shared" si="162"/>
        <v>1.28418643205911e-6</v>
      </c>
      <c r="BO80" s="217">
        <f t="shared" si="163"/>
        <v>0.109559038753448</v>
      </c>
      <c r="BP80" s="220">
        <f t="shared" si="180"/>
        <v>109.559038753448</v>
      </c>
      <c r="BQ80" s="217">
        <f t="shared" si="164"/>
        <v>0.410778052600375</v>
      </c>
      <c r="BR80" s="217"/>
      <c r="BT80" s="220">
        <f t="shared" si="181"/>
        <v>410.778052600375</v>
      </c>
      <c r="BU80" s="217">
        <f t="shared" si="165"/>
        <v>0.00705155942603886</v>
      </c>
      <c r="BV80" s="217">
        <f t="shared" si="166"/>
        <v>0.0257150622646561</v>
      </c>
      <c r="BW80" s="217">
        <f t="shared" si="167"/>
        <v>0</v>
      </c>
      <c r="BX80" s="217">
        <f t="shared" si="168"/>
        <v>0.0453367805842052</v>
      </c>
      <c r="BY80" s="217">
        <f t="shared" si="169"/>
        <v>0.00660438736487542</v>
      </c>
      <c r="BZ80" s="220">
        <f t="shared" si="182"/>
        <v>51.9411679490806</v>
      </c>
      <c r="CA80" s="5">
        <f t="shared" si="183"/>
        <v>0.572278259302904</v>
      </c>
      <c r="CB80" s="192">
        <f t="shared" si="184"/>
        <v>1.85748394637121</v>
      </c>
      <c r="CC80" s="5">
        <f t="shared" si="185"/>
        <v>0.764471495207849</v>
      </c>
      <c r="CD80" s="192">
        <f t="shared" si="186"/>
        <v>76.4471495207849</v>
      </c>
      <c r="CG80" s="227">
        <f t="shared" si="170"/>
        <v>-50</v>
      </c>
      <c r="CH80">
        <f t="shared" si="171"/>
        <v>-50</v>
      </c>
    </row>
    <row r="81" spans="5:86">
      <c r="E81" s="22">
        <v>76</v>
      </c>
      <c r="F81" s="25">
        <f t="shared" si="172"/>
        <v>0.38</v>
      </c>
      <c r="G81" s="25"/>
      <c r="H81" s="25">
        <f t="shared" si="120"/>
        <v>6.84</v>
      </c>
      <c r="I81" s="212">
        <f t="shared" si="121"/>
        <v>12</v>
      </c>
      <c r="J81" s="27">
        <f t="shared" si="122"/>
        <v>3.42044903401333</v>
      </c>
      <c r="K81" s="131">
        <f t="shared" si="123"/>
        <v>24.2728</v>
      </c>
      <c r="L81" s="131"/>
      <c r="M81" s="25">
        <f t="shared" si="124"/>
        <v>0.505619458818101</v>
      </c>
      <c r="N81" s="27">
        <f t="shared" si="125"/>
        <v>4.09551761642662</v>
      </c>
      <c r="O81" s="27">
        <f t="shared" si="173"/>
        <v>1.79668160858331</v>
      </c>
      <c r="P81" s="25">
        <f t="shared" si="126"/>
        <v>0.227528756468145</v>
      </c>
      <c r="Q81" s="25">
        <f t="shared" si="127"/>
        <v>10.7776779379648</v>
      </c>
      <c r="R81" s="25">
        <f t="shared" si="128"/>
        <v>0.320001554178949</v>
      </c>
      <c r="S81" s="27">
        <f t="shared" si="129"/>
        <v>4.72810949627186</v>
      </c>
      <c r="T81" s="27">
        <f t="shared" si="130"/>
        <v>4.72810949627186</v>
      </c>
      <c r="U81" s="25">
        <f t="shared" si="131"/>
        <v>1.5</v>
      </c>
      <c r="V81" s="25">
        <f t="shared" si="132"/>
        <v>3.125</v>
      </c>
      <c r="W81" s="25">
        <f t="shared" si="133"/>
        <v>10.9634728151467</v>
      </c>
      <c r="X81" s="24">
        <f t="shared" si="134"/>
        <v>350</v>
      </c>
      <c r="Y81" s="131">
        <f t="shared" si="174"/>
        <v>70.9800141662541</v>
      </c>
      <c r="AA81" s="25">
        <f t="shared" si="135"/>
        <v>0.304200060712518</v>
      </c>
      <c r="AB81" s="5">
        <f t="shared" si="136"/>
        <v>2.22339273065845</v>
      </c>
      <c r="AC81" s="5">
        <f t="shared" si="137"/>
        <v>0.0789476778715213</v>
      </c>
      <c r="AD81" s="5"/>
      <c r="AE81" s="5">
        <f t="shared" si="138"/>
        <v>2.19269456302934</v>
      </c>
      <c r="AF81" s="216">
        <f t="shared" si="139"/>
        <v>1732.16142985183</v>
      </c>
      <c r="AG81" s="217">
        <f t="shared" si="140"/>
        <v>0.0767826818608801</v>
      </c>
      <c r="AI81" s="5">
        <f t="shared" si="141"/>
        <v>0.703493614521092</v>
      </c>
      <c r="AJ81" s="5">
        <f t="shared" si="142"/>
        <v>1.5</v>
      </c>
      <c r="AK81" s="5">
        <f t="shared" si="143"/>
        <v>2</v>
      </c>
      <c r="AM81" s="216">
        <f t="shared" si="144"/>
        <v>380</v>
      </c>
      <c r="AN81" s="220">
        <f t="shared" si="145"/>
        <v>70.9800141662541</v>
      </c>
      <c r="AP81" t="str">
        <f t="shared" si="146"/>
        <v/>
      </c>
      <c r="AQ81" t="str">
        <f t="shared" si="147"/>
        <v/>
      </c>
      <c r="AS81" s="192">
        <f t="shared" si="175"/>
        <v>14.0884728151467</v>
      </c>
      <c r="AT81" s="192">
        <f t="shared" si="148"/>
        <v>3.125</v>
      </c>
      <c r="AU81" s="192">
        <f t="shared" si="176"/>
        <v>10.9634728151467</v>
      </c>
      <c r="AV81" s="192">
        <f t="shared" si="149"/>
        <v>10.9634728151467</v>
      </c>
      <c r="AW81" s="5">
        <f t="shared" si="177"/>
        <v>0.221812544269544</v>
      </c>
      <c r="AX81" s="5">
        <f t="shared" si="150"/>
        <v>1.9963128984259</v>
      </c>
      <c r="AY81" s="5">
        <f t="shared" si="151"/>
        <v>0.389288274729161</v>
      </c>
      <c r="AZ81" s="5">
        <f t="shared" si="178"/>
        <v>5.12810949627186</v>
      </c>
      <c r="BA81" s="220">
        <f t="shared" si="152"/>
        <v>4.91946604768167</v>
      </c>
      <c r="BB81" s="220">
        <f t="shared" si="153"/>
        <v>96.1650382968577</v>
      </c>
      <c r="BC81" s="192">
        <f t="shared" si="154"/>
        <v>11.5725546382104</v>
      </c>
      <c r="BD81" s="220">
        <f t="shared" si="155"/>
        <v>18.7378467182891</v>
      </c>
      <c r="BE81" s="192"/>
      <c r="BF81" s="5">
        <f t="shared" si="179"/>
        <v>0.407871803637072</v>
      </c>
      <c r="BG81" s="5">
        <f t="shared" si="156"/>
        <v>0.509563812730408</v>
      </c>
      <c r="BH81" s="5"/>
      <c r="BI81" s="217">
        <f t="shared" si="157"/>
        <v>0.0582257928707553</v>
      </c>
      <c r="BJ81" s="217">
        <f t="shared" si="158"/>
        <v>0.0129216276589099</v>
      </c>
      <c r="BK81" s="217">
        <f t="shared" si="159"/>
        <v>0.000887250177078176</v>
      </c>
      <c r="BL81" s="217">
        <f t="shared" si="160"/>
        <v>0.00209096055892792</v>
      </c>
      <c r="BM81">
        <f t="shared" si="161"/>
        <v>0.00348</v>
      </c>
      <c r="BN81">
        <f t="shared" si="162"/>
        <v>1.24215024790945e-6</v>
      </c>
      <c r="BO81" s="217">
        <f t="shared" si="163"/>
        <v>0.105969100755777</v>
      </c>
      <c r="BP81" s="220">
        <f t="shared" si="180"/>
        <v>105.969100755777</v>
      </c>
      <c r="BQ81" s="217">
        <f t="shared" si="164"/>
        <v>0.415668757444502</v>
      </c>
      <c r="BR81" s="217"/>
      <c r="BT81" s="220">
        <f t="shared" si="181"/>
        <v>415.668757444502</v>
      </c>
      <c r="BU81" s="217">
        <f t="shared" si="165"/>
        <v>0.00682073573628848</v>
      </c>
      <c r="BV81" s="217">
        <f t="shared" si="166"/>
        <v>0.025965527924435</v>
      </c>
      <c r="BW81" s="217">
        <f t="shared" si="167"/>
        <v>0</v>
      </c>
      <c r="BX81" s="217">
        <f t="shared" si="168"/>
        <v>0.0453640292135992</v>
      </c>
      <c r="BY81" s="217">
        <f t="shared" si="169"/>
        <v>0.00638820127496287</v>
      </c>
      <c r="BZ81" s="220">
        <f t="shared" si="182"/>
        <v>51.7522304885621</v>
      </c>
      <c r="CA81" s="5">
        <f t="shared" si="183"/>
        <v>0.573390088688841</v>
      </c>
      <c r="CB81" s="192">
        <f t="shared" si="184"/>
        <v>1.79668160858331</v>
      </c>
      <c r="CC81" s="5">
        <f t="shared" si="185"/>
        <v>0.758070572570109</v>
      </c>
      <c r="CD81" s="192">
        <f t="shared" si="186"/>
        <v>75.8070572570109</v>
      </c>
      <c r="CG81" s="227">
        <f t="shared" si="170"/>
        <v>-50</v>
      </c>
      <c r="CH81">
        <f t="shared" si="171"/>
        <v>-50</v>
      </c>
    </row>
    <row r="82" spans="5:86">
      <c r="E82" s="22">
        <v>77</v>
      </c>
      <c r="F82" s="25">
        <f t="shared" si="172"/>
        <v>0.385</v>
      </c>
      <c r="G82" s="25"/>
      <c r="H82" s="25">
        <f t="shared" si="120"/>
        <v>6.93</v>
      </c>
      <c r="I82" s="212">
        <f t="shared" si="121"/>
        <v>12</v>
      </c>
      <c r="J82" s="27">
        <f t="shared" si="122"/>
        <v>3.2768291134821</v>
      </c>
      <c r="K82" s="131">
        <f t="shared" si="123"/>
        <v>24.2728</v>
      </c>
      <c r="L82" s="131"/>
      <c r="M82" s="25">
        <f t="shared" si="124"/>
        <v>0.505619458818101</v>
      </c>
      <c r="N82" s="27">
        <f t="shared" si="125"/>
        <v>4.09551761642662</v>
      </c>
      <c r="O82" s="27">
        <f t="shared" si="173"/>
        <v>1.73742310148517</v>
      </c>
      <c r="P82" s="25">
        <f t="shared" si="126"/>
        <v>0.227528756468145</v>
      </c>
      <c r="Q82" s="25">
        <f t="shared" si="127"/>
        <v>10.6377080946146</v>
      </c>
      <c r="R82" s="25">
        <f t="shared" si="128"/>
        <v>0.321695932326313</v>
      </c>
      <c r="S82" s="27">
        <f t="shared" si="129"/>
        <v>4.51278727658486</v>
      </c>
      <c r="T82" s="27">
        <f t="shared" si="130"/>
        <v>4.51278727658486</v>
      </c>
      <c r="U82" s="25">
        <f t="shared" si="131"/>
        <v>1.5</v>
      </c>
      <c r="V82" s="25">
        <f t="shared" si="132"/>
        <v>3.125</v>
      </c>
      <c r="W82" s="25">
        <f t="shared" si="133"/>
        <v>11.4439901201167</v>
      </c>
      <c r="X82" s="24">
        <f t="shared" si="134"/>
        <v>343.19468671312</v>
      </c>
      <c r="Y82" s="131">
        <f t="shared" si="174"/>
        <v>68.638937342624</v>
      </c>
      <c r="AA82" s="25">
        <f t="shared" si="135"/>
        <v>0.3</v>
      </c>
      <c r="AB82" s="5">
        <f t="shared" si="136"/>
        <v>2.28879802402335</v>
      </c>
      <c r="AC82" s="5">
        <f t="shared" si="137"/>
        <v>0.0785896072464703</v>
      </c>
      <c r="AD82" s="5"/>
      <c r="AE82" s="5">
        <f t="shared" si="138"/>
        <v>2.28879802402334</v>
      </c>
      <c r="AF82" s="216">
        <f t="shared" si="139"/>
        <v>1681.26497909793</v>
      </c>
      <c r="AG82" s="217">
        <f t="shared" si="140"/>
        <v>0.0785896072464702</v>
      </c>
      <c r="AI82" s="5">
        <f t="shared" si="141"/>
        <v>0.69308110824016</v>
      </c>
      <c r="AJ82" s="5">
        <f t="shared" si="142"/>
        <v>1.5</v>
      </c>
      <c r="AK82" s="5">
        <f t="shared" si="143"/>
        <v>2</v>
      </c>
      <c r="AM82" s="216">
        <f t="shared" si="144"/>
        <v>385</v>
      </c>
      <c r="AN82" s="220">
        <f t="shared" si="145"/>
        <v>68.638937342624</v>
      </c>
      <c r="AP82" t="str">
        <f t="shared" si="146"/>
        <v/>
      </c>
      <c r="AQ82" t="str">
        <f t="shared" si="147"/>
        <v/>
      </c>
      <c r="AS82" s="192">
        <f t="shared" si="175"/>
        <v>14.5689901201167</v>
      </c>
      <c r="AT82" s="192">
        <f t="shared" si="148"/>
        <v>3.125</v>
      </c>
      <c r="AU82" s="192">
        <f t="shared" si="176"/>
        <v>11.4439901201167</v>
      </c>
      <c r="AV82" s="192">
        <f t="shared" si="149"/>
        <v>11.4439901201167</v>
      </c>
      <c r="AW82" s="5">
        <f t="shared" si="177"/>
        <v>0.2144966791957</v>
      </c>
      <c r="AX82" s="5">
        <f t="shared" si="150"/>
        <v>1.9304701127613</v>
      </c>
      <c r="AY82" s="5">
        <f t="shared" si="151"/>
        <v>0.392948036232351</v>
      </c>
      <c r="AZ82" s="5">
        <f t="shared" si="178"/>
        <v>4.91278727658486</v>
      </c>
      <c r="BA82" s="220">
        <f t="shared" si="152"/>
        <v>4.91946604768167</v>
      </c>
      <c r="BB82" s="220">
        <f t="shared" si="153"/>
        <v>98.6971489027129</v>
      </c>
      <c r="BC82" s="192">
        <f t="shared" si="154"/>
        <v>12.2387116562359</v>
      </c>
      <c r="BD82" s="220">
        <f t="shared" si="155"/>
        <v>18.8928516095411</v>
      </c>
      <c r="BE82" s="192"/>
      <c r="BF82" s="5">
        <f t="shared" si="179"/>
        <v>0.401089153925627</v>
      </c>
      <c r="BG82" s="5">
        <f t="shared" si="156"/>
        <v>0.511953455078661</v>
      </c>
      <c r="BH82" s="5"/>
      <c r="BI82" s="217">
        <f t="shared" si="157"/>
        <v>0.0563053782888712</v>
      </c>
      <c r="BJ82" s="217">
        <f t="shared" si="158"/>
        <v>0.0124954439874753</v>
      </c>
      <c r="BK82" s="217">
        <f t="shared" si="159"/>
        <v>0.0008579867167828</v>
      </c>
      <c r="BL82" s="217">
        <f t="shared" si="160"/>
        <v>0.00202199608546127</v>
      </c>
      <c r="BM82">
        <f t="shared" si="161"/>
        <v>0.00348</v>
      </c>
      <c r="BN82">
        <f t="shared" si="162"/>
        <v>1.20118140349592e-6</v>
      </c>
      <c r="BO82" s="217">
        <f t="shared" si="163"/>
        <v>0.102478222720347</v>
      </c>
      <c r="BP82" s="220">
        <f t="shared" si="180"/>
        <v>102.478222720347</v>
      </c>
      <c r="BQ82" s="217">
        <f t="shared" si="164"/>
        <v>0.420519107652956</v>
      </c>
      <c r="BR82" s="217"/>
      <c r="BT82" s="220">
        <f t="shared" si="181"/>
        <v>420.519107652956</v>
      </c>
      <c r="BU82" s="217">
        <f t="shared" si="165"/>
        <v>0.00659577288526778</v>
      </c>
      <c r="BV82" s="217">
        <f t="shared" si="166"/>
        <v>0.0262096340166978</v>
      </c>
      <c r="BW82" s="217">
        <f t="shared" si="167"/>
        <v>0</v>
      </c>
      <c r="BX82" s="217">
        <f t="shared" si="168"/>
        <v>0.0453905860563202</v>
      </c>
      <c r="BY82" s="217">
        <f t="shared" si="169"/>
        <v>0.00617750436083616</v>
      </c>
      <c r="BZ82" s="220">
        <f t="shared" si="182"/>
        <v>51.5680904171564</v>
      </c>
      <c r="CA82" s="5">
        <f t="shared" si="183"/>
        <v>0.574565420790459</v>
      </c>
      <c r="CB82" s="192">
        <f t="shared" si="184"/>
        <v>1.73742310148517</v>
      </c>
      <c r="CC82" s="5">
        <f t="shared" si="185"/>
        <v>0.751484310906124</v>
      </c>
      <c r="CD82" s="192">
        <f t="shared" si="186"/>
        <v>75.1484310906124</v>
      </c>
      <c r="CG82" s="227">
        <f t="shared" si="170"/>
        <v>-50</v>
      </c>
      <c r="CH82">
        <f t="shared" si="171"/>
        <v>-50</v>
      </c>
    </row>
    <row r="83" spans="5:86">
      <c r="E83" s="22">
        <v>78</v>
      </c>
      <c r="F83" s="25">
        <f t="shared" si="172"/>
        <v>0.39</v>
      </c>
      <c r="G83" s="25"/>
      <c r="H83" s="25">
        <f t="shared" si="120"/>
        <v>7.02</v>
      </c>
      <c r="I83" s="212">
        <f t="shared" si="121"/>
        <v>12</v>
      </c>
      <c r="J83" s="27">
        <f t="shared" si="122"/>
        <v>3.13961861537187</v>
      </c>
      <c r="K83" s="131">
        <f t="shared" si="123"/>
        <v>24.2728</v>
      </c>
      <c r="L83" s="131"/>
      <c r="M83" s="25">
        <f t="shared" si="124"/>
        <v>0.505619458818101</v>
      </c>
      <c r="N83" s="27">
        <f t="shared" si="125"/>
        <v>4.09551761642662</v>
      </c>
      <c r="O83" s="27">
        <f t="shared" si="173"/>
        <v>1.6797590104873</v>
      </c>
      <c r="P83" s="25">
        <f t="shared" si="126"/>
        <v>0.227528756468145</v>
      </c>
      <c r="Q83" s="25">
        <f t="shared" si="127"/>
        <v>10.5013272216067</v>
      </c>
      <c r="R83" s="25">
        <f t="shared" si="128"/>
        <v>0.323366556262622</v>
      </c>
      <c r="S83" s="27">
        <f t="shared" si="129"/>
        <v>4.30707438586487</v>
      </c>
      <c r="T83" s="27">
        <f t="shared" si="130"/>
        <v>4.30707438586487</v>
      </c>
      <c r="U83" s="25">
        <f t="shared" si="131"/>
        <v>1.5</v>
      </c>
      <c r="V83" s="25">
        <f t="shared" si="132"/>
        <v>3.125</v>
      </c>
      <c r="W83" s="25">
        <f t="shared" si="133"/>
        <v>11.9441258936345</v>
      </c>
      <c r="X83" s="24">
        <f t="shared" si="134"/>
        <v>331.804248985146</v>
      </c>
      <c r="Y83" s="131">
        <f t="shared" si="174"/>
        <v>66.3608497970291</v>
      </c>
      <c r="AA83" s="25">
        <f t="shared" si="135"/>
        <v>0.3</v>
      </c>
      <c r="AB83" s="5">
        <f t="shared" si="136"/>
        <v>2.3888251787269</v>
      </c>
      <c r="AC83" s="5">
        <f t="shared" si="137"/>
        <v>0.0793018655556476</v>
      </c>
      <c r="AD83" s="5"/>
      <c r="AE83" s="5">
        <f t="shared" si="138"/>
        <v>2.3888251787269</v>
      </c>
      <c r="AF83" s="216">
        <f t="shared" si="139"/>
        <v>1631.78578709982</v>
      </c>
      <c r="AG83" s="217">
        <f t="shared" si="140"/>
        <v>0.0793018655556476</v>
      </c>
      <c r="AI83" s="5">
        <f t="shared" si="141"/>
        <v>0.682806349267455</v>
      </c>
      <c r="AJ83" s="5">
        <f t="shared" si="142"/>
        <v>1.5</v>
      </c>
      <c r="AK83" s="5">
        <f t="shared" si="143"/>
        <v>2</v>
      </c>
      <c r="AM83" s="216">
        <f t="shared" si="144"/>
        <v>390</v>
      </c>
      <c r="AN83" s="220">
        <f t="shared" si="145"/>
        <v>66.3608497970291</v>
      </c>
      <c r="AP83" t="str">
        <f t="shared" si="146"/>
        <v/>
      </c>
      <c r="AQ83" t="str">
        <f t="shared" si="147"/>
        <v/>
      </c>
      <c r="AS83" s="192">
        <f t="shared" si="175"/>
        <v>15.0691258936345</v>
      </c>
      <c r="AT83" s="192">
        <f t="shared" si="148"/>
        <v>3.125</v>
      </c>
      <c r="AU83" s="192">
        <f t="shared" si="176"/>
        <v>11.9441258936345</v>
      </c>
      <c r="AV83" s="192">
        <f t="shared" si="149"/>
        <v>11.9441258936345</v>
      </c>
      <c r="AW83" s="5">
        <f t="shared" si="177"/>
        <v>0.207377655615716</v>
      </c>
      <c r="AX83" s="5">
        <f t="shared" si="150"/>
        <v>1.86639890054144</v>
      </c>
      <c r="AY83" s="5">
        <f t="shared" si="151"/>
        <v>0.396509327778238</v>
      </c>
      <c r="AZ83" s="5">
        <f t="shared" si="178"/>
        <v>4.70707438586487</v>
      </c>
      <c r="BA83" s="220">
        <f t="shared" si="152"/>
        <v>4.91946604768167</v>
      </c>
      <c r="BB83" s="220">
        <f t="shared" si="153"/>
        <v>101.26216291518</v>
      </c>
      <c r="BC83" s="192">
        <f t="shared" si="154"/>
        <v>12.939469718104</v>
      </c>
      <c r="BD83" s="220">
        <f t="shared" si="155"/>
        <v>19.043685921642</v>
      </c>
      <c r="BE83" s="192"/>
      <c r="BF83" s="5">
        <f t="shared" si="179"/>
        <v>0.394377029898785</v>
      </c>
      <c r="BG83" s="5">
        <f t="shared" si="156"/>
        <v>0.514268141758835</v>
      </c>
      <c r="BH83" s="5"/>
      <c r="BI83" s="217">
        <f t="shared" si="157"/>
        <v>0.0544366345991254</v>
      </c>
      <c r="BJ83" s="217">
        <f t="shared" si="158"/>
        <v>0.01208072726215</v>
      </c>
      <c r="BK83" s="217">
        <f t="shared" si="159"/>
        <v>0.000829510622462864</v>
      </c>
      <c r="BL83" s="217">
        <f t="shared" si="160"/>
        <v>0.00195488717792476</v>
      </c>
      <c r="BM83">
        <f t="shared" si="161"/>
        <v>0.00348</v>
      </c>
      <c r="BN83">
        <f t="shared" si="162"/>
        <v>1.16131487144801e-6</v>
      </c>
      <c r="BO83" s="217">
        <f t="shared" si="163"/>
        <v>0.0990887396178598</v>
      </c>
      <c r="BP83" s="220">
        <f t="shared" si="180"/>
        <v>99.0887396178598</v>
      </c>
      <c r="BQ83" s="217">
        <f t="shared" si="164"/>
        <v>0.425327780959101</v>
      </c>
      <c r="BR83" s="217"/>
      <c r="BT83" s="220">
        <f t="shared" si="181"/>
        <v>425.327780959101</v>
      </c>
      <c r="BU83" s="217">
        <f t="shared" si="165"/>
        <v>0.00637686291018326</v>
      </c>
      <c r="BV83" s="217">
        <f t="shared" si="166"/>
        <v>0.0264471721628085</v>
      </c>
      <c r="BW83" s="217">
        <f t="shared" si="167"/>
        <v>0</v>
      </c>
      <c r="BX83" s="217">
        <f t="shared" si="168"/>
        <v>0.0454164284359183</v>
      </c>
      <c r="BY83" s="217">
        <f t="shared" si="169"/>
        <v>0.00597247648173262</v>
      </c>
      <c r="BZ83" s="220">
        <f t="shared" si="182"/>
        <v>51.3889049176509</v>
      </c>
      <c r="CA83" s="5">
        <f t="shared" si="183"/>
        <v>0.575805425494612</v>
      </c>
      <c r="CB83" s="192">
        <f t="shared" si="184"/>
        <v>1.6797590104873</v>
      </c>
      <c r="CC83" s="5">
        <f t="shared" si="185"/>
        <v>0.744717811511358</v>
      </c>
      <c r="CD83" s="192">
        <f t="shared" si="186"/>
        <v>74.4717811511358</v>
      </c>
      <c r="CG83" s="227">
        <f t="shared" si="170"/>
        <v>-50</v>
      </c>
      <c r="CH83">
        <f t="shared" si="171"/>
        <v>-50</v>
      </c>
    </row>
    <row r="84" spans="5:86">
      <c r="E84" s="22">
        <v>79</v>
      </c>
      <c r="F84" s="25">
        <f t="shared" si="172"/>
        <v>0.395</v>
      </c>
      <c r="G84" s="25"/>
      <c r="H84" s="25">
        <f t="shared" si="120"/>
        <v>7.11</v>
      </c>
      <c r="I84" s="212">
        <f t="shared" si="121"/>
        <v>12</v>
      </c>
      <c r="J84" s="27">
        <f t="shared" si="122"/>
        <v>3.00865241741491</v>
      </c>
      <c r="K84" s="131">
        <f t="shared" si="123"/>
        <v>24.2728</v>
      </c>
      <c r="L84" s="131"/>
      <c r="M84" s="25">
        <f t="shared" si="124"/>
        <v>0.505619458818101</v>
      </c>
      <c r="N84" s="27">
        <f t="shared" si="125"/>
        <v>4.09551761642662</v>
      </c>
      <c r="O84" s="27">
        <f t="shared" si="173"/>
        <v>1.6237356894736</v>
      </c>
      <c r="P84" s="25">
        <f t="shared" si="126"/>
        <v>0.227528756468145</v>
      </c>
      <c r="Q84" s="25">
        <f t="shared" si="127"/>
        <v>10.3683990289281</v>
      </c>
      <c r="R84" s="25">
        <f t="shared" si="128"/>
        <v>0.325014002834492</v>
      </c>
      <c r="S84" s="27">
        <f t="shared" si="129"/>
        <v>4.11072326449012</v>
      </c>
      <c r="T84" s="27">
        <f t="shared" si="130"/>
        <v>4.11072326449012</v>
      </c>
      <c r="U84" s="25">
        <f t="shared" si="131"/>
        <v>1.5</v>
      </c>
      <c r="V84" s="25">
        <f t="shared" si="132"/>
        <v>3.125</v>
      </c>
      <c r="W84" s="25">
        <f t="shared" si="133"/>
        <v>12.4640519399781</v>
      </c>
      <c r="X84" s="24">
        <f t="shared" si="134"/>
        <v>320.737913970093</v>
      </c>
      <c r="Y84" s="131">
        <f t="shared" si="174"/>
        <v>64.1475827940186</v>
      </c>
      <c r="AA84" s="25">
        <f t="shared" si="135"/>
        <v>0.3</v>
      </c>
      <c r="AB84" s="5">
        <f t="shared" si="136"/>
        <v>2.49281038799561</v>
      </c>
      <c r="AC84" s="5">
        <f t="shared" si="137"/>
        <v>0.0799938573170576</v>
      </c>
      <c r="AD84" s="5"/>
      <c r="AE84" s="5">
        <f t="shared" si="138"/>
        <v>2.49281038799561</v>
      </c>
      <c r="AF84" s="216">
        <f t="shared" si="139"/>
        <v>1583.76505730986</v>
      </c>
      <c r="AG84" s="217">
        <f t="shared" si="140"/>
        <v>0.0799938573170576</v>
      </c>
      <c r="AI84" s="5">
        <f t="shared" si="141"/>
        <v>0.672684400063308</v>
      </c>
      <c r="AJ84" s="5">
        <f t="shared" si="142"/>
        <v>1.5</v>
      </c>
      <c r="AK84" s="5">
        <f t="shared" si="143"/>
        <v>2</v>
      </c>
      <c r="AM84" s="216">
        <f t="shared" si="144"/>
        <v>395</v>
      </c>
      <c r="AN84" s="220">
        <f t="shared" si="145"/>
        <v>64.1475827940186</v>
      </c>
      <c r="AP84" t="str">
        <f t="shared" si="146"/>
        <v/>
      </c>
      <c r="AQ84" t="str">
        <f t="shared" si="147"/>
        <v/>
      </c>
      <c r="AS84" s="192">
        <f t="shared" si="175"/>
        <v>15.5890519399781</v>
      </c>
      <c r="AT84" s="192">
        <f t="shared" si="148"/>
        <v>3.125</v>
      </c>
      <c r="AU84" s="192">
        <f t="shared" si="176"/>
        <v>12.4640519399781</v>
      </c>
      <c r="AV84" s="192">
        <f t="shared" si="149"/>
        <v>12.4640519399781</v>
      </c>
      <c r="AW84" s="5">
        <f t="shared" si="177"/>
        <v>0.200461196231308</v>
      </c>
      <c r="AX84" s="5">
        <f t="shared" si="150"/>
        <v>1.80415076608177</v>
      </c>
      <c r="AY84" s="5">
        <f t="shared" si="151"/>
        <v>0.399969286585288</v>
      </c>
      <c r="AZ84" s="5">
        <f t="shared" si="178"/>
        <v>4.51072326449012</v>
      </c>
      <c r="BA84" s="220">
        <f t="shared" si="152"/>
        <v>4.91946604768167</v>
      </c>
      <c r="BB84" s="220">
        <f t="shared" si="153"/>
        <v>103.860080334261</v>
      </c>
      <c r="BC84" s="192">
        <f t="shared" si="154"/>
        <v>13.6758347674759</v>
      </c>
      <c r="BD84" s="220">
        <f t="shared" si="155"/>
        <v>19.1902284048492</v>
      </c>
      <c r="BE84" s="192"/>
      <c r="BF84" s="5">
        <f t="shared" si="179"/>
        <v>0.387744628813193</v>
      </c>
      <c r="BG84" s="5">
        <f t="shared" si="156"/>
        <v>0.516507032045438</v>
      </c>
      <c r="BH84" s="5"/>
      <c r="BI84" s="217">
        <f t="shared" si="157"/>
        <v>0.0526210640107184</v>
      </c>
      <c r="BJ84" s="217">
        <f t="shared" si="158"/>
        <v>0.0116778108573199</v>
      </c>
      <c r="BK84" s="217">
        <f t="shared" si="159"/>
        <v>0.000801844784925233</v>
      </c>
      <c r="BL84" s="217">
        <f t="shared" si="160"/>
        <v>0.00188968778251703</v>
      </c>
      <c r="BM84">
        <f t="shared" si="161"/>
        <v>0.00348</v>
      </c>
      <c r="BN84">
        <f t="shared" si="162"/>
        <v>1.12258269889533e-6</v>
      </c>
      <c r="BO84" s="217">
        <f t="shared" si="163"/>
        <v>0.0958027333757816</v>
      </c>
      <c r="BP84" s="220">
        <f t="shared" si="180"/>
        <v>95.8027333757816</v>
      </c>
      <c r="BQ84" s="217">
        <f t="shared" si="164"/>
        <v>0.430093565705397</v>
      </c>
      <c r="BR84" s="217"/>
      <c r="BT84" s="220">
        <f t="shared" si="181"/>
        <v>430.093565705397</v>
      </c>
      <c r="BU84" s="217">
        <f t="shared" si="165"/>
        <v>0.00616418178411273</v>
      </c>
      <c r="BV84" s="217">
        <f t="shared" si="166"/>
        <v>0.0266779514152387</v>
      </c>
      <c r="BW84" s="217">
        <f t="shared" si="167"/>
        <v>0</v>
      </c>
      <c r="BX84" s="217">
        <f t="shared" si="168"/>
        <v>0.0454415355722287</v>
      </c>
      <c r="BY84" s="217">
        <f t="shared" si="169"/>
        <v>0.00577328245146168</v>
      </c>
      <c r="BZ84" s="220">
        <f t="shared" si="182"/>
        <v>51.2148180236904</v>
      </c>
      <c r="CA84" s="5">
        <f t="shared" si="183"/>
        <v>0.577111117104869</v>
      </c>
      <c r="CB84" s="192">
        <f t="shared" si="184"/>
        <v>1.6237356894736</v>
      </c>
      <c r="CC84" s="5">
        <f t="shared" si="185"/>
        <v>0.73777769748451</v>
      </c>
      <c r="CD84" s="192">
        <f t="shared" si="186"/>
        <v>73.777769748451</v>
      </c>
      <c r="CG84" s="227">
        <f t="shared" si="170"/>
        <v>-50</v>
      </c>
      <c r="CH84">
        <f t="shared" si="171"/>
        <v>-50</v>
      </c>
    </row>
    <row r="85" spans="5:86">
      <c r="E85" s="22">
        <v>80</v>
      </c>
      <c r="F85" s="25">
        <f t="shared" si="172"/>
        <v>0.4</v>
      </c>
      <c r="G85" s="25"/>
      <c r="H85" s="25">
        <f t="shared" si="120"/>
        <v>7.2</v>
      </c>
      <c r="I85" s="212">
        <f t="shared" si="121"/>
        <v>12</v>
      </c>
      <c r="J85" s="27">
        <f t="shared" si="122"/>
        <v>2.88376521044796</v>
      </c>
      <c r="K85" s="131">
        <f t="shared" si="123"/>
        <v>24.2728</v>
      </c>
      <c r="L85" s="131"/>
      <c r="M85" s="25">
        <f t="shared" si="124"/>
        <v>0.505619458818101</v>
      </c>
      <c r="N85" s="27">
        <f t="shared" si="125"/>
        <v>4.09551761642662</v>
      </c>
      <c r="O85" s="27">
        <f t="shared" si="173"/>
        <v>1.56939442905425</v>
      </c>
      <c r="P85" s="25">
        <f t="shared" si="126"/>
        <v>0.227528756468145</v>
      </c>
      <c r="Q85" s="25">
        <f t="shared" si="127"/>
        <v>10.2387940410665</v>
      </c>
      <c r="R85" s="25">
        <f t="shared" si="128"/>
        <v>0.326638830361013</v>
      </c>
      <c r="S85" s="27">
        <f t="shared" si="129"/>
        <v>3.92348607263563</v>
      </c>
      <c r="T85" s="27">
        <f t="shared" si="130"/>
        <v>3.92348607263563</v>
      </c>
      <c r="U85" s="25">
        <f t="shared" si="131"/>
        <v>1.5</v>
      </c>
      <c r="V85" s="25">
        <f t="shared" si="132"/>
        <v>3.125</v>
      </c>
      <c r="W85" s="25">
        <f t="shared" si="133"/>
        <v>13.0038325811465</v>
      </c>
      <c r="X85" s="24">
        <f t="shared" si="134"/>
        <v>310.003837837876</v>
      </c>
      <c r="Y85" s="131">
        <f t="shared" si="174"/>
        <v>62.0007675675753</v>
      </c>
      <c r="AA85" s="25">
        <f t="shared" si="135"/>
        <v>0.3</v>
      </c>
      <c r="AB85" s="5">
        <f t="shared" si="136"/>
        <v>2.6007665162293</v>
      </c>
      <c r="AC85" s="5">
        <f t="shared" si="137"/>
        <v>0.0806650725152003</v>
      </c>
      <c r="AD85" s="5"/>
      <c r="AE85" s="5">
        <f t="shared" si="138"/>
        <v>2.6007665162293</v>
      </c>
      <c r="AF85" s="216">
        <f t="shared" si="139"/>
        <v>1537.23949249267</v>
      </c>
      <c r="AG85" s="217">
        <f t="shared" si="140"/>
        <v>0.0806650725152003</v>
      </c>
      <c r="AI85" s="5">
        <f t="shared" si="141"/>
        <v>0.662730174029622</v>
      </c>
      <c r="AJ85" s="5">
        <f t="shared" si="142"/>
        <v>1.5</v>
      </c>
      <c r="AK85" s="5">
        <f t="shared" si="143"/>
        <v>2</v>
      </c>
      <c r="AM85" s="216">
        <f t="shared" si="144"/>
        <v>400</v>
      </c>
      <c r="AN85" s="220">
        <f t="shared" si="145"/>
        <v>62.0007675675753</v>
      </c>
      <c r="AP85" t="str">
        <f t="shared" si="146"/>
        <v/>
      </c>
      <c r="AQ85" t="str">
        <f t="shared" si="147"/>
        <v/>
      </c>
      <c r="AS85" s="192">
        <f t="shared" si="175"/>
        <v>16.1288325811465</v>
      </c>
      <c r="AT85" s="192">
        <f t="shared" si="148"/>
        <v>3.125</v>
      </c>
      <c r="AU85" s="192">
        <f t="shared" si="176"/>
        <v>13.0038325811465</v>
      </c>
      <c r="AV85" s="192">
        <f t="shared" si="149"/>
        <v>13.0038325811465</v>
      </c>
      <c r="AW85" s="5">
        <f t="shared" si="177"/>
        <v>0.193752398648673</v>
      </c>
      <c r="AX85" s="5">
        <f t="shared" si="150"/>
        <v>1.74377158783805</v>
      </c>
      <c r="AY85" s="5">
        <f t="shared" si="151"/>
        <v>0.403325362576002</v>
      </c>
      <c r="AZ85" s="5">
        <f t="shared" si="178"/>
        <v>4.32348607263562</v>
      </c>
      <c r="BA85" s="220">
        <f t="shared" si="152"/>
        <v>4.91946604768167</v>
      </c>
      <c r="BB85" s="220">
        <f t="shared" si="153"/>
        <v>106.490901159953</v>
      </c>
      <c r="BC85" s="192">
        <f t="shared" si="154"/>
        <v>14.4487028679406</v>
      </c>
      <c r="BD85" s="220">
        <f t="shared" si="155"/>
        <v>19.3323710536313</v>
      </c>
      <c r="BE85" s="192"/>
      <c r="BF85" s="5">
        <f t="shared" si="179"/>
        <v>0.381201126685775</v>
      </c>
      <c r="BG85" s="5">
        <f t="shared" si="156"/>
        <v>0.518669467809889</v>
      </c>
      <c r="BH85" s="5"/>
      <c r="BI85" s="217">
        <f t="shared" si="157"/>
        <v>0.0508600046452766</v>
      </c>
      <c r="BJ85" s="217">
        <f t="shared" si="158"/>
        <v>0.0112869917326068</v>
      </c>
      <c r="BK85" s="217">
        <f t="shared" si="159"/>
        <v>0.000775009594594691</v>
      </c>
      <c r="BL85" s="217">
        <f t="shared" si="160"/>
        <v>0.00182644595284812</v>
      </c>
      <c r="BM85">
        <f t="shared" si="161"/>
        <v>0.00348</v>
      </c>
      <c r="BN85">
        <f t="shared" si="162"/>
        <v>1.08501343243257e-6</v>
      </c>
      <c r="BO85" s="217">
        <f t="shared" si="163"/>
        <v>0.0926219884795469</v>
      </c>
      <c r="BP85" s="220">
        <f t="shared" si="180"/>
        <v>92.6219884795469</v>
      </c>
      <c r="BQ85" s="217">
        <f t="shared" si="164"/>
        <v>0.434815382584675</v>
      </c>
      <c r="BR85" s="217"/>
      <c r="BT85" s="220">
        <f t="shared" si="181"/>
        <v>434.815382584675</v>
      </c>
      <c r="BU85" s="217">
        <f t="shared" si="165"/>
        <v>0.00595788625844669</v>
      </c>
      <c r="BV85" s="217">
        <f t="shared" si="166"/>
        <v>0.0269018016838193</v>
      </c>
      <c r="BW85" s="217">
        <f t="shared" si="167"/>
        <v>0</v>
      </c>
      <c r="BX85" s="217">
        <f t="shared" si="168"/>
        <v>0.0454658889541712</v>
      </c>
      <c r="BY85" s="217">
        <f t="shared" si="169"/>
        <v>0.00558006908108177</v>
      </c>
      <c r="BZ85" s="220">
        <f t="shared" si="182"/>
        <v>51.045958035253</v>
      </c>
      <c r="CA85" s="5">
        <f t="shared" si="183"/>
        <v>0.578483329099475</v>
      </c>
      <c r="CB85" s="192">
        <f t="shared" si="184"/>
        <v>1.56939442905425</v>
      </c>
      <c r="CC85" s="5">
        <f t="shared" si="185"/>
        <v>0.730672135831078</v>
      </c>
      <c r="CD85" s="192">
        <f t="shared" si="186"/>
        <v>73.0672135831078</v>
      </c>
      <c r="CG85" s="227">
        <f t="shared" si="170"/>
        <v>-50</v>
      </c>
      <c r="CH85">
        <f t="shared" si="171"/>
        <v>-50</v>
      </c>
    </row>
    <row r="86" spans="5:86">
      <c r="E86" s="22">
        <v>81</v>
      </c>
      <c r="F86" s="25">
        <f t="shared" si="172"/>
        <v>0.405</v>
      </c>
      <c r="G86" s="25"/>
      <c r="H86" s="25">
        <f t="shared" si="120"/>
        <v>7.29</v>
      </c>
      <c r="I86" s="212">
        <f t="shared" si="121"/>
        <v>12</v>
      </c>
      <c r="J86" s="27">
        <f t="shared" si="122"/>
        <v>2.7647902110493</v>
      </c>
      <c r="K86" s="131">
        <f t="shared" si="123"/>
        <v>24.2728</v>
      </c>
      <c r="L86" s="131"/>
      <c r="M86" s="25">
        <f t="shared" si="124"/>
        <v>0.505619458818101</v>
      </c>
      <c r="N86" s="27">
        <f t="shared" si="125"/>
        <v>4.09551761642662</v>
      </c>
      <c r="O86" s="27">
        <f t="shared" si="173"/>
        <v>1.51677066787851</v>
      </c>
      <c r="P86" s="25">
        <f t="shared" si="126"/>
        <v>0.227528756468145</v>
      </c>
      <c r="Q86" s="25">
        <f t="shared" si="127"/>
        <v>10.112389176362</v>
      </c>
      <c r="R86" s="25">
        <f t="shared" si="128"/>
        <v>0.328241579371665</v>
      </c>
      <c r="S86" s="27">
        <f t="shared" si="129"/>
        <v>3.74511276019385</v>
      </c>
      <c r="T86" s="27">
        <f t="shared" si="130"/>
        <v>3.74511276019385</v>
      </c>
      <c r="U86" s="25">
        <f t="shared" si="131"/>
        <v>1.5</v>
      </c>
      <c r="V86" s="25">
        <f t="shared" si="132"/>
        <v>3.125</v>
      </c>
      <c r="W86" s="25">
        <f t="shared" si="133"/>
        <v>13.5634160776951</v>
      </c>
      <c r="X86" s="24">
        <f t="shared" si="134"/>
        <v>299.609020815508</v>
      </c>
      <c r="Y86" s="131">
        <f t="shared" si="174"/>
        <v>59.9218041631016</v>
      </c>
      <c r="AA86" s="25">
        <f t="shared" si="135"/>
        <v>0.3</v>
      </c>
      <c r="AB86" s="5">
        <f t="shared" si="136"/>
        <v>2.71268321553901</v>
      </c>
      <c r="AC86" s="5">
        <f t="shared" si="137"/>
        <v>0.0813150734171302</v>
      </c>
      <c r="AD86" s="5"/>
      <c r="AE86" s="5">
        <f t="shared" si="138"/>
        <v>2.71268321553901</v>
      </c>
      <c r="AF86" s="216">
        <f t="shared" si="139"/>
        <v>1492.24059366979</v>
      </c>
      <c r="AG86" s="217">
        <f t="shared" si="140"/>
        <v>0.0813150734171303</v>
      </c>
      <c r="AI86" s="5">
        <f t="shared" si="141"/>
        <v>0.652958233989146</v>
      </c>
      <c r="AJ86" s="5">
        <f t="shared" si="142"/>
        <v>1.5</v>
      </c>
      <c r="AK86" s="5">
        <f t="shared" si="143"/>
        <v>2</v>
      </c>
      <c r="AM86" s="216">
        <f t="shared" si="144"/>
        <v>405</v>
      </c>
      <c r="AN86" s="220">
        <f t="shared" si="145"/>
        <v>59.9218041631016</v>
      </c>
      <c r="AP86" t="str">
        <f t="shared" si="146"/>
        <v/>
      </c>
      <c r="AQ86" t="str">
        <f t="shared" si="147"/>
        <v/>
      </c>
      <c r="AS86" s="192">
        <f t="shared" si="175"/>
        <v>16.6884160776951</v>
      </c>
      <c r="AT86" s="192">
        <f t="shared" si="148"/>
        <v>3.125</v>
      </c>
      <c r="AU86" s="192">
        <f t="shared" si="176"/>
        <v>13.5634160776951</v>
      </c>
      <c r="AV86" s="192">
        <f t="shared" si="149"/>
        <v>13.5634160776951</v>
      </c>
      <c r="AW86" s="5">
        <f t="shared" si="177"/>
        <v>0.187255638009693</v>
      </c>
      <c r="AX86" s="5">
        <f t="shared" si="150"/>
        <v>1.68530074208723</v>
      </c>
      <c r="AY86" s="5">
        <f t="shared" si="151"/>
        <v>0.406575367085651</v>
      </c>
      <c r="AZ86" s="5">
        <f t="shared" si="178"/>
        <v>4.14511276019385</v>
      </c>
      <c r="BA86" s="220">
        <f t="shared" si="152"/>
        <v>4.91946604768167</v>
      </c>
      <c r="BB86" s="220">
        <f t="shared" si="153"/>
        <v>109.154625392258</v>
      </c>
      <c r="BC86" s="192">
        <f t="shared" si="154"/>
        <v>15.2588430874069</v>
      </c>
      <c r="BD86" s="220">
        <f t="shared" si="155"/>
        <v>19.4700211696697</v>
      </c>
      <c r="BE86" s="192"/>
      <c r="BF86" s="5">
        <f t="shared" si="179"/>
        <v>0.374755558340726</v>
      </c>
      <c r="BG86" s="5">
        <f t="shared" si="156"/>
        <v>0.520754999828258</v>
      </c>
      <c r="BH86" s="5"/>
      <c r="BI86" s="217">
        <f t="shared" si="157"/>
        <v>0.0491546049775443</v>
      </c>
      <c r="BJ86" s="217">
        <f t="shared" si="158"/>
        <v>0.010908524760676</v>
      </c>
      <c r="BK86" s="217">
        <f t="shared" si="159"/>
        <v>0.00074902255203877</v>
      </c>
      <c r="BL86" s="217">
        <f t="shared" si="160"/>
        <v>0.00176520293207291</v>
      </c>
      <c r="BM86">
        <f t="shared" si="161"/>
        <v>0.00348</v>
      </c>
      <c r="BN86">
        <f t="shared" si="162"/>
        <v>1.04863157285428e-6</v>
      </c>
      <c r="BO86" s="217">
        <f t="shared" si="163"/>
        <v>0.0895479504298906</v>
      </c>
      <c r="BP86" s="220">
        <f t="shared" si="180"/>
        <v>89.5479504298906</v>
      </c>
      <c r="BQ86" s="217">
        <f t="shared" si="164"/>
        <v>0.439492305255861</v>
      </c>
      <c r="BR86" s="217"/>
      <c r="BT86" s="220">
        <f t="shared" si="181"/>
        <v>439.492305255861</v>
      </c>
      <c r="BU86" s="217">
        <f t="shared" si="165"/>
        <v>0.00575811086879805</v>
      </c>
      <c r="BV86" s="217">
        <f t="shared" si="166"/>
        <v>0.0271185769846129</v>
      </c>
      <c r="BW86" s="217">
        <f t="shared" si="167"/>
        <v>0</v>
      </c>
      <c r="BX86" s="217">
        <f t="shared" si="168"/>
        <v>0.0454894726932554</v>
      </c>
      <c r="BY86" s="217">
        <f t="shared" si="169"/>
        <v>0.00539296237467914</v>
      </c>
      <c r="BZ86" s="220">
        <f t="shared" si="182"/>
        <v>50.8824350679345</v>
      </c>
      <c r="CA86" s="5">
        <f t="shared" si="183"/>
        <v>0.579922690753687</v>
      </c>
      <c r="CB86" s="192">
        <f t="shared" si="184"/>
        <v>1.51677066787851</v>
      </c>
      <c r="CC86" s="5">
        <f t="shared" si="185"/>
        <v>0.723410822872064</v>
      </c>
      <c r="CD86" s="192">
        <f t="shared" si="186"/>
        <v>72.3410822872064</v>
      </c>
      <c r="CG86" s="227">
        <f t="shared" si="170"/>
        <v>-50</v>
      </c>
      <c r="CH86">
        <f t="shared" si="171"/>
        <v>-50</v>
      </c>
    </row>
    <row r="87" spans="5:86">
      <c r="E87" s="22">
        <v>82</v>
      </c>
      <c r="F87" s="25">
        <f t="shared" si="172"/>
        <v>0.41</v>
      </c>
      <c r="G87" s="25"/>
      <c r="H87" s="25">
        <f t="shared" si="120"/>
        <v>7.38</v>
      </c>
      <c r="I87" s="212">
        <f t="shared" si="121"/>
        <v>12</v>
      </c>
      <c r="J87" s="27">
        <f t="shared" si="122"/>
        <v>2.65155809094028</v>
      </c>
      <c r="K87" s="131">
        <f t="shared" si="123"/>
        <v>24.2728</v>
      </c>
      <c r="L87" s="131"/>
      <c r="M87" s="25">
        <f t="shared" si="124"/>
        <v>0.505619458818101</v>
      </c>
      <c r="N87" s="27">
        <f t="shared" si="125"/>
        <v>4.09551761642662</v>
      </c>
      <c r="O87" s="27">
        <f t="shared" si="173"/>
        <v>1.46589327928863</v>
      </c>
      <c r="P87" s="25">
        <f t="shared" si="126"/>
        <v>0.227528756468145</v>
      </c>
      <c r="Q87" s="25">
        <f t="shared" si="127"/>
        <v>9.98906735713809</v>
      </c>
      <c r="R87" s="25">
        <f t="shared" si="128"/>
        <v>0.329822773309259</v>
      </c>
      <c r="S87" s="27">
        <f t="shared" si="129"/>
        <v>3.57534946167957</v>
      </c>
      <c r="T87" s="27">
        <f t="shared" si="130"/>
        <v>3.57534946167957</v>
      </c>
      <c r="U87" s="25">
        <f t="shared" si="131"/>
        <v>1.5</v>
      </c>
      <c r="V87" s="25">
        <f t="shared" si="132"/>
        <v>3.125</v>
      </c>
      <c r="W87" s="25">
        <f t="shared" si="133"/>
        <v>14.1426281129304</v>
      </c>
      <c r="X87" s="24">
        <f t="shared" si="134"/>
        <v>289.559166279235</v>
      </c>
      <c r="Y87" s="131">
        <f t="shared" si="174"/>
        <v>57.911833255847</v>
      </c>
      <c r="AA87" s="25">
        <f t="shared" si="135"/>
        <v>0.3</v>
      </c>
      <c r="AB87" s="5">
        <f t="shared" si="136"/>
        <v>2.82852562258608</v>
      </c>
      <c r="AC87" s="5">
        <f t="shared" si="137"/>
        <v>0.0819435033836016</v>
      </c>
      <c r="AD87" s="5"/>
      <c r="AE87" s="5">
        <f t="shared" si="138"/>
        <v>2.82852562258607</v>
      </c>
      <c r="AF87" s="216">
        <f t="shared" si="139"/>
        <v>1448.79402603434</v>
      </c>
      <c r="AG87" s="217">
        <f t="shared" si="140"/>
        <v>0.0819435033836016</v>
      </c>
      <c r="AI87" s="5">
        <f t="shared" si="141"/>
        <v>0.643382584700211</v>
      </c>
      <c r="AJ87" s="5">
        <f t="shared" si="142"/>
        <v>1.5</v>
      </c>
      <c r="AK87" s="5">
        <f t="shared" si="143"/>
        <v>2</v>
      </c>
      <c r="AM87" s="216">
        <f t="shared" si="144"/>
        <v>410</v>
      </c>
      <c r="AN87" s="220">
        <f t="shared" si="145"/>
        <v>57.911833255847</v>
      </c>
      <c r="AP87" t="str">
        <f t="shared" si="146"/>
        <v/>
      </c>
      <c r="AQ87" t="str">
        <f t="shared" si="147"/>
        <v/>
      </c>
      <c r="AS87" s="192">
        <f t="shared" si="175"/>
        <v>17.2676281129304</v>
      </c>
      <c r="AT87" s="192">
        <f t="shared" si="148"/>
        <v>3.125</v>
      </c>
      <c r="AU87" s="192">
        <f t="shared" si="176"/>
        <v>14.1426281129304</v>
      </c>
      <c r="AV87" s="192">
        <f t="shared" si="149"/>
        <v>14.1426281129304</v>
      </c>
      <c r="AW87" s="5">
        <f t="shared" si="177"/>
        <v>0.180974478924522</v>
      </c>
      <c r="AX87" s="5">
        <f t="shared" si="150"/>
        <v>1.6287703103207</v>
      </c>
      <c r="AY87" s="5">
        <f t="shared" si="151"/>
        <v>0.409717516918008</v>
      </c>
      <c r="AZ87" s="5">
        <f t="shared" si="178"/>
        <v>3.97534946167958</v>
      </c>
      <c r="BA87" s="220">
        <f t="shared" si="152"/>
        <v>4.91946604768167</v>
      </c>
      <c r="BB87" s="220">
        <f t="shared" si="153"/>
        <v>111.851253031176</v>
      </c>
      <c r="BC87" s="192">
        <f t="shared" si="154"/>
        <v>16.106882017504</v>
      </c>
      <c r="BD87" s="220">
        <f t="shared" si="155"/>
        <v>19.6031032277867</v>
      </c>
      <c r="BE87" s="192"/>
      <c r="BF87" s="5">
        <f t="shared" si="179"/>
        <v>0.368416692338161</v>
      </c>
      <c r="BG87" s="5">
        <f t="shared" si="156"/>
        <v>0.522763410908139</v>
      </c>
      <c r="BH87" s="5"/>
      <c r="BI87" s="217">
        <f t="shared" si="157"/>
        <v>0.047505800717687</v>
      </c>
      <c r="BJ87" s="217">
        <f t="shared" si="158"/>
        <v>0.0105426175968939</v>
      </c>
      <c r="BK87" s="217">
        <f t="shared" si="159"/>
        <v>0.000723897915698087</v>
      </c>
      <c r="BL87" s="217">
        <f t="shared" si="160"/>
        <v>0.00170599232270591</v>
      </c>
      <c r="BM87">
        <f t="shared" si="161"/>
        <v>0.00348</v>
      </c>
      <c r="BN87">
        <f t="shared" si="162"/>
        <v>1.01345708197732e-6</v>
      </c>
      <c r="BO87" s="217">
        <f t="shared" si="163"/>
        <v>0.0865816888228257</v>
      </c>
      <c r="BP87" s="220">
        <f t="shared" si="180"/>
        <v>86.5816888228257</v>
      </c>
      <c r="BQ87" s="217">
        <f t="shared" si="164"/>
        <v>0.444123578990335</v>
      </c>
      <c r="BR87" s="217"/>
      <c r="BT87" s="220">
        <f t="shared" si="181"/>
        <v>444.123578990335</v>
      </c>
      <c r="BU87" s="217">
        <f t="shared" si="165"/>
        <v>0.00556496522692905</v>
      </c>
      <c r="BV87" s="217">
        <f t="shared" si="166"/>
        <v>0.0273281583784311</v>
      </c>
      <c r="BW87" s="217">
        <f t="shared" si="167"/>
        <v>0</v>
      </c>
      <c r="BX87" s="217">
        <f t="shared" si="168"/>
        <v>0.0455122738433242</v>
      </c>
      <c r="BY87" s="217">
        <f t="shared" si="169"/>
        <v>0.00521206499302623</v>
      </c>
      <c r="BZ87" s="220">
        <f t="shared" si="182"/>
        <v>50.7243388363504</v>
      </c>
      <c r="CA87" s="5">
        <f t="shared" si="183"/>
        <v>0.581429606649511</v>
      </c>
      <c r="CB87" s="192">
        <f t="shared" si="184"/>
        <v>1.46589327928863</v>
      </c>
      <c r="CC87" s="5">
        <f t="shared" si="185"/>
        <v>0.716004929831533</v>
      </c>
      <c r="CD87" s="192">
        <f t="shared" si="186"/>
        <v>71.6004929831533</v>
      </c>
      <c r="CG87" s="227">
        <f t="shared" si="170"/>
        <v>-50</v>
      </c>
      <c r="CH87">
        <f t="shared" si="171"/>
        <v>-50</v>
      </c>
    </row>
    <row r="88" spans="5:86">
      <c r="E88" s="22">
        <v>83</v>
      </c>
      <c r="F88" s="25">
        <f t="shared" si="172"/>
        <v>0.415</v>
      </c>
      <c r="G88" s="25"/>
      <c r="H88" s="25">
        <f t="shared" si="120"/>
        <v>7.47</v>
      </c>
      <c r="I88" s="212">
        <f t="shared" si="121"/>
        <v>12</v>
      </c>
      <c r="J88" s="27">
        <f t="shared" si="122"/>
        <v>2.5438961557044</v>
      </c>
      <c r="K88" s="131">
        <f t="shared" si="123"/>
        <v>24.2728</v>
      </c>
      <c r="L88" s="131"/>
      <c r="M88" s="25">
        <f t="shared" si="124"/>
        <v>0.505619458818101</v>
      </c>
      <c r="N88" s="27">
        <f t="shared" si="125"/>
        <v>4.09551761642662</v>
      </c>
      <c r="O88" s="27">
        <f t="shared" si="173"/>
        <v>1.41678396494352</v>
      </c>
      <c r="P88" s="25">
        <f t="shared" si="126"/>
        <v>0.227528756468145</v>
      </c>
      <c r="Q88" s="25">
        <f t="shared" si="127"/>
        <v>9.86871714801595</v>
      </c>
      <c r="R88" s="25">
        <f t="shared" si="128"/>
        <v>0.331382919199797</v>
      </c>
      <c r="S88" s="27">
        <f t="shared" si="129"/>
        <v>3.41393726492413</v>
      </c>
      <c r="T88" s="27">
        <f t="shared" si="130"/>
        <v>3.41393726492413</v>
      </c>
      <c r="U88" s="25">
        <f t="shared" si="131"/>
        <v>1.5</v>
      </c>
      <c r="V88" s="25">
        <f t="shared" si="132"/>
        <v>3.125</v>
      </c>
      <c r="W88" s="25">
        <f t="shared" si="133"/>
        <v>14.7411677618642</v>
      </c>
      <c r="X88" s="24">
        <f t="shared" si="134"/>
        <v>279.858560976497</v>
      </c>
      <c r="Y88" s="131">
        <f t="shared" si="174"/>
        <v>55.9717121952994</v>
      </c>
      <c r="AA88" s="25">
        <f t="shared" si="135"/>
        <v>0.3</v>
      </c>
      <c r="AB88" s="5">
        <f t="shared" si="136"/>
        <v>2.94823355237284</v>
      </c>
      <c r="AC88" s="5">
        <f t="shared" si="137"/>
        <v>0.0825500943589385</v>
      </c>
      <c r="AD88" s="5"/>
      <c r="AE88" s="5">
        <f t="shared" si="138"/>
        <v>2.94823355237284</v>
      </c>
      <c r="AF88" s="216">
        <f t="shared" si="139"/>
        <v>1406.91907994979</v>
      </c>
      <c r="AG88" s="217">
        <f t="shared" si="140"/>
        <v>0.0825500943589384</v>
      </c>
      <c r="AI88" s="5">
        <f t="shared" si="141"/>
        <v>0.634016466651817</v>
      </c>
      <c r="AJ88" s="5">
        <f t="shared" si="142"/>
        <v>1.5</v>
      </c>
      <c r="AK88" s="5">
        <f t="shared" si="143"/>
        <v>2</v>
      </c>
      <c r="AM88" s="216">
        <f t="shared" si="144"/>
        <v>415</v>
      </c>
      <c r="AN88" s="220">
        <f t="shared" si="145"/>
        <v>55.9717121952994</v>
      </c>
      <c r="AP88" t="str">
        <f t="shared" si="146"/>
        <v/>
      </c>
      <c r="AQ88" t="str">
        <f t="shared" si="147"/>
        <v/>
      </c>
      <c r="AS88" s="192">
        <f t="shared" si="175"/>
        <v>17.8661677618642</v>
      </c>
      <c r="AT88" s="192">
        <f t="shared" si="148"/>
        <v>3.125</v>
      </c>
      <c r="AU88" s="192">
        <f t="shared" si="176"/>
        <v>14.7411677618642</v>
      </c>
      <c r="AV88" s="192">
        <f t="shared" si="149"/>
        <v>14.7411677618642</v>
      </c>
      <c r="AW88" s="5">
        <f t="shared" si="177"/>
        <v>0.174911600610311</v>
      </c>
      <c r="AX88" s="5">
        <f t="shared" si="150"/>
        <v>1.5742044054928</v>
      </c>
      <c r="AY88" s="5">
        <f t="shared" si="151"/>
        <v>0.412750471794692</v>
      </c>
      <c r="AZ88" s="5">
        <f t="shared" si="178"/>
        <v>3.81393726492414</v>
      </c>
      <c r="BA88" s="220">
        <f t="shared" si="152"/>
        <v>4.91946604768167</v>
      </c>
      <c r="BB88" s="220">
        <f t="shared" si="153"/>
        <v>114.580784076706</v>
      </c>
      <c r="BC88" s="192">
        <f t="shared" si="154"/>
        <v>16.9932906143712</v>
      </c>
      <c r="BD88" s="220">
        <f t="shared" si="155"/>
        <v>19.7315604620691</v>
      </c>
      <c r="BE88" s="192"/>
      <c r="BF88" s="5">
        <f t="shared" si="179"/>
        <v>0.362192905035056</v>
      </c>
      <c r="BG88" s="5">
        <f t="shared" si="156"/>
        <v>0.52469473476209</v>
      </c>
      <c r="BH88" s="5"/>
      <c r="BI88" s="217">
        <f t="shared" si="157"/>
        <v>0.0459142951602065</v>
      </c>
      <c r="BJ88" s="217">
        <f t="shared" si="158"/>
        <v>0.0101894263183055</v>
      </c>
      <c r="BK88" s="217">
        <f t="shared" si="159"/>
        <v>0.000699646402441242</v>
      </c>
      <c r="BL88" s="217">
        <f t="shared" si="160"/>
        <v>0.00164883938092643</v>
      </c>
      <c r="BM88">
        <f t="shared" si="161"/>
        <v>0.00348</v>
      </c>
      <c r="BN88">
        <f t="shared" si="162"/>
        <v>9.7950496341774e-7</v>
      </c>
      <c r="BO88" s="217">
        <f t="shared" si="163"/>
        <v>0.0837238667586305</v>
      </c>
      <c r="BP88" s="220">
        <f t="shared" si="180"/>
        <v>83.7238667586305</v>
      </c>
      <c r="BQ88" s="217">
        <f t="shared" si="164"/>
        <v>0.448708636522174</v>
      </c>
      <c r="BR88" s="217"/>
      <c r="BT88" s="220">
        <f t="shared" si="181"/>
        <v>448.708636522174</v>
      </c>
      <c r="BU88" s="217">
        <f t="shared" si="165"/>
        <v>0.00537853171876705</v>
      </c>
      <c r="BV88" s="217">
        <f t="shared" si="166"/>
        <v>0.027530456468706</v>
      </c>
      <c r="BW88" s="217">
        <f t="shared" si="167"/>
        <v>0</v>
      </c>
      <c r="BX88" s="217">
        <f t="shared" si="168"/>
        <v>0.0455342826723599</v>
      </c>
      <c r="BY88" s="217">
        <f t="shared" si="169"/>
        <v>0.00503745409757695</v>
      </c>
      <c r="BZ88" s="220">
        <f t="shared" si="182"/>
        <v>50.5717367699369</v>
      </c>
      <c r="CA88" s="5">
        <f t="shared" si="183"/>
        <v>0.583004240050741</v>
      </c>
      <c r="CB88" s="192">
        <f t="shared" si="184"/>
        <v>1.41678396494352</v>
      </c>
      <c r="CC88" s="5">
        <f t="shared" si="185"/>
        <v>0.708467007358705</v>
      </c>
      <c r="CD88" s="192">
        <f t="shared" si="186"/>
        <v>70.8467007358705</v>
      </c>
      <c r="CG88" s="227">
        <f t="shared" si="170"/>
        <v>-50</v>
      </c>
      <c r="CH88">
        <f t="shared" si="171"/>
        <v>-50</v>
      </c>
    </row>
    <row r="89" spans="5:86">
      <c r="E89" s="22">
        <v>84</v>
      </c>
      <c r="F89" s="25">
        <f t="shared" si="172"/>
        <v>0.42</v>
      </c>
      <c r="G89" s="25"/>
      <c r="H89" s="25">
        <f t="shared" si="120"/>
        <v>7.56</v>
      </c>
      <c r="I89" s="212">
        <f t="shared" si="121"/>
        <v>12</v>
      </c>
      <c r="J89" s="27">
        <f t="shared" si="122"/>
        <v>2.44162779749336</v>
      </c>
      <c r="K89" s="131">
        <f t="shared" si="123"/>
        <v>24.2728</v>
      </c>
      <c r="L89" s="131"/>
      <c r="M89" s="25">
        <f t="shared" si="124"/>
        <v>0.505619458818101</v>
      </c>
      <c r="N89" s="27">
        <f t="shared" si="125"/>
        <v>4.09551761642662</v>
      </c>
      <c r="O89" s="27">
        <f t="shared" si="173"/>
        <v>1.3694567840288</v>
      </c>
      <c r="P89" s="25">
        <f t="shared" si="126"/>
        <v>0.227528756468145</v>
      </c>
      <c r="Q89" s="25">
        <f t="shared" si="127"/>
        <v>9.75123242006337</v>
      </c>
      <c r="R89" s="25">
        <f t="shared" si="128"/>
        <v>0.332922508291071</v>
      </c>
      <c r="S89" s="27">
        <f t="shared" si="129"/>
        <v>3.26061139054477</v>
      </c>
      <c r="T89" s="27">
        <f t="shared" si="130"/>
        <v>3.26061139054477</v>
      </c>
      <c r="U89" s="25">
        <f t="shared" si="131"/>
        <v>1.5</v>
      </c>
      <c r="V89" s="25">
        <f t="shared" si="132"/>
        <v>3.125</v>
      </c>
      <c r="W89" s="25">
        <f t="shared" si="133"/>
        <v>15.3586062701688</v>
      </c>
      <c r="X89" s="24">
        <f t="shared" si="134"/>
        <v>270.509982030381</v>
      </c>
      <c r="Y89" s="131">
        <f t="shared" si="174"/>
        <v>54.1019964060761</v>
      </c>
      <c r="AA89" s="25">
        <f t="shared" si="135"/>
        <v>0.3</v>
      </c>
      <c r="AB89" s="5">
        <f t="shared" si="136"/>
        <v>3.07172125403376</v>
      </c>
      <c r="AC89" s="5">
        <f t="shared" si="137"/>
        <v>0.0831346726861627</v>
      </c>
      <c r="AD89" s="5"/>
      <c r="AE89" s="5">
        <f t="shared" si="138"/>
        <v>3.07172125403376</v>
      </c>
      <c r="AF89" s="216">
        <f t="shared" si="139"/>
        <v>1366.62825247005</v>
      </c>
      <c r="AG89" s="217">
        <f t="shared" si="140"/>
        <v>0.0831346726861628</v>
      </c>
      <c r="AI89" s="5">
        <f t="shared" si="141"/>
        <v>0.62487215891848</v>
      </c>
      <c r="AJ89" s="5">
        <f t="shared" si="142"/>
        <v>1.5</v>
      </c>
      <c r="AK89" s="5">
        <f t="shared" si="143"/>
        <v>2</v>
      </c>
      <c r="AM89" s="216">
        <f t="shared" si="144"/>
        <v>420</v>
      </c>
      <c r="AN89" s="220">
        <f t="shared" si="145"/>
        <v>54.1019964060761</v>
      </c>
      <c r="AP89" t="str">
        <f t="shared" si="146"/>
        <v/>
      </c>
      <c r="AQ89" t="str">
        <f t="shared" si="147"/>
        <v/>
      </c>
      <c r="AS89" s="192">
        <f t="shared" si="175"/>
        <v>18.4836062701688</v>
      </c>
      <c r="AT89" s="192">
        <f t="shared" si="148"/>
        <v>3.125</v>
      </c>
      <c r="AU89" s="192">
        <f t="shared" si="176"/>
        <v>15.3586062701688</v>
      </c>
      <c r="AV89" s="192">
        <f t="shared" si="149"/>
        <v>15.3586062701688</v>
      </c>
      <c r="AW89" s="5">
        <f t="shared" si="177"/>
        <v>0.169068738768988</v>
      </c>
      <c r="AX89" s="5">
        <f t="shared" si="150"/>
        <v>1.52161864892089</v>
      </c>
      <c r="AY89" s="5">
        <f t="shared" si="151"/>
        <v>0.415673363430814</v>
      </c>
      <c r="AZ89" s="5">
        <f t="shared" si="178"/>
        <v>3.66061139054477</v>
      </c>
      <c r="BA89" s="220">
        <f t="shared" si="152"/>
        <v>4.91946604768167</v>
      </c>
      <c r="BB89" s="220">
        <f t="shared" si="153"/>
        <v>117.343218528848</v>
      </c>
      <c r="BC89" s="192">
        <f t="shared" si="154"/>
        <v>17.9183739818636</v>
      </c>
      <c r="BD89" s="220">
        <f t="shared" si="155"/>
        <v>19.855356097332</v>
      </c>
      <c r="BE89" s="192"/>
      <c r="BF89" s="5">
        <f t="shared" si="179"/>
        <v>0.356092058429756</v>
      </c>
      <c r="BG89" s="5">
        <f t="shared" si="156"/>
        <v>0.526549269687418</v>
      </c>
      <c r="BH89" s="5"/>
      <c r="BI89" s="217">
        <f t="shared" si="157"/>
        <v>0.0443805439268593</v>
      </c>
      <c r="BJ89" s="217">
        <f t="shared" si="158"/>
        <v>0.00984905203774054</v>
      </c>
      <c r="BK89" s="217">
        <f t="shared" si="159"/>
        <v>0.000676274955075952</v>
      </c>
      <c r="BL89" s="217">
        <f t="shared" si="160"/>
        <v>0.00159376046867779</v>
      </c>
      <c r="BM89">
        <f t="shared" si="161"/>
        <v>0.00348</v>
      </c>
      <c r="BN89">
        <f t="shared" si="162"/>
        <v>9.46784937106333e-7</v>
      </c>
      <c r="BO89" s="217">
        <f t="shared" si="163"/>
        <v>0.0809747180958199</v>
      </c>
      <c r="BP89" s="220">
        <f t="shared" si="180"/>
        <v>80.9747180958199</v>
      </c>
      <c r="BQ89" s="217">
        <f t="shared" si="164"/>
        <v>0.45324711035427</v>
      </c>
      <c r="BR89" s="217"/>
      <c r="BT89" s="220">
        <f t="shared" si="181"/>
        <v>453.24711035427</v>
      </c>
      <c r="BU89" s="217">
        <f t="shared" si="165"/>
        <v>0.00519886371714638</v>
      </c>
      <c r="BV89" s="217">
        <f t="shared" si="166"/>
        <v>0.0277254133408353</v>
      </c>
      <c r="BW89" s="217">
        <f t="shared" si="167"/>
        <v>0</v>
      </c>
      <c r="BX89" s="217">
        <f t="shared" si="168"/>
        <v>0.0455554928735252</v>
      </c>
      <c r="BY89" s="217">
        <f t="shared" si="169"/>
        <v>0.00486917967654685</v>
      </c>
      <c r="BZ89" s="220">
        <f t="shared" si="182"/>
        <v>50.424672550072</v>
      </c>
      <c r="CA89" s="5">
        <f t="shared" si="183"/>
        <v>0.584646501000162</v>
      </c>
      <c r="CB89" s="192">
        <f t="shared" si="184"/>
        <v>1.3694567840288</v>
      </c>
      <c r="CC89" s="5">
        <f t="shared" si="185"/>
        <v>0.700810849928285</v>
      </c>
      <c r="CD89" s="192">
        <f t="shared" si="186"/>
        <v>70.0810849928285</v>
      </c>
      <c r="CG89" s="227">
        <f t="shared" si="170"/>
        <v>-50</v>
      </c>
      <c r="CH89">
        <f t="shared" si="171"/>
        <v>-50</v>
      </c>
    </row>
    <row r="90" spans="5:86">
      <c r="E90" s="22">
        <v>85</v>
      </c>
      <c r="F90" s="25">
        <f t="shared" si="172"/>
        <v>0.425</v>
      </c>
      <c r="G90" s="25"/>
      <c r="H90" s="25">
        <f t="shared" si="120"/>
        <v>7.65</v>
      </c>
      <c r="I90" s="212">
        <f t="shared" si="121"/>
        <v>12</v>
      </c>
      <c r="J90" s="27">
        <f t="shared" si="122"/>
        <v>2.34457223568473</v>
      </c>
      <c r="K90" s="131">
        <f t="shared" si="123"/>
        <v>24.2728</v>
      </c>
      <c r="L90" s="131"/>
      <c r="M90" s="25">
        <f t="shared" si="124"/>
        <v>0.505619458818101</v>
      </c>
      <c r="N90" s="27">
        <f t="shared" si="125"/>
        <v>4.09551761642662</v>
      </c>
      <c r="O90" s="27">
        <f t="shared" si="173"/>
        <v>1.32391784132835</v>
      </c>
      <c r="P90" s="25">
        <f t="shared" si="126"/>
        <v>0.227528756468145</v>
      </c>
      <c r="Q90" s="25">
        <f t="shared" si="127"/>
        <v>9.63651203865087</v>
      </c>
      <c r="R90" s="25">
        <f t="shared" si="128"/>
        <v>0.334442016661676</v>
      </c>
      <c r="S90" s="27">
        <f t="shared" si="129"/>
        <v>3.11510080312552</v>
      </c>
      <c r="T90" s="27">
        <f t="shared" si="130"/>
        <v>3.11510080312552</v>
      </c>
      <c r="U90" s="25">
        <f t="shared" si="131"/>
        <v>1.5</v>
      </c>
      <c r="V90" s="25">
        <f t="shared" si="132"/>
        <v>3.125</v>
      </c>
      <c r="W90" s="25">
        <f t="shared" si="133"/>
        <v>15.9943888395694</v>
      </c>
      <c r="X90" s="24">
        <f t="shared" si="134"/>
        <v>261.514635324119</v>
      </c>
      <c r="Y90" s="131">
        <f t="shared" si="174"/>
        <v>52.3029270648237</v>
      </c>
      <c r="AA90" s="25">
        <f t="shared" si="135"/>
        <v>0.3</v>
      </c>
      <c r="AB90" s="5">
        <f t="shared" si="136"/>
        <v>3.19887776791387</v>
      </c>
      <c r="AC90" s="5">
        <f t="shared" si="137"/>
        <v>0.0836971629598887</v>
      </c>
      <c r="AD90" s="5"/>
      <c r="AE90" s="5">
        <f t="shared" si="138"/>
        <v>3.19887776791387</v>
      </c>
      <c r="AF90" s="216">
        <f t="shared" si="139"/>
        <v>1327.92697006965</v>
      </c>
      <c r="AG90" s="217">
        <f t="shared" si="140"/>
        <v>0.0836971629598887</v>
      </c>
      <c r="AI90" s="5">
        <f t="shared" si="141"/>
        <v>0.615960798861571</v>
      </c>
      <c r="AJ90" s="5">
        <f t="shared" si="142"/>
        <v>1.5</v>
      </c>
      <c r="AK90" s="5">
        <f t="shared" si="143"/>
        <v>2</v>
      </c>
      <c r="AM90" s="216">
        <f t="shared" si="144"/>
        <v>425</v>
      </c>
      <c r="AN90" s="220">
        <f t="shared" si="145"/>
        <v>52.3029270648237</v>
      </c>
      <c r="AP90" t="str">
        <f t="shared" si="146"/>
        <v/>
      </c>
      <c r="AQ90" t="str">
        <f t="shared" si="147"/>
        <v/>
      </c>
      <c r="AS90" s="192">
        <f t="shared" si="175"/>
        <v>19.1193888395694</v>
      </c>
      <c r="AT90" s="192">
        <f t="shared" si="148"/>
        <v>3.125</v>
      </c>
      <c r="AU90" s="192">
        <f t="shared" si="176"/>
        <v>15.9943888395694</v>
      </c>
      <c r="AV90" s="192">
        <f t="shared" si="149"/>
        <v>15.9943888395694</v>
      </c>
      <c r="AW90" s="5">
        <f t="shared" si="177"/>
        <v>0.163446647077574</v>
      </c>
      <c r="AX90" s="5">
        <f t="shared" si="150"/>
        <v>1.47101982369817</v>
      </c>
      <c r="AY90" s="5">
        <f t="shared" si="151"/>
        <v>0.418485814799444</v>
      </c>
      <c r="AZ90" s="5">
        <f t="shared" si="178"/>
        <v>3.51510080312553</v>
      </c>
      <c r="BA90" s="220">
        <f t="shared" si="152"/>
        <v>4.91946604768167</v>
      </c>
      <c r="BB90" s="220">
        <f t="shared" si="153"/>
        <v>120.138556387603</v>
      </c>
      <c r="BC90" s="192">
        <f t="shared" si="154"/>
        <v>18.8822646022694</v>
      </c>
      <c r="BD90" s="220">
        <f t="shared" si="155"/>
        <v>19.9744741650439</v>
      </c>
      <c r="BE90" s="192"/>
      <c r="BF90" s="5">
        <f t="shared" si="179"/>
        <v>0.350121386533557</v>
      </c>
      <c r="BG90" s="5">
        <f t="shared" si="156"/>
        <v>0.52832758632427</v>
      </c>
      <c r="BH90" s="5"/>
      <c r="BI90" s="217">
        <f t="shared" si="157"/>
        <v>0.0429047448578632</v>
      </c>
      <c r="BJ90" s="217">
        <f t="shared" si="158"/>
        <v>0.00952153866044289</v>
      </c>
      <c r="BK90" s="217">
        <f t="shared" si="159"/>
        <v>0.000653786588310296</v>
      </c>
      <c r="BL90" s="217">
        <f t="shared" si="160"/>
        <v>0.00154076269064799</v>
      </c>
      <c r="BM90">
        <f t="shared" si="161"/>
        <v>0.00348</v>
      </c>
      <c r="BN90">
        <f t="shared" si="162"/>
        <v>9.15301223634415e-7</v>
      </c>
      <c r="BO90" s="217">
        <f t="shared" si="163"/>
        <v>0.0783340337493064</v>
      </c>
      <c r="BP90" s="220">
        <f t="shared" si="180"/>
        <v>78.3340337493064</v>
      </c>
      <c r="BQ90" s="217">
        <f t="shared" si="164"/>
        <v>0.457738840911918</v>
      </c>
      <c r="BR90" s="217"/>
      <c r="BT90" s="220">
        <f t="shared" si="181"/>
        <v>457.738840911918</v>
      </c>
      <c r="BU90" s="217">
        <f t="shared" si="165"/>
        <v>0.0050259843976354</v>
      </c>
      <c r="BV90" s="217">
        <f t="shared" si="166"/>
        <v>0.0279130038471229</v>
      </c>
      <c r="BW90" s="217">
        <f t="shared" si="167"/>
        <v>0</v>
      </c>
      <c r="BX90" s="217">
        <f t="shared" si="168"/>
        <v>0.0455759017050069</v>
      </c>
      <c r="BY90" s="217">
        <f t="shared" si="169"/>
        <v>0.00470726343583413</v>
      </c>
      <c r="BZ90" s="220">
        <f t="shared" si="182"/>
        <v>50.283165140841</v>
      </c>
      <c r="CA90" s="5">
        <f t="shared" si="183"/>
        <v>0.586356039802066</v>
      </c>
      <c r="CB90" s="192">
        <f t="shared" si="184"/>
        <v>1.32391784132835</v>
      </c>
      <c r="CC90" s="5">
        <f t="shared" si="185"/>
        <v>0.693051323376161</v>
      </c>
      <c r="CD90" s="192">
        <f t="shared" si="186"/>
        <v>69.3051323376161</v>
      </c>
      <c r="CG90" s="227">
        <f t="shared" si="170"/>
        <v>-50</v>
      </c>
      <c r="CH90">
        <f t="shared" si="171"/>
        <v>-50</v>
      </c>
    </row>
    <row r="91" spans="5:86">
      <c r="E91" s="22">
        <v>86</v>
      </c>
      <c r="F91" s="25">
        <f t="shared" si="172"/>
        <v>0.43</v>
      </c>
      <c r="G91" s="25"/>
      <c r="H91" s="25">
        <f t="shared" si="120"/>
        <v>7.74</v>
      </c>
      <c r="I91" s="212">
        <f t="shared" si="121"/>
        <v>12</v>
      </c>
      <c r="J91" s="27">
        <f t="shared" si="122"/>
        <v>2.2525445467421</v>
      </c>
      <c r="K91" s="131">
        <f t="shared" si="123"/>
        <v>24.2728</v>
      </c>
      <c r="L91" s="131"/>
      <c r="M91" s="25">
        <f t="shared" si="124"/>
        <v>0.505619458818101</v>
      </c>
      <c r="N91" s="27">
        <f t="shared" si="125"/>
        <v>4.09551761642662</v>
      </c>
      <c r="O91" s="27">
        <f t="shared" si="173"/>
        <v>1.28016515007361</v>
      </c>
      <c r="P91" s="25">
        <f t="shared" si="126"/>
        <v>0.227528756468145</v>
      </c>
      <c r="Q91" s="25">
        <f t="shared" si="127"/>
        <v>9.52445957308516</v>
      </c>
      <c r="R91" s="25">
        <f t="shared" si="128"/>
        <v>0.335941905802041</v>
      </c>
      <c r="S91" s="27">
        <f t="shared" si="129"/>
        <v>2.97712825598515</v>
      </c>
      <c r="T91" s="27">
        <f t="shared" si="130"/>
        <v>2.97712825598515</v>
      </c>
      <c r="U91" s="25">
        <f t="shared" si="131"/>
        <v>1.5</v>
      </c>
      <c r="V91" s="25">
        <f t="shared" si="132"/>
        <v>3.125</v>
      </c>
      <c r="W91" s="25">
        <f t="shared" si="133"/>
        <v>16.647839464146</v>
      </c>
      <c r="X91" s="24">
        <f t="shared" si="134"/>
        <v>252.872128409603</v>
      </c>
      <c r="Y91" s="131">
        <f t="shared" si="174"/>
        <v>50.5744256819207</v>
      </c>
      <c r="AA91" s="25">
        <f t="shared" si="135"/>
        <v>0.3</v>
      </c>
      <c r="AB91" s="5">
        <f t="shared" si="136"/>
        <v>3.3295678928292</v>
      </c>
      <c r="AC91" s="5">
        <f t="shared" si="137"/>
        <v>0.084237589720387</v>
      </c>
      <c r="AD91" s="5"/>
      <c r="AE91" s="5">
        <f t="shared" si="138"/>
        <v>3.3295678928292</v>
      </c>
      <c r="AF91" s="216">
        <f t="shared" si="139"/>
        <v>1290.8134667321</v>
      </c>
      <c r="AG91" s="217">
        <f t="shared" si="140"/>
        <v>0.084237589720387</v>
      </c>
      <c r="AI91" s="5">
        <f t="shared" si="141"/>
        <v>0.607292225899315</v>
      </c>
      <c r="AJ91" s="5">
        <f t="shared" si="142"/>
        <v>1.5</v>
      </c>
      <c r="AK91" s="5">
        <f t="shared" si="143"/>
        <v>2</v>
      </c>
      <c r="AM91" s="216">
        <f t="shared" si="144"/>
        <v>430</v>
      </c>
      <c r="AN91" s="220">
        <f t="shared" si="145"/>
        <v>50.5744256819207</v>
      </c>
      <c r="AP91" t="str">
        <f t="shared" si="146"/>
        <v/>
      </c>
      <c r="AQ91" t="str">
        <f t="shared" si="147"/>
        <v/>
      </c>
      <c r="AS91" s="192">
        <f t="shared" si="175"/>
        <v>19.772839464146</v>
      </c>
      <c r="AT91" s="192">
        <f t="shared" si="148"/>
        <v>3.125</v>
      </c>
      <c r="AU91" s="192">
        <f t="shared" si="176"/>
        <v>16.647839464146</v>
      </c>
      <c r="AV91" s="192">
        <f t="shared" si="149"/>
        <v>16.647839464146</v>
      </c>
      <c r="AW91" s="5">
        <f t="shared" si="177"/>
        <v>0.158045080256002</v>
      </c>
      <c r="AX91" s="5">
        <f t="shared" si="150"/>
        <v>1.42240572230402</v>
      </c>
      <c r="AY91" s="5">
        <f t="shared" si="151"/>
        <v>0.421187948601935</v>
      </c>
      <c r="AZ91" s="5">
        <f t="shared" si="178"/>
        <v>3.37712825598516</v>
      </c>
      <c r="BA91" s="220">
        <f t="shared" si="152"/>
        <v>4.91946604768167</v>
      </c>
      <c r="BB91" s="220">
        <f t="shared" si="153"/>
        <v>122.966797652971</v>
      </c>
      <c r="BC91" s="192">
        <f t="shared" si="154"/>
        <v>19.8849193599522</v>
      </c>
      <c r="BD91" s="220">
        <f t="shared" si="155"/>
        <v>20.0889198620759</v>
      </c>
      <c r="BE91" s="192"/>
      <c r="BF91" s="5">
        <f t="shared" si="179"/>
        <v>0.344287394761995</v>
      </c>
      <c r="BG91" s="5">
        <f t="shared" si="156"/>
        <v>0.530030529042895</v>
      </c>
      <c r="BH91" s="5"/>
      <c r="BI91" s="217">
        <f t="shared" si="157"/>
        <v>0.0414868335672005</v>
      </c>
      <c r="BJ91" s="217">
        <f t="shared" si="158"/>
        <v>0.00920687189769093</v>
      </c>
      <c r="BK91" s="217">
        <f t="shared" si="159"/>
        <v>0.000632180321024008</v>
      </c>
      <c r="BL91" s="217">
        <f t="shared" si="160"/>
        <v>0.00148984373465515</v>
      </c>
      <c r="BM91">
        <f t="shared" si="161"/>
        <v>0.00348</v>
      </c>
      <c r="BN91">
        <f t="shared" si="162"/>
        <v>8.85052449433612e-7</v>
      </c>
      <c r="BO91" s="217">
        <f t="shared" si="163"/>
        <v>0.0758011578082308</v>
      </c>
      <c r="BP91" s="220">
        <f t="shared" si="180"/>
        <v>75.8011578082308</v>
      </c>
      <c r="BQ91" s="217">
        <f t="shared" si="164"/>
        <v>0.462183880127834</v>
      </c>
      <c r="BR91" s="217"/>
      <c r="BT91" s="220">
        <f t="shared" si="181"/>
        <v>462.183880127834</v>
      </c>
      <c r="BU91" s="217">
        <f t="shared" si="165"/>
        <v>0.00485988621787206</v>
      </c>
      <c r="BV91" s="217">
        <f t="shared" si="166"/>
        <v>0.0280932361717491</v>
      </c>
      <c r="BW91" s="217">
        <f t="shared" si="167"/>
        <v>0</v>
      </c>
      <c r="BX91" s="217">
        <f t="shared" si="168"/>
        <v>0.0455955100515288</v>
      </c>
      <c r="BY91" s="217">
        <f t="shared" si="169"/>
        <v>0.00455169831137286</v>
      </c>
      <c r="BZ91" s="220">
        <f t="shared" si="182"/>
        <v>50.1472083629017</v>
      </c>
      <c r="CA91" s="5">
        <f t="shared" si="183"/>
        <v>0.588132246298966</v>
      </c>
      <c r="CB91" s="192">
        <f t="shared" si="184"/>
        <v>1.28016515007361</v>
      </c>
      <c r="CC91" s="5">
        <f t="shared" si="185"/>
        <v>0.685204161050128</v>
      </c>
      <c r="CD91" s="192">
        <f t="shared" si="186"/>
        <v>68.5204161050128</v>
      </c>
      <c r="CG91" s="227">
        <f t="shared" si="170"/>
        <v>-50</v>
      </c>
      <c r="CH91">
        <f t="shared" si="171"/>
        <v>-50</v>
      </c>
    </row>
    <row r="92" spans="5:86">
      <c r="E92" s="22">
        <v>87</v>
      </c>
      <c r="F92" s="25">
        <f t="shared" si="172"/>
        <v>0.435</v>
      </c>
      <c r="G92" s="25"/>
      <c r="H92" s="25">
        <f t="shared" si="120"/>
        <v>7.83</v>
      </c>
      <c r="I92" s="212">
        <f t="shared" si="121"/>
        <v>12</v>
      </c>
      <c r="J92" s="27">
        <f t="shared" si="122"/>
        <v>2.16535597092795</v>
      </c>
      <c r="K92" s="131">
        <f t="shared" si="123"/>
        <v>24.2728</v>
      </c>
      <c r="L92" s="131"/>
      <c r="M92" s="25">
        <f t="shared" si="124"/>
        <v>0.505619458818101</v>
      </c>
      <c r="N92" s="27">
        <f t="shared" si="125"/>
        <v>4.09551761642662</v>
      </c>
      <c r="O92" s="27">
        <f t="shared" si="173"/>
        <v>1.23818867669214</v>
      </c>
      <c r="P92" s="25">
        <f t="shared" si="126"/>
        <v>0.227528756468145</v>
      </c>
      <c r="Q92" s="25">
        <f t="shared" si="127"/>
        <v>9.41498302626809</v>
      </c>
      <c r="R92" s="25">
        <f t="shared" si="128"/>
        <v>0.337422623168945</v>
      </c>
      <c r="S92" s="27">
        <f t="shared" si="129"/>
        <v>2.84641075101641</v>
      </c>
      <c r="T92" s="27">
        <f t="shared" si="130"/>
        <v>2.84641075101641</v>
      </c>
      <c r="U92" s="25">
        <f t="shared" si="131"/>
        <v>1.5</v>
      </c>
      <c r="V92" s="25">
        <f t="shared" si="132"/>
        <v>3.125</v>
      </c>
      <c r="W92" s="25">
        <f t="shared" si="133"/>
        <v>17.3181686999619</v>
      </c>
      <c r="X92" s="24">
        <f t="shared" si="134"/>
        <v>244.580479346596</v>
      </c>
      <c r="Y92" s="131">
        <f t="shared" si="174"/>
        <v>48.9160958693191</v>
      </c>
      <c r="AA92" s="25">
        <f t="shared" si="135"/>
        <v>0.3</v>
      </c>
      <c r="AB92" s="5">
        <f t="shared" si="136"/>
        <v>3.46363373999238</v>
      </c>
      <c r="AC92" s="5">
        <f t="shared" si="137"/>
        <v>0.0847560769008582</v>
      </c>
      <c r="AD92" s="5"/>
      <c r="AE92" s="5">
        <f t="shared" si="138"/>
        <v>3.46363373999238</v>
      </c>
      <c r="AF92" s="216">
        <f t="shared" si="139"/>
        <v>1255.27882372635</v>
      </c>
      <c r="AG92" s="217">
        <f t="shared" si="140"/>
        <v>0.0847560769008582</v>
      </c>
      <c r="AI92" s="5">
        <f t="shared" si="141"/>
        <v>0.598874855452491</v>
      </c>
      <c r="AJ92" s="5">
        <f t="shared" si="142"/>
        <v>1.5</v>
      </c>
      <c r="AK92" s="5">
        <f t="shared" si="143"/>
        <v>2</v>
      </c>
      <c r="AM92" s="216">
        <f t="shared" si="144"/>
        <v>435</v>
      </c>
      <c r="AN92" s="220">
        <f t="shared" si="145"/>
        <v>48.9160958693191</v>
      </c>
      <c r="AP92" t="str">
        <f t="shared" si="146"/>
        <v/>
      </c>
      <c r="AQ92" t="str">
        <f t="shared" si="147"/>
        <v/>
      </c>
      <c r="AS92" s="192">
        <f t="shared" si="175"/>
        <v>20.4431686999619</v>
      </c>
      <c r="AT92" s="192">
        <f t="shared" si="148"/>
        <v>3.125</v>
      </c>
      <c r="AU92" s="192">
        <f t="shared" si="176"/>
        <v>17.3181686999619</v>
      </c>
      <c r="AV92" s="192">
        <f t="shared" si="149"/>
        <v>17.3181686999619</v>
      </c>
      <c r="AW92" s="5">
        <f t="shared" si="177"/>
        <v>0.152862799591622</v>
      </c>
      <c r="AX92" s="5">
        <f t="shared" si="150"/>
        <v>1.3757651963246</v>
      </c>
      <c r="AY92" s="5">
        <f t="shared" si="151"/>
        <v>0.423780384504291</v>
      </c>
      <c r="AZ92" s="5">
        <f t="shared" si="178"/>
        <v>3.24641075101642</v>
      </c>
      <c r="BA92" s="220">
        <f t="shared" si="152"/>
        <v>4.91946604768167</v>
      </c>
      <c r="BB92" s="220">
        <f t="shared" si="153"/>
        <v>125.827942324951</v>
      </c>
      <c r="BC92" s="192">
        <f t="shared" si="154"/>
        <v>20.9261205124539</v>
      </c>
      <c r="BD92" s="220">
        <f t="shared" si="155"/>
        <v>20.1987194336525</v>
      </c>
      <c r="BE92" s="192"/>
      <c r="BF92" s="5">
        <f t="shared" si="179"/>
        <v>0.33859577624908</v>
      </c>
      <c r="BG92" s="5">
        <f t="shared" si="156"/>
        <v>0.531659210833747</v>
      </c>
      <c r="BH92" s="5"/>
      <c r="BI92" s="217">
        <f t="shared" si="157"/>
        <v>0.0401264848928009</v>
      </c>
      <c r="BJ92" s="217">
        <f t="shared" si="158"/>
        <v>0.00890497958862607</v>
      </c>
      <c r="BK92" s="217">
        <f t="shared" si="159"/>
        <v>0.000611451198366489</v>
      </c>
      <c r="BL92" s="217">
        <f t="shared" si="160"/>
        <v>0.00144099192372535</v>
      </c>
      <c r="BM92">
        <f t="shared" si="161"/>
        <v>0.00348</v>
      </c>
      <c r="BN92">
        <f t="shared" si="162"/>
        <v>8.56031677713085e-7</v>
      </c>
      <c r="BO92" s="217">
        <f t="shared" si="163"/>
        <v>0.0733749937521658</v>
      </c>
      <c r="BP92" s="220">
        <f t="shared" si="180"/>
        <v>73.3749937521658</v>
      </c>
      <c r="BQ92" s="217">
        <f t="shared" si="164"/>
        <v>0.466582490272461</v>
      </c>
      <c r="BR92" s="217"/>
      <c r="BT92" s="220">
        <f t="shared" si="181"/>
        <v>466.582490272461</v>
      </c>
      <c r="BU92" s="217">
        <f t="shared" si="165"/>
        <v>0.00470053108744239</v>
      </c>
      <c r="BV92" s="217">
        <f t="shared" si="166"/>
        <v>0.0282661516464362</v>
      </c>
      <c r="BW92" s="217">
        <f t="shared" si="167"/>
        <v>0</v>
      </c>
      <c r="BX92" s="217">
        <f t="shared" si="168"/>
        <v>0.0456143224043384</v>
      </c>
      <c r="BY92" s="217">
        <f t="shared" si="169"/>
        <v>0.00440244862823872</v>
      </c>
      <c r="BZ92" s="220">
        <f t="shared" si="182"/>
        <v>50.0167710325772</v>
      </c>
      <c r="CA92" s="5">
        <f t="shared" si="183"/>
        <v>0.589974255057204</v>
      </c>
      <c r="CB92" s="192">
        <f t="shared" si="184"/>
        <v>1.23818867669214</v>
      </c>
      <c r="CC92" s="5">
        <f t="shared" si="185"/>
        <v>0.677285735964099</v>
      </c>
      <c r="CD92" s="192">
        <f t="shared" si="186"/>
        <v>67.7285735964099</v>
      </c>
      <c r="CG92" s="227">
        <f t="shared" si="170"/>
        <v>-50</v>
      </c>
      <c r="CH92">
        <f t="shared" si="171"/>
        <v>-50</v>
      </c>
    </row>
    <row r="93" spans="5:86">
      <c r="E93" s="22">
        <v>88</v>
      </c>
      <c r="F93" s="25">
        <f t="shared" si="172"/>
        <v>0.44</v>
      </c>
      <c r="G93" s="25"/>
      <c r="H93" s="25">
        <f t="shared" si="120"/>
        <v>7.92</v>
      </c>
      <c r="I93" s="212">
        <f t="shared" si="121"/>
        <v>12</v>
      </c>
      <c r="J93" s="27">
        <f t="shared" si="122"/>
        <v>2.08281447031205</v>
      </c>
      <c r="K93" s="131">
        <f t="shared" si="123"/>
        <v>24.2728</v>
      </c>
      <c r="L93" s="131"/>
      <c r="M93" s="25">
        <f t="shared" si="124"/>
        <v>0.505619458818101</v>
      </c>
      <c r="N93" s="27">
        <f t="shared" si="125"/>
        <v>4.09551761642662</v>
      </c>
      <c r="O93" s="27">
        <f t="shared" si="173"/>
        <v>1.19797056512339</v>
      </c>
      <c r="P93" s="25">
        <f t="shared" si="126"/>
        <v>0.227528756468145</v>
      </c>
      <c r="Q93" s="25">
        <f t="shared" si="127"/>
        <v>9.30799458278777</v>
      </c>
      <c r="R93" s="25">
        <f t="shared" si="128"/>
        <v>0.33888460271494</v>
      </c>
      <c r="S93" s="27">
        <f t="shared" si="129"/>
        <v>2.72266037528044</v>
      </c>
      <c r="T93" s="27">
        <f t="shared" si="130"/>
        <v>2.72266037528044</v>
      </c>
      <c r="U93" s="25">
        <f t="shared" si="131"/>
        <v>1.5</v>
      </c>
      <c r="V93" s="25">
        <f t="shared" si="132"/>
        <v>3.125</v>
      </c>
      <c r="W93" s="25">
        <f t="shared" si="133"/>
        <v>18.0044840932864</v>
      </c>
      <c r="X93" s="24">
        <f t="shared" si="134"/>
        <v>236.636161012028</v>
      </c>
      <c r="Y93" s="131">
        <f t="shared" si="174"/>
        <v>47.3272322024056</v>
      </c>
      <c r="AA93" s="25">
        <f t="shared" si="135"/>
        <v>0.3</v>
      </c>
      <c r="AB93" s="5">
        <f t="shared" si="136"/>
        <v>3.60089681865727</v>
      </c>
      <c r="AC93" s="5">
        <f t="shared" si="137"/>
        <v>0.0852528450567166</v>
      </c>
      <c r="AD93" s="5"/>
      <c r="AE93" s="5">
        <f t="shared" si="138"/>
        <v>3.60089681865728</v>
      </c>
      <c r="AF93" s="216">
        <f t="shared" si="139"/>
        <v>1221.30716899857</v>
      </c>
      <c r="AG93" s="217">
        <f t="shared" si="140"/>
        <v>0.0852528450567166</v>
      </c>
      <c r="AI93" s="5">
        <f t="shared" si="141"/>
        <v>0.590715587595387</v>
      </c>
      <c r="AJ93" s="5">
        <f t="shared" si="142"/>
        <v>1.5</v>
      </c>
      <c r="AK93" s="5">
        <f t="shared" si="143"/>
        <v>2</v>
      </c>
      <c r="AM93" s="216">
        <f t="shared" si="144"/>
        <v>440</v>
      </c>
      <c r="AN93" s="220">
        <f t="shared" si="145"/>
        <v>47.3272322024056</v>
      </c>
      <c r="AP93" t="str">
        <f t="shared" si="146"/>
        <v/>
      </c>
      <c r="AQ93" t="str">
        <f t="shared" si="147"/>
        <v/>
      </c>
      <c r="AS93" s="192">
        <f t="shared" si="175"/>
        <v>21.1294840932864</v>
      </c>
      <c r="AT93" s="192">
        <f t="shared" si="148"/>
        <v>3.125</v>
      </c>
      <c r="AU93" s="192">
        <f t="shared" si="176"/>
        <v>18.0044840932864</v>
      </c>
      <c r="AV93" s="192">
        <f t="shared" si="149"/>
        <v>18.0044840932864</v>
      </c>
      <c r="AW93" s="5">
        <f t="shared" si="177"/>
        <v>0.147897600632518</v>
      </c>
      <c r="AX93" s="5">
        <f t="shared" si="150"/>
        <v>1.33107840569266</v>
      </c>
      <c r="AY93" s="5">
        <f t="shared" si="151"/>
        <v>0.426264225283583</v>
      </c>
      <c r="AZ93" s="5">
        <f t="shared" si="178"/>
        <v>3.12266037528043</v>
      </c>
      <c r="BA93" s="220">
        <f t="shared" si="152"/>
        <v>4.91946604768167</v>
      </c>
      <c r="BB93" s="220">
        <f t="shared" si="153"/>
        <v>128.721990403543</v>
      </c>
      <c r="BC93" s="192">
        <f t="shared" si="154"/>
        <v>22.0054805584611</v>
      </c>
      <c r="BD93" s="220">
        <f t="shared" si="155"/>
        <v>20.3039195865985</v>
      </c>
      <c r="BE93" s="192"/>
      <c r="BF93" s="5">
        <f t="shared" si="179"/>
        <v>0.333051348104745</v>
      </c>
      <c r="BG93" s="5">
        <f t="shared" si="156"/>
        <v>0.533215001912127</v>
      </c>
      <c r="BH93" s="5"/>
      <c r="BI93" s="217">
        <f t="shared" si="157"/>
        <v>0.0388231201660358</v>
      </c>
      <c r="BJ93" s="217">
        <f t="shared" si="158"/>
        <v>0.00861573331351913</v>
      </c>
      <c r="BK93" s="217">
        <f t="shared" si="159"/>
        <v>0.00059159040253007</v>
      </c>
      <c r="BL93" s="217">
        <f t="shared" si="160"/>
        <v>0.00139418647714925</v>
      </c>
      <c r="BM93">
        <f t="shared" si="161"/>
        <v>0.00348</v>
      </c>
      <c r="BN93">
        <f t="shared" si="162"/>
        <v>8.28226563542098e-7</v>
      </c>
      <c r="BO93" s="217">
        <f t="shared" si="163"/>
        <v>0.0710540205187733</v>
      </c>
      <c r="BP93" s="220">
        <f t="shared" si="180"/>
        <v>71.0540205187733</v>
      </c>
      <c r="BQ93" s="217">
        <f t="shared" si="164"/>
        <v>0.470935138090516</v>
      </c>
      <c r="BR93" s="217"/>
      <c r="BT93" s="220">
        <f t="shared" si="181"/>
        <v>470.935138090516</v>
      </c>
      <c r="BU93" s="217">
        <f t="shared" si="165"/>
        <v>0.00454785121944991</v>
      </c>
      <c r="BV93" s="217">
        <f t="shared" si="166"/>
        <v>0.028431823826415</v>
      </c>
      <c r="BW93" s="217">
        <f t="shared" si="167"/>
        <v>0</v>
      </c>
      <c r="BX93" s="217">
        <f t="shared" si="168"/>
        <v>0.0456323467607135</v>
      </c>
      <c r="BY93" s="217">
        <f t="shared" si="169"/>
        <v>0.0042594508982165</v>
      </c>
      <c r="BZ93" s="220">
        <f t="shared" si="182"/>
        <v>49.89179765893</v>
      </c>
      <c r="CA93" s="5">
        <f t="shared" si="183"/>
        <v>0.59188095626822</v>
      </c>
      <c r="CB93" s="192">
        <f t="shared" si="184"/>
        <v>1.19797056512339</v>
      </c>
      <c r="CC93" s="5">
        <f t="shared" si="185"/>
        <v>0.66931281774254</v>
      </c>
      <c r="CD93" s="192">
        <f t="shared" si="186"/>
        <v>66.931281774254</v>
      </c>
      <c r="CG93" s="227">
        <f t="shared" si="170"/>
        <v>-50</v>
      </c>
      <c r="CH93">
        <f t="shared" si="171"/>
        <v>-50</v>
      </c>
    </row>
    <row r="94" spans="5:86">
      <c r="E94" s="22">
        <v>89</v>
      </c>
      <c r="F94" s="25">
        <f t="shared" si="172"/>
        <v>0.445</v>
      </c>
      <c r="G94" s="25"/>
      <c r="H94" s="25">
        <f t="shared" si="120"/>
        <v>8.01</v>
      </c>
      <c r="I94" s="212">
        <f t="shared" si="121"/>
        <v>12</v>
      </c>
      <c r="J94" s="27">
        <f t="shared" si="122"/>
        <v>2.00472550097153</v>
      </c>
      <c r="K94" s="131">
        <f t="shared" si="123"/>
        <v>24.2728</v>
      </c>
      <c r="L94" s="131"/>
      <c r="M94" s="25">
        <f t="shared" si="124"/>
        <v>0.505619458818101</v>
      </c>
      <c r="N94" s="27">
        <f t="shared" si="125"/>
        <v>4.09551761642662</v>
      </c>
      <c r="O94" s="27">
        <f t="shared" si="173"/>
        <v>1.15948552913393</v>
      </c>
      <c r="P94" s="25">
        <f t="shared" si="126"/>
        <v>0.227528756468145</v>
      </c>
      <c r="Q94" s="25">
        <f t="shared" si="127"/>
        <v>9.2034103739924</v>
      </c>
      <c r="R94" s="25">
        <f t="shared" si="128"/>
        <v>0.340328265393979</v>
      </c>
      <c r="S94" s="27">
        <f t="shared" si="129"/>
        <v>2.60558545872793</v>
      </c>
      <c r="T94" s="27">
        <f t="shared" si="130"/>
        <v>2.60558545872793</v>
      </c>
      <c r="U94" s="25">
        <f t="shared" si="131"/>
        <v>1.5</v>
      </c>
      <c r="V94" s="25">
        <f t="shared" si="132"/>
        <v>3.125</v>
      </c>
      <c r="W94" s="25">
        <f t="shared" si="133"/>
        <v>18.7058028552172</v>
      </c>
      <c r="X94" s="24">
        <f t="shared" si="134"/>
        <v>229.034178594356</v>
      </c>
      <c r="Y94" s="131">
        <f t="shared" si="174"/>
        <v>45.8068357188712</v>
      </c>
      <c r="AA94" s="25">
        <f t="shared" si="135"/>
        <v>0.3</v>
      </c>
      <c r="AB94" s="5">
        <f t="shared" si="136"/>
        <v>3.74116057104344</v>
      </c>
      <c r="AC94" s="5">
        <f t="shared" si="137"/>
        <v>0.0857282065197716</v>
      </c>
      <c r="AD94" s="5"/>
      <c r="AE94" s="5">
        <f t="shared" si="138"/>
        <v>3.74116057104344</v>
      </c>
      <c r="AF94" s="216">
        <f t="shared" si="139"/>
        <v>1188.87602589683</v>
      </c>
      <c r="AG94" s="217">
        <f t="shared" si="140"/>
        <v>0.0857282065197717</v>
      </c>
      <c r="AI94" s="5">
        <f t="shared" si="141"/>
        <v>0.582819753047158</v>
      </c>
      <c r="AJ94" s="5">
        <f t="shared" si="142"/>
        <v>1.5</v>
      </c>
      <c r="AK94" s="5">
        <f t="shared" si="143"/>
        <v>2</v>
      </c>
      <c r="AM94" s="216">
        <f t="shared" si="144"/>
        <v>445</v>
      </c>
      <c r="AN94" s="220">
        <f t="shared" si="145"/>
        <v>45.8068357188712</v>
      </c>
      <c r="AP94" t="str">
        <f t="shared" si="146"/>
        <v/>
      </c>
      <c r="AQ94" t="str">
        <f t="shared" si="147"/>
        <v/>
      </c>
      <c r="AS94" s="192">
        <f t="shared" si="175"/>
        <v>21.8308028552172</v>
      </c>
      <c r="AT94" s="192">
        <f t="shared" si="148"/>
        <v>3.125</v>
      </c>
      <c r="AU94" s="192">
        <f t="shared" si="176"/>
        <v>18.7058028552172</v>
      </c>
      <c r="AV94" s="192">
        <f t="shared" si="149"/>
        <v>18.7058028552172</v>
      </c>
      <c r="AW94" s="5">
        <f t="shared" si="177"/>
        <v>0.143146361621473</v>
      </c>
      <c r="AX94" s="5">
        <f t="shared" si="150"/>
        <v>1.28831725459325</v>
      </c>
      <c r="AY94" s="5">
        <f t="shared" si="151"/>
        <v>0.428641032598858</v>
      </c>
      <c r="AZ94" s="5">
        <f t="shared" si="178"/>
        <v>3.00558545872793</v>
      </c>
      <c r="BA94" s="220">
        <f t="shared" si="152"/>
        <v>4.91946604768167</v>
      </c>
      <c r="BB94" s="220">
        <f t="shared" si="153"/>
        <v>131.648941888748</v>
      </c>
      <c r="BC94" s="192">
        <f t="shared" si="154"/>
        <v>23.1224507515879</v>
      </c>
      <c r="BD94" s="220">
        <f t="shared" si="155"/>
        <v>20.4045864631451</v>
      </c>
      <c r="BE94" s="192"/>
      <c r="BF94" s="5">
        <f t="shared" si="179"/>
        <v>0.327658009540595</v>
      </c>
      <c r="BG94" s="5">
        <f t="shared" si="156"/>
        <v>0.534699512570788</v>
      </c>
      <c r="BH94" s="5"/>
      <c r="BI94" s="217">
        <f t="shared" si="157"/>
        <v>0.0375759199256366</v>
      </c>
      <c r="BJ94" s="217">
        <f t="shared" si="158"/>
        <v>0.00833895121527763</v>
      </c>
      <c r="BK94" s="217">
        <f t="shared" si="159"/>
        <v>0.00057258544648589</v>
      </c>
      <c r="BL94" s="217">
        <f t="shared" si="160"/>
        <v>0.00134939796705461</v>
      </c>
      <c r="BM94">
        <f t="shared" si="161"/>
        <v>0.00348</v>
      </c>
      <c r="BN94">
        <f t="shared" si="162"/>
        <v>8.01619625080247e-7</v>
      </c>
      <c r="BO94" s="217">
        <f t="shared" si="163"/>
        <v>0.0688363176702121</v>
      </c>
      <c r="BP94" s="220">
        <f t="shared" si="180"/>
        <v>68.8363176702121</v>
      </c>
      <c r="BQ94" s="217">
        <f t="shared" si="164"/>
        <v>0.475242484546149</v>
      </c>
      <c r="BR94" s="217"/>
      <c r="BT94" s="220">
        <f t="shared" si="181"/>
        <v>475.242484546149</v>
      </c>
      <c r="BU94" s="217">
        <f t="shared" si="165"/>
        <v>0.00440175061986028</v>
      </c>
      <c r="BV94" s="217">
        <f t="shared" si="166"/>
        <v>0.0285903568743439</v>
      </c>
      <c r="BW94" s="217">
        <f t="shared" si="167"/>
        <v>0</v>
      </c>
      <c r="BX94" s="217">
        <f t="shared" si="168"/>
        <v>0.0456495944481698</v>
      </c>
      <c r="BY94" s="217">
        <f t="shared" si="169"/>
        <v>0.00412261521469841</v>
      </c>
      <c r="BZ94" s="220">
        <f t="shared" si="182"/>
        <v>49.7722096628682</v>
      </c>
      <c r="CA94" s="5">
        <f t="shared" si="183"/>
        <v>0.593851011879229</v>
      </c>
      <c r="CB94" s="192">
        <f t="shared" si="184"/>
        <v>1.15948552913393</v>
      </c>
      <c r="CC94" s="5">
        <f t="shared" si="185"/>
        <v>0.661302323890384</v>
      </c>
      <c r="CD94" s="192">
        <f t="shared" si="186"/>
        <v>66.1302323890384</v>
      </c>
      <c r="CG94" s="227">
        <f t="shared" si="170"/>
        <v>-50</v>
      </c>
      <c r="CH94">
        <f t="shared" si="171"/>
        <v>-50</v>
      </c>
    </row>
    <row r="95" spans="5:86">
      <c r="E95" s="22">
        <v>90</v>
      </c>
      <c r="F95" s="25">
        <f t="shared" si="172"/>
        <v>0.45</v>
      </c>
      <c r="G95" s="25"/>
      <c r="H95" s="25">
        <f t="shared" si="120"/>
        <v>8.1</v>
      </c>
      <c r="I95" s="212">
        <f t="shared" si="121"/>
        <v>12</v>
      </c>
      <c r="J95" s="27">
        <f t="shared" si="122"/>
        <v>1.9308929534551</v>
      </c>
      <c r="K95" s="131">
        <f t="shared" si="123"/>
        <v>24.2728</v>
      </c>
      <c r="L95" s="131"/>
      <c r="M95" s="25">
        <f t="shared" si="124"/>
        <v>0.505619458818101</v>
      </c>
      <c r="N95" s="27">
        <f t="shared" si="125"/>
        <v>4.09551761642662</v>
      </c>
      <c r="O95" s="27">
        <f t="shared" si="173"/>
        <v>1.12270139288575</v>
      </c>
      <c r="P95" s="25">
        <f t="shared" si="126"/>
        <v>0.227528756468145</v>
      </c>
      <c r="Q95" s="25">
        <f t="shared" si="127"/>
        <v>9.10115025872582</v>
      </c>
      <c r="R95" s="25">
        <f t="shared" si="128"/>
        <v>0.341754019644501</v>
      </c>
      <c r="S95" s="27">
        <f t="shared" si="129"/>
        <v>2.49489198419055</v>
      </c>
      <c r="T95" s="27">
        <f t="shared" si="130"/>
        <v>2.49489198419055</v>
      </c>
      <c r="U95" s="25">
        <f t="shared" si="131"/>
        <v>1.5</v>
      </c>
      <c r="V95" s="25">
        <f t="shared" si="132"/>
        <v>3.125</v>
      </c>
      <c r="W95" s="25">
        <f t="shared" si="133"/>
        <v>19.4210662651693</v>
      </c>
      <c r="X95" s="24">
        <f t="shared" si="134"/>
        <v>221.768176372494</v>
      </c>
      <c r="Y95" s="131">
        <f t="shared" si="174"/>
        <v>44.3536352744987</v>
      </c>
      <c r="AA95" s="25">
        <f t="shared" si="135"/>
        <v>0.3</v>
      </c>
      <c r="AB95" s="5">
        <f t="shared" si="136"/>
        <v>3.88421325303386</v>
      </c>
      <c r="AC95" s="5">
        <f t="shared" si="137"/>
        <v>0.0861825587212075</v>
      </c>
      <c r="AD95" s="5"/>
      <c r="AE95" s="5">
        <f t="shared" si="138"/>
        <v>3.88421325303386</v>
      </c>
      <c r="AF95" s="216">
        <f t="shared" si="139"/>
        <v>1157.95679367622</v>
      </c>
      <c r="AG95" s="217">
        <f t="shared" si="140"/>
        <v>0.0861825587212075</v>
      </c>
      <c r="AI95" s="5">
        <f t="shared" si="141"/>
        <v>0.575191097108784</v>
      </c>
      <c r="AJ95" s="5">
        <f t="shared" si="142"/>
        <v>1.5</v>
      </c>
      <c r="AK95" s="5">
        <f t="shared" si="143"/>
        <v>2</v>
      </c>
      <c r="AM95" s="216">
        <f t="shared" si="144"/>
        <v>450</v>
      </c>
      <c r="AN95" s="220">
        <f t="shared" si="145"/>
        <v>44.3536352744987</v>
      </c>
      <c r="AP95" t="str">
        <f t="shared" si="146"/>
        <v/>
      </c>
      <c r="AQ95" t="str">
        <f t="shared" si="147"/>
        <v/>
      </c>
      <c r="AS95" s="192">
        <f t="shared" si="175"/>
        <v>22.5460662651693</v>
      </c>
      <c r="AT95" s="192">
        <f t="shared" si="148"/>
        <v>3.125</v>
      </c>
      <c r="AU95" s="192">
        <f t="shared" si="176"/>
        <v>19.4210662651693</v>
      </c>
      <c r="AV95" s="192">
        <f t="shared" si="149"/>
        <v>19.4210662651693</v>
      </c>
      <c r="AW95" s="5">
        <f t="shared" si="177"/>
        <v>0.138605110232809</v>
      </c>
      <c r="AX95" s="5">
        <f t="shared" si="150"/>
        <v>1.24744599209528</v>
      </c>
      <c r="AY95" s="5">
        <f t="shared" si="151"/>
        <v>0.430912793606038</v>
      </c>
      <c r="AZ95" s="5">
        <f t="shared" si="178"/>
        <v>2.89489198419055</v>
      </c>
      <c r="BA95" s="220">
        <f t="shared" si="152"/>
        <v>4.91946604768167</v>
      </c>
      <c r="BB95" s="220">
        <f t="shared" si="153"/>
        <v>134.608796780566</v>
      </c>
      <c r="BC95" s="192">
        <f t="shared" si="154"/>
        <v>24.2763328314617</v>
      </c>
      <c r="BD95" s="220">
        <f t="shared" si="155"/>
        <v>20.5008042269424</v>
      </c>
      <c r="BE95" s="192"/>
      <c r="BF95" s="5">
        <f t="shared" si="179"/>
        <v>0.322418722586959</v>
      </c>
      <c r="BG95" s="5">
        <f t="shared" si="156"/>
        <v>0.536114571090198</v>
      </c>
      <c r="BH95" s="5"/>
      <c r="BI95" s="217">
        <f t="shared" si="157"/>
        <v>0.0363838414361123</v>
      </c>
      <c r="BJ95" s="217">
        <f t="shared" si="158"/>
        <v>0.0080744018871814</v>
      </c>
      <c r="BK95" s="217">
        <f t="shared" si="159"/>
        <v>0.000554420440931234</v>
      </c>
      <c r="BL95" s="217">
        <f t="shared" si="160"/>
        <v>0.00130658894751451</v>
      </c>
      <c r="BM95">
        <f t="shared" si="161"/>
        <v>0.00348</v>
      </c>
      <c r="BN95">
        <f t="shared" si="162"/>
        <v>7.76188617303728e-7</v>
      </c>
      <c r="BO95" s="217">
        <f t="shared" si="163"/>
        <v>0.0667195984656253</v>
      </c>
      <c r="BP95" s="220">
        <f t="shared" si="180"/>
        <v>66.7195984656253</v>
      </c>
      <c r="BQ95" s="217">
        <f t="shared" si="164"/>
        <v>0.479505370692868</v>
      </c>
      <c r="BR95" s="217"/>
      <c r="BT95" s="220">
        <f t="shared" si="181"/>
        <v>479.505370692868</v>
      </c>
      <c r="BU95" s="217">
        <f t="shared" si="165"/>
        <v>0.00426210713965886</v>
      </c>
      <c r="BV95" s="217">
        <f t="shared" si="166"/>
        <v>0.0287418833335227</v>
      </c>
      <c r="BW95" s="217">
        <f t="shared" si="167"/>
        <v>0</v>
      </c>
      <c r="BX95" s="217">
        <f t="shared" si="168"/>
        <v>0.045666079882221</v>
      </c>
      <c r="BY95" s="217">
        <f t="shared" si="169"/>
        <v>0.00399182717470489</v>
      </c>
      <c r="BZ95" s="220">
        <f t="shared" si="182"/>
        <v>49.6579070569259</v>
      </c>
      <c r="CA95" s="5">
        <f t="shared" si="183"/>
        <v>0.59588287621542</v>
      </c>
      <c r="CB95" s="192">
        <f t="shared" si="184"/>
        <v>1.12270139288575</v>
      </c>
      <c r="CC95" s="5">
        <f t="shared" si="185"/>
        <v>0.653271074960397</v>
      </c>
      <c r="CD95" s="192">
        <f t="shared" si="186"/>
        <v>65.3271074960397</v>
      </c>
      <c r="CG95" s="227">
        <f t="shared" si="170"/>
        <v>-50</v>
      </c>
      <c r="CH95">
        <f t="shared" si="171"/>
        <v>-50</v>
      </c>
    </row>
    <row r="96" spans="5:86">
      <c r="E96" s="22">
        <v>91</v>
      </c>
      <c r="F96" s="25">
        <f t="shared" si="172"/>
        <v>0.455</v>
      </c>
      <c r="G96" s="25"/>
      <c r="H96" s="25">
        <f t="shared" si="120"/>
        <v>8.19</v>
      </c>
      <c r="I96" s="212">
        <f t="shared" si="121"/>
        <v>12</v>
      </c>
      <c r="J96" s="27">
        <f t="shared" si="122"/>
        <v>1.86112021020109</v>
      </c>
      <c r="K96" s="131">
        <f t="shared" si="123"/>
        <v>24.2728</v>
      </c>
      <c r="L96" s="131"/>
      <c r="M96" s="25">
        <f t="shared" si="124"/>
        <v>0.505619458818101</v>
      </c>
      <c r="N96" s="27">
        <f t="shared" si="125"/>
        <v>4.09551761642662</v>
      </c>
      <c r="O96" s="27">
        <f t="shared" si="173"/>
        <v>1.08757975358545</v>
      </c>
      <c r="P96" s="25">
        <f t="shared" si="126"/>
        <v>0.227528756468145</v>
      </c>
      <c r="Q96" s="25">
        <f t="shared" si="127"/>
        <v>9.00113761852004</v>
      </c>
      <c r="R96" s="25">
        <f t="shared" si="128"/>
        <v>0.343162261851125</v>
      </c>
      <c r="S96" s="27">
        <f t="shared" si="129"/>
        <v>2.39028517271528</v>
      </c>
      <c r="T96" s="25">
        <f t="shared" si="130"/>
        <v>2.39028517271528</v>
      </c>
      <c r="U96" s="25">
        <f t="shared" si="131"/>
        <v>1.5</v>
      </c>
      <c r="V96" s="25">
        <f t="shared" si="132"/>
        <v>3.125</v>
      </c>
      <c r="W96" s="25">
        <f t="shared" si="133"/>
        <v>20.1491552208485</v>
      </c>
      <c r="X96" s="24">
        <f t="shared" si="134"/>
        <v>214.830568609472</v>
      </c>
      <c r="Y96" s="131">
        <f t="shared" si="174"/>
        <v>42.9661137218944</v>
      </c>
      <c r="AA96" s="25">
        <f t="shared" si="135"/>
        <v>0.3</v>
      </c>
      <c r="AB96" s="5">
        <f t="shared" si="136"/>
        <v>4.02983104416971</v>
      </c>
      <c r="AC96" s="5">
        <f t="shared" si="137"/>
        <v>0.0866163760066389</v>
      </c>
      <c r="AD96" s="5"/>
      <c r="AE96" s="5">
        <f t="shared" si="138"/>
        <v>4.02983104416971</v>
      </c>
      <c r="AF96" s="216">
        <f t="shared" si="139"/>
        <v>1128.5153365204</v>
      </c>
      <c r="AG96" s="217">
        <f t="shared" si="140"/>
        <v>0.086616376006639</v>
      </c>
      <c r="AI96" s="5">
        <f t="shared" si="141"/>
        <v>0.567831800176375</v>
      </c>
      <c r="AJ96" s="5">
        <f t="shared" si="142"/>
        <v>1.5</v>
      </c>
      <c r="AK96" s="5">
        <f t="shared" si="143"/>
        <v>2</v>
      </c>
      <c r="AM96" s="216">
        <f t="shared" si="144"/>
        <v>455</v>
      </c>
      <c r="AN96" s="220">
        <f t="shared" si="145"/>
        <v>42.9661137218944</v>
      </c>
      <c r="AP96" t="str">
        <f t="shared" si="146"/>
        <v/>
      </c>
      <c r="AQ96" t="str">
        <f t="shared" si="147"/>
        <v/>
      </c>
      <c r="AS96" s="192">
        <f t="shared" si="175"/>
        <v>23.2741552208485</v>
      </c>
      <c r="AT96" s="192">
        <f t="shared" si="148"/>
        <v>3.125</v>
      </c>
      <c r="AU96" s="192">
        <f t="shared" si="176"/>
        <v>20.1491552208485</v>
      </c>
      <c r="AV96" s="192">
        <f t="shared" si="149"/>
        <v>20.1491552208485</v>
      </c>
      <c r="AW96" s="5">
        <f t="shared" si="177"/>
        <v>0.13426910538092</v>
      </c>
      <c r="AX96" s="5">
        <f t="shared" si="150"/>
        <v>1.20842194842828</v>
      </c>
      <c r="AY96" s="5">
        <f t="shared" si="151"/>
        <v>0.433081880033195</v>
      </c>
      <c r="AZ96" s="5">
        <f t="shared" si="178"/>
        <v>2.79028517271528</v>
      </c>
      <c r="BA96" s="220">
        <f t="shared" si="152"/>
        <v>4.91946604768167</v>
      </c>
      <c r="BB96" s="220">
        <f t="shared" si="153"/>
        <v>137.601555078996</v>
      </c>
      <c r="BC96" s="192">
        <f t="shared" si="154"/>
        <v>25.466293404128</v>
      </c>
      <c r="BD96" s="220">
        <f t="shared" si="155"/>
        <v>20.5926733297417</v>
      </c>
      <c r="BE96" s="192"/>
      <c r="BF96" s="5">
        <f t="shared" si="179"/>
        <v>0.317335514929688</v>
      </c>
      <c r="BG96" s="5">
        <f t="shared" si="156"/>
        <v>0.537462197723841</v>
      </c>
      <c r="BH96" s="5"/>
      <c r="BI96" s="217">
        <f t="shared" si="157"/>
        <v>0.0352456401624915</v>
      </c>
      <c r="BJ96" s="217">
        <f t="shared" si="158"/>
        <v>0.00782180913861599</v>
      </c>
      <c r="BK96" s="217">
        <f t="shared" si="159"/>
        <v>0.00053707642152368</v>
      </c>
      <c r="BL96" s="217">
        <f t="shared" si="160"/>
        <v>0.00126571472573199</v>
      </c>
      <c r="BM96">
        <f t="shared" si="161"/>
        <v>0.00348</v>
      </c>
      <c r="BN96">
        <f t="shared" si="162"/>
        <v>7.51906990133152e-7</v>
      </c>
      <c r="BO96" s="217">
        <f t="shared" si="163"/>
        <v>0.0647012493098909</v>
      </c>
      <c r="BP96" s="220">
        <f t="shared" si="180"/>
        <v>64.7012493098909</v>
      </c>
      <c r="BQ96" s="217">
        <f t="shared" si="164"/>
        <v>0.483724800352368</v>
      </c>
      <c r="BR96" s="217"/>
      <c r="BT96" s="220">
        <f t="shared" si="181"/>
        <v>483.724800352368</v>
      </c>
      <c r="BU96" s="217">
        <f t="shared" si="165"/>
        <v>0.00412877499046329</v>
      </c>
      <c r="BV96" s="217">
        <f t="shared" si="166"/>
        <v>0.0288865613982141</v>
      </c>
      <c r="BW96" s="217">
        <f t="shared" si="167"/>
        <v>0</v>
      </c>
      <c r="BX96" s="217">
        <f t="shared" si="168"/>
        <v>0.0456818202694182</v>
      </c>
      <c r="BY96" s="217">
        <f t="shared" si="169"/>
        <v>0.0038669502349705</v>
      </c>
      <c r="BZ96" s="220">
        <f t="shared" si="182"/>
        <v>49.5487705043886</v>
      </c>
      <c r="CA96" s="5">
        <f t="shared" si="183"/>
        <v>0.597974820166647</v>
      </c>
      <c r="CB96" s="192">
        <f t="shared" si="184"/>
        <v>1.08757975358545</v>
      </c>
      <c r="CC96" s="5">
        <f t="shared" si="185"/>
        <v>0.645235562539196</v>
      </c>
      <c r="CD96" s="192">
        <f t="shared" si="186"/>
        <v>64.5235562539197</v>
      </c>
      <c r="CG96" s="227">
        <f t="shared" si="170"/>
        <v>-50</v>
      </c>
      <c r="CH96">
        <f t="shared" si="171"/>
        <v>-50</v>
      </c>
    </row>
    <row r="97" ht="13" spans="5:86">
      <c r="E97" s="22">
        <v>92</v>
      </c>
      <c r="F97" s="25">
        <f t="shared" si="172"/>
        <v>0.46</v>
      </c>
      <c r="G97" s="25"/>
      <c r="H97" s="25">
        <f t="shared" si="120"/>
        <v>8.28</v>
      </c>
      <c r="I97" s="212">
        <f t="shared" si="121"/>
        <v>12</v>
      </c>
      <c r="J97" s="27">
        <f t="shared" si="122"/>
        <v>1.79521126694044</v>
      </c>
      <c r="K97" s="131">
        <f t="shared" si="123"/>
        <v>24.2728</v>
      </c>
      <c r="L97" s="131"/>
      <c r="M97" s="25">
        <f t="shared" si="124"/>
        <v>0.505619458818101</v>
      </c>
      <c r="N97" s="27">
        <f t="shared" si="125"/>
        <v>4.09551761642662</v>
      </c>
      <c r="O97" s="27">
        <f t="shared" si="173"/>
        <v>1.05407673582099</v>
      </c>
      <c r="P97" s="25">
        <f t="shared" si="126"/>
        <v>0.227528756468145</v>
      </c>
      <c r="Q97" s="25">
        <f t="shared" si="127"/>
        <v>8.90329916614482</v>
      </c>
      <c r="R97" s="25">
        <f t="shared" si="128"/>
        <v>0.344553376786059</v>
      </c>
      <c r="S97" s="27">
        <f t="shared" si="129"/>
        <v>2.29147116482824</v>
      </c>
      <c r="T97" s="199">
        <f t="shared" si="130"/>
        <v>2.29147116482824</v>
      </c>
      <c r="U97" s="25">
        <f t="shared" si="131"/>
        <v>1.5</v>
      </c>
      <c r="V97" s="25">
        <f t="shared" si="132"/>
        <v>3.125</v>
      </c>
      <c r="W97" s="25">
        <f t="shared" si="133"/>
        <v>20.8889063312926</v>
      </c>
      <c r="X97" s="24">
        <f t="shared" si="134"/>
        <v>208.212688557233</v>
      </c>
      <c r="Y97" s="131">
        <f t="shared" si="174"/>
        <v>41.6425377114466</v>
      </c>
      <c r="AA97" s="25">
        <f t="shared" si="135"/>
        <v>0.3</v>
      </c>
      <c r="AB97" s="5">
        <f t="shared" si="136"/>
        <v>4.17778126625852</v>
      </c>
      <c r="AC97" s="5">
        <f t="shared" si="137"/>
        <v>0.0870302003186555</v>
      </c>
      <c r="AD97" s="5"/>
      <c r="AE97" s="5">
        <f t="shared" si="138"/>
        <v>4.17778126625852</v>
      </c>
      <c r="AF97" s="216">
        <f t="shared" si="139"/>
        <v>1100.51265406311</v>
      </c>
      <c r="AG97" s="217">
        <f t="shared" si="140"/>
        <v>0.0870302003186555</v>
      </c>
      <c r="AI97" s="5">
        <f t="shared" si="141"/>
        <v>0.560742531715914</v>
      </c>
      <c r="AJ97" s="5">
        <f t="shared" si="142"/>
        <v>1.5</v>
      </c>
      <c r="AK97" s="5">
        <f t="shared" si="143"/>
        <v>2</v>
      </c>
      <c r="AM97" s="216">
        <f t="shared" si="144"/>
        <v>460</v>
      </c>
      <c r="AN97" s="220">
        <f t="shared" si="145"/>
        <v>41.6425377114466</v>
      </c>
      <c r="AP97" t="str">
        <f t="shared" si="146"/>
        <v/>
      </c>
      <c r="AQ97" t="str">
        <f t="shared" si="147"/>
        <v/>
      </c>
      <c r="AS97" s="192">
        <f t="shared" si="175"/>
        <v>24.0139063312926</v>
      </c>
      <c r="AT97" s="192">
        <f t="shared" si="148"/>
        <v>3.125</v>
      </c>
      <c r="AU97" s="192">
        <f t="shared" si="176"/>
        <v>20.8889063312926</v>
      </c>
      <c r="AV97" s="192">
        <f t="shared" si="149"/>
        <v>20.8889063312926</v>
      </c>
      <c r="AW97" s="5">
        <f t="shared" si="177"/>
        <v>0.130132930348271</v>
      </c>
      <c r="AX97" s="5">
        <f t="shared" si="150"/>
        <v>1.17119637313444</v>
      </c>
      <c r="AY97" s="5">
        <f t="shared" si="151"/>
        <v>0.435151001593278</v>
      </c>
      <c r="AZ97" s="5">
        <f t="shared" si="178"/>
        <v>2.69147116482824</v>
      </c>
      <c r="BA97" s="220">
        <f t="shared" si="152"/>
        <v>4.91946604768167</v>
      </c>
      <c r="BB97" s="220">
        <f t="shared" si="153"/>
        <v>140.627216784038</v>
      </c>
      <c r="BC97" s="192">
        <f t="shared" si="154"/>
        <v>26.6913803122072</v>
      </c>
      <c r="BD97" s="220">
        <f t="shared" si="155"/>
        <v>20.680308538246</v>
      </c>
      <c r="BE97" s="192"/>
      <c r="BF97" s="5">
        <f t="shared" si="179"/>
        <v>0.312409503314485</v>
      </c>
      <c r="BG97" s="5">
        <f t="shared" si="156"/>
        <v>0.53874457590097</v>
      </c>
      <c r="BH97" s="5"/>
      <c r="BI97" s="217">
        <f t="shared" si="157"/>
        <v>0.0341598942164211</v>
      </c>
      <c r="BJ97" s="217">
        <f t="shared" si="158"/>
        <v>0.00758085742021801</v>
      </c>
      <c r="BK97" s="217">
        <f t="shared" si="159"/>
        <v>0.000520531721393083</v>
      </c>
      <c r="BL97" s="217">
        <f t="shared" si="160"/>
        <v>0.00122672423992979</v>
      </c>
      <c r="BM97">
        <f t="shared" si="161"/>
        <v>0.00348</v>
      </c>
      <c r="BN97">
        <f t="shared" si="162"/>
        <v>7.28744409950316e-7</v>
      </c>
      <c r="BO97" s="217">
        <f t="shared" si="163"/>
        <v>0.0627783738376645</v>
      </c>
      <c r="BP97" s="220">
        <f t="shared" si="180"/>
        <v>62.7783738376645</v>
      </c>
      <c r="BQ97" s="217">
        <f t="shared" si="164"/>
        <v>0.487901920396697</v>
      </c>
      <c r="BR97" s="217"/>
      <c r="BT97" s="220">
        <f t="shared" si="181"/>
        <v>487.901920396697</v>
      </c>
      <c r="BU97" s="217">
        <f t="shared" si="165"/>
        <v>0.00400158760820932</v>
      </c>
      <c r="BV97" s="217">
        <f t="shared" si="166"/>
        <v>0.0290245718062716</v>
      </c>
      <c r="BW97" s="217">
        <f t="shared" si="167"/>
        <v>0</v>
      </c>
      <c r="BX97" s="217">
        <f t="shared" si="168"/>
        <v>0.045696835269291</v>
      </c>
      <c r="BY97" s="217">
        <f t="shared" si="169"/>
        <v>0.0037478283940302</v>
      </c>
      <c r="BZ97" s="220">
        <f t="shared" si="182"/>
        <v>49.4446636633212</v>
      </c>
      <c r="CA97" s="5">
        <f t="shared" si="183"/>
        <v>0.600124957897682</v>
      </c>
      <c r="CB97" s="192">
        <f t="shared" si="184"/>
        <v>1.05407673582099</v>
      </c>
      <c r="CC97" s="5">
        <f t="shared" si="185"/>
        <v>0.637211737736411</v>
      </c>
      <c r="CD97" s="192">
        <f t="shared" si="186"/>
        <v>63.7211737736411</v>
      </c>
      <c r="CG97" s="227">
        <f t="shared" si="170"/>
        <v>-50</v>
      </c>
      <c r="CH97">
        <f t="shared" si="171"/>
        <v>-50</v>
      </c>
    </row>
    <row r="98" ht="13" spans="5:86">
      <c r="E98" s="22">
        <v>93</v>
      </c>
      <c r="F98" s="25">
        <f t="shared" si="172"/>
        <v>0.465</v>
      </c>
      <c r="G98" s="25"/>
      <c r="H98" s="25">
        <f t="shared" si="120"/>
        <v>8.37</v>
      </c>
      <c r="I98" s="212">
        <f t="shared" si="121"/>
        <v>12</v>
      </c>
      <c r="J98" s="27">
        <f t="shared" si="122"/>
        <v>1.73297186703087</v>
      </c>
      <c r="K98" s="131">
        <f t="shared" si="123"/>
        <v>24.2728</v>
      </c>
      <c r="L98" s="131"/>
      <c r="M98" s="25">
        <f t="shared" si="124"/>
        <v>0.505619458818101</v>
      </c>
      <c r="N98" s="27">
        <f t="shared" si="125"/>
        <v>4.09551761642662</v>
      </c>
      <c r="O98" s="27">
        <f t="shared" si="173"/>
        <v>1.02214380535136</v>
      </c>
      <c r="P98" s="25">
        <f t="shared" si="126"/>
        <v>0.227528756468145</v>
      </c>
      <c r="Q98" s="25">
        <f t="shared" si="127"/>
        <v>8.80756476650885</v>
      </c>
      <c r="R98" s="25">
        <f t="shared" si="128"/>
        <v>0.345927738031254</v>
      </c>
      <c r="S98" s="27">
        <f t="shared" si="129"/>
        <v>2.19815872118571</v>
      </c>
      <c r="T98" s="199">
        <f t="shared" si="130"/>
        <v>2.19815872118571</v>
      </c>
      <c r="U98" s="25">
        <f t="shared" si="131"/>
        <v>1.5</v>
      </c>
      <c r="V98" s="25">
        <f t="shared" si="132"/>
        <v>3.125</v>
      </c>
      <c r="W98" s="25">
        <f t="shared" si="133"/>
        <v>21.6391279705246</v>
      </c>
      <c r="X98" s="24">
        <f t="shared" si="134"/>
        <v>201.904949205206</v>
      </c>
      <c r="Y98" s="131">
        <f t="shared" si="174"/>
        <v>40.3809898410412</v>
      </c>
      <c r="AA98" s="25">
        <f t="shared" si="135"/>
        <v>0.3</v>
      </c>
      <c r="AB98" s="5">
        <f t="shared" si="136"/>
        <v>4.32782559410493</v>
      </c>
      <c r="AC98" s="5">
        <f t="shared" si="137"/>
        <v>0.087424631145012</v>
      </c>
      <c r="AD98" s="5"/>
      <c r="AE98" s="5">
        <f t="shared" si="138"/>
        <v>4.32782559410493</v>
      </c>
      <c r="AF98" s="216">
        <f t="shared" si="139"/>
        <v>1073.90560475676</v>
      </c>
      <c r="AG98" s="217">
        <f t="shared" si="140"/>
        <v>0.087424631145012</v>
      </c>
      <c r="AI98" s="5">
        <f t="shared" si="141"/>
        <v>0.553922533200849</v>
      </c>
      <c r="AJ98" s="5">
        <f t="shared" si="142"/>
        <v>1.5</v>
      </c>
      <c r="AK98" s="5">
        <f t="shared" si="143"/>
        <v>2</v>
      </c>
      <c r="AM98" s="216">
        <f t="shared" si="144"/>
        <v>465</v>
      </c>
      <c r="AN98" s="220">
        <f t="shared" si="145"/>
        <v>40.3809898410412</v>
      </c>
      <c r="AP98" t="str">
        <f t="shared" si="146"/>
        <v/>
      </c>
      <c r="AQ98" t="str">
        <f t="shared" si="147"/>
        <v/>
      </c>
      <c r="AS98" s="192">
        <f t="shared" si="175"/>
        <v>24.7641279705246</v>
      </c>
      <c r="AT98" s="192">
        <f t="shared" si="148"/>
        <v>3.125</v>
      </c>
      <c r="AU98" s="192">
        <f t="shared" si="176"/>
        <v>21.6391279705246</v>
      </c>
      <c r="AV98" s="192">
        <f t="shared" si="149"/>
        <v>21.6391279705246</v>
      </c>
      <c r="AW98" s="5">
        <f t="shared" si="177"/>
        <v>0.126190593253254</v>
      </c>
      <c r="AX98" s="5">
        <f t="shared" si="150"/>
        <v>1.13571533927928</v>
      </c>
      <c r="AY98" s="5">
        <f t="shared" si="151"/>
        <v>0.43712315572506</v>
      </c>
      <c r="AZ98" s="5">
        <f t="shared" si="178"/>
        <v>2.59815872118571</v>
      </c>
      <c r="BA98" s="220">
        <f t="shared" si="152"/>
        <v>4.91946604768167</v>
      </c>
      <c r="BB98" s="220">
        <f t="shared" si="153"/>
        <v>143.685781895693</v>
      </c>
      <c r="BC98" s="192">
        <f t="shared" si="154"/>
        <v>27.950540295261</v>
      </c>
      <c r="BD98" s="220">
        <f t="shared" si="155"/>
        <v>20.7638368054468</v>
      </c>
      <c r="BE98" s="192"/>
      <c r="BF98" s="5">
        <f t="shared" si="179"/>
        <v>0.307640935084947</v>
      </c>
      <c r="BG98" s="5">
        <f t="shared" si="156"/>
        <v>0.53996402182795</v>
      </c>
      <c r="BH98" s="5"/>
      <c r="BI98" s="217">
        <f t="shared" si="157"/>
        <v>0.0331250307289791</v>
      </c>
      <c r="BJ98" s="217">
        <f t="shared" si="158"/>
        <v>0.00735119767660219</v>
      </c>
      <c r="BK98" s="217">
        <f t="shared" si="159"/>
        <v>0.000504762373013015</v>
      </c>
      <c r="BL98" s="217">
        <f t="shared" si="160"/>
        <v>0.00118956100643086</v>
      </c>
      <c r="BM98">
        <f t="shared" si="161"/>
        <v>0.00348</v>
      </c>
      <c r="BN98">
        <f t="shared" si="162"/>
        <v>7.06667322218221e-7</v>
      </c>
      <c r="BO98" s="217">
        <f t="shared" si="163"/>
        <v>0.0609478398140069</v>
      </c>
      <c r="BP98" s="220">
        <f t="shared" si="180"/>
        <v>60.9478398140069</v>
      </c>
      <c r="BQ98" s="217">
        <f t="shared" si="164"/>
        <v>0.49203799947638</v>
      </c>
      <c r="BR98" s="217"/>
      <c r="BT98" s="220">
        <f t="shared" si="181"/>
        <v>492.03799947638</v>
      </c>
      <c r="BU98" s="217">
        <f t="shared" si="165"/>
        <v>0.00388036074253755</v>
      </c>
      <c r="BV98" s="217">
        <f t="shared" si="166"/>
        <v>0.0291561144868615</v>
      </c>
      <c r="BW98" s="217">
        <f t="shared" si="167"/>
        <v>0</v>
      </c>
      <c r="BX98" s="217">
        <f t="shared" si="168"/>
        <v>0.0457111466296377</v>
      </c>
      <c r="BY98" s="217">
        <f t="shared" si="169"/>
        <v>0.00363428908569371</v>
      </c>
      <c r="BZ98" s="220">
        <f t="shared" si="182"/>
        <v>49.3454357153314</v>
      </c>
      <c r="CA98" s="5">
        <f t="shared" si="183"/>
        <v>0.602331275005718</v>
      </c>
      <c r="CB98" s="192">
        <f t="shared" si="184"/>
        <v>1.02214380535136</v>
      </c>
      <c r="CC98" s="5">
        <f t="shared" si="185"/>
        <v>0.629214826198923</v>
      </c>
      <c r="CD98" s="192">
        <f t="shared" si="186"/>
        <v>62.9214826198923</v>
      </c>
      <c r="CG98" s="227">
        <f t="shared" si="170"/>
        <v>-50</v>
      </c>
      <c r="CH98">
        <f t="shared" si="171"/>
        <v>-50</v>
      </c>
    </row>
    <row r="99" ht="13" spans="5:86">
      <c r="E99" s="22">
        <v>94</v>
      </c>
      <c r="F99" s="25">
        <f t="shared" si="172"/>
        <v>0.47</v>
      </c>
      <c r="G99" s="25"/>
      <c r="H99" s="25">
        <f t="shared" si="120"/>
        <v>8.46</v>
      </c>
      <c r="I99" s="212">
        <f t="shared" si="121"/>
        <v>12</v>
      </c>
      <c r="J99" s="27">
        <f t="shared" si="122"/>
        <v>1.67421060263161</v>
      </c>
      <c r="K99" s="131">
        <f t="shared" si="123"/>
        <v>24.2728</v>
      </c>
      <c r="L99" s="131"/>
      <c r="M99" s="25">
        <f t="shared" si="124"/>
        <v>0.505619458818101</v>
      </c>
      <c r="N99" s="27">
        <f t="shared" si="125"/>
        <v>4.09551761642662</v>
      </c>
      <c r="O99" s="27">
        <f t="shared" si="173"/>
        <v>0.991728610550007</v>
      </c>
      <c r="P99" s="25">
        <f t="shared" si="126"/>
        <v>0.227528756468145</v>
      </c>
      <c r="Q99" s="25">
        <f t="shared" si="127"/>
        <v>8.7138672689928</v>
      </c>
      <c r="R99" s="25">
        <f t="shared" si="128"/>
        <v>0.347285708382269</v>
      </c>
      <c r="S99" s="27">
        <f t="shared" si="129"/>
        <v>2.11006087351065</v>
      </c>
      <c r="T99" s="199">
        <f t="shared" si="130"/>
        <v>2.11006087351065</v>
      </c>
      <c r="U99" s="25">
        <f t="shared" si="131"/>
        <v>1.5</v>
      </c>
      <c r="V99" s="25">
        <f t="shared" si="132"/>
        <v>3.125</v>
      </c>
      <c r="W99" s="25">
        <f t="shared" si="133"/>
        <v>22.398615766174</v>
      </c>
      <c r="X99" s="24">
        <f t="shared" si="134"/>
        <v>195.89700949136</v>
      </c>
      <c r="Y99" s="131">
        <f t="shared" si="174"/>
        <v>39.1794018982719</v>
      </c>
      <c r="AA99" s="25">
        <f t="shared" si="135"/>
        <v>0.3</v>
      </c>
      <c r="AB99" s="5">
        <f t="shared" si="136"/>
        <v>4.4797231532348</v>
      </c>
      <c r="AC99" s="5">
        <f t="shared" si="137"/>
        <v>0.0878003151252435</v>
      </c>
      <c r="AD99" s="5"/>
      <c r="AE99" s="5">
        <f t="shared" si="138"/>
        <v>4.47972315323479</v>
      </c>
      <c r="AF99" s="216">
        <f t="shared" si="139"/>
        <v>1048.64765382223</v>
      </c>
      <c r="AG99" s="217">
        <f t="shared" si="140"/>
        <v>0.0878003151252434</v>
      </c>
      <c r="AI99" s="5">
        <f t="shared" si="141"/>
        <v>0.547369724571774</v>
      </c>
      <c r="AJ99" s="5">
        <f t="shared" si="142"/>
        <v>1.5</v>
      </c>
      <c r="AK99" s="5">
        <f t="shared" si="143"/>
        <v>2</v>
      </c>
      <c r="AM99" s="216">
        <f t="shared" si="144"/>
        <v>470</v>
      </c>
      <c r="AN99" s="220">
        <f t="shared" si="145"/>
        <v>39.1794018982719</v>
      </c>
      <c r="AP99" t="str">
        <f t="shared" si="146"/>
        <v/>
      </c>
      <c r="AQ99" t="str">
        <f t="shared" si="147"/>
        <v/>
      </c>
      <c r="AS99" s="192">
        <f t="shared" si="175"/>
        <v>25.523615766174</v>
      </c>
      <c r="AT99" s="192">
        <f t="shared" si="148"/>
        <v>3.125</v>
      </c>
      <c r="AU99" s="192">
        <f t="shared" si="176"/>
        <v>22.398615766174</v>
      </c>
      <c r="AV99" s="192">
        <f t="shared" si="149"/>
        <v>22.398615766174</v>
      </c>
      <c r="AW99" s="5">
        <f t="shared" si="177"/>
        <v>0.1224356309321</v>
      </c>
      <c r="AX99" s="5">
        <f t="shared" si="150"/>
        <v>1.1019206783889</v>
      </c>
      <c r="AY99" s="5">
        <f t="shared" si="151"/>
        <v>0.439001575626217</v>
      </c>
      <c r="AZ99" s="5">
        <f t="shared" si="178"/>
        <v>2.51006087351066</v>
      </c>
      <c r="BA99" s="220">
        <f t="shared" si="152"/>
        <v>4.91946604768167</v>
      </c>
      <c r="BB99" s="220">
        <f t="shared" si="153"/>
        <v>146.77725041396</v>
      </c>
      <c r="BC99" s="192">
        <f t="shared" si="154"/>
        <v>29.2426372502827</v>
      </c>
      <c r="BD99" s="220">
        <f t="shared" si="155"/>
        <v>20.8433950696261</v>
      </c>
      <c r="BE99" s="192"/>
      <c r="BF99" s="5">
        <f t="shared" si="179"/>
        <v>0.303029244791777</v>
      </c>
      <c r="BG99" s="5">
        <f t="shared" si="156"/>
        <v>0.541122953627627</v>
      </c>
      <c r="BH99" s="5"/>
      <c r="BI99" s="217">
        <f t="shared" si="157"/>
        <v>0.0321393531196762</v>
      </c>
      <c r="BJ99" s="217">
        <f t="shared" si="158"/>
        <v>0.00713245339797281</v>
      </c>
      <c r="BK99" s="217">
        <f t="shared" si="159"/>
        <v>0.000489742523728399</v>
      </c>
      <c r="BL99" s="217">
        <f t="shared" si="160"/>
        <v>0.0011541640989221</v>
      </c>
      <c r="BM99">
        <f t="shared" si="161"/>
        <v>0.00348</v>
      </c>
      <c r="BN99">
        <f t="shared" si="162"/>
        <v>6.85639533219759e-7</v>
      </c>
      <c r="BO99" s="217">
        <f t="shared" si="163"/>
        <v>0.0592063270807891</v>
      </c>
      <c r="BP99" s="220">
        <f t="shared" si="180"/>
        <v>59.2063270807891</v>
      </c>
      <c r="BQ99" s="217">
        <f t="shared" si="164"/>
        <v>0.496134406025682</v>
      </c>
      <c r="BR99" s="217"/>
      <c r="BT99" s="220">
        <f t="shared" si="181"/>
        <v>496.134406025682</v>
      </c>
      <c r="BU99" s="217">
        <f t="shared" si="165"/>
        <v>0.00376489565116207</v>
      </c>
      <c r="BV99" s="217">
        <f t="shared" si="166"/>
        <v>0.0292814050942687</v>
      </c>
      <c r="BW99" s="217">
        <f t="shared" si="167"/>
        <v>0</v>
      </c>
      <c r="BX99" s="217">
        <f t="shared" si="168"/>
        <v>0.0457247778094151</v>
      </c>
      <c r="BY99" s="217">
        <f t="shared" si="169"/>
        <v>0.00352614617084447</v>
      </c>
      <c r="BZ99" s="220">
        <f t="shared" si="182"/>
        <v>49.2509239802595</v>
      </c>
      <c r="CA99" s="5">
        <f t="shared" si="183"/>
        <v>0.604591657086731</v>
      </c>
      <c r="CB99" s="192">
        <f t="shared" si="184"/>
        <v>0.991728610550007</v>
      </c>
      <c r="CC99" s="5">
        <f t="shared" si="185"/>
        <v>0.621259173773572</v>
      </c>
      <c r="CD99" s="192">
        <f t="shared" si="186"/>
        <v>62.1259173773572</v>
      </c>
      <c r="CG99" s="227">
        <f t="shared" si="170"/>
        <v>-50</v>
      </c>
      <c r="CH99">
        <f t="shared" si="171"/>
        <v>-50</v>
      </c>
    </row>
    <row r="100" ht="13" spans="5:86">
      <c r="E100" s="22">
        <v>95</v>
      </c>
      <c r="F100" s="25">
        <f t="shared" si="172"/>
        <v>0.475</v>
      </c>
      <c r="G100" s="25"/>
      <c r="H100" s="25">
        <f t="shared" si="120"/>
        <v>8.55</v>
      </c>
      <c r="I100" s="212">
        <f t="shared" si="121"/>
        <v>12</v>
      </c>
      <c r="J100" s="27">
        <f t="shared" si="122"/>
        <v>1.61873994385887</v>
      </c>
      <c r="K100" s="131">
        <f t="shared" si="123"/>
        <v>24.2728</v>
      </c>
      <c r="L100" s="131"/>
      <c r="M100" s="25">
        <f t="shared" si="124"/>
        <v>0.505619458818101</v>
      </c>
      <c r="N100" s="27">
        <f t="shared" si="125"/>
        <v>4.09551761642662</v>
      </c>
      <c r="O100" s="27">
        <f t="shared" si="173"/>
        <v>0.9627758220884</v>
      </c>
      <c r="P100" s="25">
        <f t="shared" si="126"/>
        <v>0.227528756468145</v>
      </c>
      <c r="Q100" s="25">
        <f t="shared" si="127"/>
        <v>8.62214235037183</v>
      </c>
      <c r="R100" s="25">
        <f t="shared" si="128"/>
        <v>0.348627640234777</v>
      </c>
      <c r="S100" s="27">
        <f t="shared" si="129"/>
        <v>2.02689646755453</v>
      </c>
      <c r="T100" s="199">
        <f t="shared" si="130"/>
        <v>2.02689646755453</v>
      </c>
      <c r="U100" s="25">
        <f t="shared" si="131"/>
        <v>1.5</v>
      </c>
      <c r="V100" s="25">
        <f t="shared" si="132"/>
        <v>3.125</v>
      </c>
      <c r="W100" s="25">
        <f t="shared" si="133"/>
        <v>23.1661670809239</v>
      </c>
      <c r="X100" s="24">
        <f t="shared" si="134"/>
        <v>190.17794016561</v>
      </c>
      <c r="Y100" s="131">
        <f t="shared" si="174"/>
        <v>38.035588033122</v>
      </c>
      <c r="AA100" s="25">
        <f t="shared" si="135"/>
        <v>0.3</v>
      </c>
      <c r="AB100" s="5">
        <f t="shared" si="136"/>
        <v>4.63323341618478</v>
      </c>
      <c r="AC100" s="5">
        <f t="shared" si="137"/>
        <v>0.0881579356790192</v>
      </c>
      <c r="AD100" s="5"/>
      <c r="AE100" s="5">
        <f t="shared" si="138"/>
        <v>4.63323341618479</v>
      </c>
      <c r="AF100" s="216">
        <f t="shared" si="139"/>
        <v>1024.68961963413</v>
      </c>
      <c r="AG100" s="217">
        <f t="shared" si="140"/>
        <v>0.0881579356790192</v>
      </c>
      <c r="AI100" s="5">
        <f t="shared" si="141"/>
        <v>0.541080828298887</v>
      </c>
      <c r="AJ100" s="5">
        <f t="shared" si="142"/>
        <v>1.5</v>
      </c>
      <c r="AK100" s="5">
        <f t="shared" si="143"/>
        <v>2</v>
      </c>
      <c r="AM100" s="216">
        <f t="shared" si="144"/>
        <v>475</v>
      </c>
      <c r="AN100" s="220">
        <f t="shared" si="145"/>
        <v>38.035588033122</v>
      </c>
      <c r="AP100" t="str">
        <f t="shared" si="146"/>
        <v/>
      </c>
      <c r="AQ100" t="str">
        <f t="shared" si="147"/>
        <v/>
      </c>
      <c r="AS100" s="192">
        <f t="shared" si="175"/>
        <v>26.2911670809239</v>
      </c>
      <c r="AT100" s="192">
        <f t="shared" si="148"/>
        <v>3.125</v>
      </c>
      <c r="AU100" s="192">
        <f t="shared" si="176"/>
        <v>23.1661670809239</v>
      </c>
      <c r="AV100" s="192">
        <f t="shared" si="149"/>
        <v>23.1661670809239</v>
      </c>
      <c r="AW100" s="5">
        <f t="shared" si="177"/>
        <v>0.118861212603506</v>
      </c>
      <c r="AX100" s="5">
        <f t="shared" si="150"/>
        <v>1.06975091343156</v>
      </c>
      <c r="AY100" s="5">
        <f t="shared" si="151"/>
        <v>0.440789678395096</v>
      </c>
      <c r="AZ100" s="5">
        <f t="shared" si="178"/>
        <v>2.42689646755453</v>
      </c>
      <c r="BA100" s="220">
        <f t="shared" si="152"/>
        <v>4.91946604768167</v>
      </c>
      <c r="BB100" s="220">
        <f t="shared" si="153"/>
        <v>149.90162233884</v>
      </c>
      <c r="BC100" s="192">
        <f t="shared" si="154"/>
        <v>30.5664704539968</v>
      </c>
      <c r="BD100" s="220">
        <f t="shared" si="155"/>
        <v>20.9191280579632</v>
      </c>
      <c r="BE100" s="192"/>
      <c r="BF100" s="5">
        <f t="shared" si="179"/>
        <v>0.298573122455169</v>
      </c>
      <c r="BG100" s="5">
        <f t="shared" si="156"/>
        <v>0.542223861047749</v>
      </c>
      <c r="BH100" s="5"/>
      <c r="BI100" s="217">
        <f t="shared" si="157"/>
        <v>0.0312010683084204</v>
      </c>
      <c r="BJ100" s="217">
        <f t="shared" si="158"/>
        <v>0.00692422665907772</v>
      </c>
      <c r="BK100" s="217">
        <f t="shared" si="159"/>
        <v>0.000475444850414025</v>
      </c>
      <c r="BL100" s="217">
        <f t="shared" si="160"/>
        <v>0.00112046912566974</v>
      </c>
      <c r="BM100">
        <f t="shared" si="161"/>
        <v>0.00348</v>
      </c>
      <c r="BN100">
        <f t="shared" si="162"/>
        <v>6.65622790579634e-7</v>
      </c>
      <c r="BO100" s="217">
        <f t="shared" si="163"/>
        <v>0.0575503749316444</v>
      </c>
      <c r="BP100" s="220">
        <f t="shared" si="180"/>
        <v>57.5503749316444</v>
      </c>
      <c r="BQ100" s="217">
        <f t="shared" si="164"/>
        <v>0.500192586313881</v>
      </c>
      <c r="BR100" s="217"/>
      <c r="BT100" s="220">
        <f t="shared" si="181"/>
        <v>500.192586313881</v>
      </c>
      <c r="BU100" s="217">
        <f t="shared" si="165"/>
        <v>0.00365498228755781</v>
      </c>
      <c r="BV100" s="217">
        <f t="shared" si="166"/>
        <v>0.0294006715489529</v>
      </c>
      <c r="BW100" s="217">
        <f t="shared" si="167"/>
        <v>0</v>
      </c>
      <c r="BX100" s="217">
        <f t="shared" si="168"/>
        <v>0.0457377536024121</v>
      </c>
      <c r="BY100" s="217">
        <f t="shared" si="169"/>
        <v>0.00342320292298098</v>
      </c>
      <c r="BZ100" s="220">
        <f t="shared" si="182"/>
        <v>49.1609565253931</v>
      </c>
      <c r="CA100" s="5">
        <f t="shared" si="183"/>
        <v>0.606903917770918</v>
      </c>
      <c r="CB100" s="192">
        <f t="shared" si="184"/>
        <v>0.9627758220884</v>
      </c>
      <c r="CC100" s="5">
        <f t="shared" si="185"/>
        <v>0.613358124998599</v>
      </c>
      <c r="CD100" s="192">
        <f t="shared" si="186"/>
        <v>61.3358124998599</v>
      </c>
      <c r="CG100" s="227">
        <f t="shared" si="170"/>
        <v>-50</v>
      </c>
      <c r="CH100">
        <f t="shared" si="171"/>
        <v>-50</v>
      </c>
    </row>
    <row r="101" ht="13" spans="5:86">
      <c r="E101" s="22">
        <v>96</v>
      </c>
      <c r="F101" s="25">
        <f t="shared" si="172"/>
        <v>0.48</v>
      </c>
      <c r="G101" s="25"/>
      <c r="H101" s="25">
        <f t="shared" ref="H101:H105" si="187">F101*Vout</f>
        <v>8.64</v>
      </c>
      <c r="I101" s="212">
        <f t="shared" si="121"/>
        <v>12</v>
      </c>
      <c r="J101" s="27">
        <f t="shared" si="122"/>
        <v>1.56637716566246</v>
      </c>
      <c r="K101" s="131">
        <f t="shared" si="123"/>
        <v>24.2728</v>
      </c>
      <c r="L101" s="131"/>
      <c r="M101" s="25">
        <f t="shared" si="124"/>
        <v>0.505619458818101</v>
      </c>
      <c r="N101" s="27">
        <f t="shared" ref="N101:N105" si="188">M101*I101*Isw_max*0.5*Efficiency</f>
        <v>4.09551761642662</v>
      </c>
      <c r="O101" s="27">
        <f t="shared" si="173"/>
        <v>0.935227945304318</v>
      </c>
      <c r="P101" s="25">
        <f t="shared" ref="P101:P105" si="189">N101/Vout</f>
        <v>0.227528756468145</v>
      </c>
      <c r="Q101" s="25">
        <f t="shared" si="127"/>
        <v>8.53232836755545</v>
      </c>
      <c r="R101" s="25">
        <f t="shared" ref="R101:R105" si="190">Isw_max/2*I101*Nps*(Q101+Vfwd1)/Q101/(I101+Nps*(Q101+Vfwd1))</f>
        <v>0.349953875954566</v>
      </c>
      <c r="S101" s="27">
        <f t="shared" si="129"/>
        <v>1.94839155271733</v>
      </c>
      <c r="T101" s="199">
        <f t="shared" ref="T101:T105" si="191">MIN(Vout,S101)</f>
        <v>1.94839155271733</v>
      </c>
      <c r="U101" s="25">
        <f t="shared" si="131"/>
        <v>1.5</v>
      </c>
      <c r="V101" s="25">
        <f t="shared" ref="V101:V105" si="192">L*U101/I101*1000000</f>
        <v>3.125</v>
      </c>
      <c r="W101" s="25">
        <f t="shared" si="133"/>
        <v>23.9405941442847</v>
      </c>
      <c r="X101" s="24">
        <f t="shared" si="134"/>
        <v>184.736384257643</v>
      </c>
      <c r="Y101" s="131">
        <f t="shared" si="174"/>
        <v>36.9472768515286</v>
      </c>
      <c r="AA101" s="25">
        <f t="shared" si="135"/>
        <v>0.3</v>
      </c>
      <c r="AB101" s="5">
        <f t="shared" ref="AB101:AB105" si="193">L*AA101/J101*1000000</f>
        <v>4.78811882885694</v>
      </c>
      <c r="AC101" s="5">
        <f t="shared" ref="AC101:AC105" si="194">0.5*AB101*AA101*Nps*X101/1000</f>
        <v>0.0884982029718892</v>
      </c>
      <c r="AD101" s="5"/>
      <c r="AE101" s="5">
        <f t="shared" si="138"/>
        <v>4.78811882885695</v>
      </c>
      <c r="AF101" s="216">
        <f t="shared" ref="AF101:AF105" si="195">MAX(12,F101/(0.5*AE101/1000000*Isw_min*Nps)/1000)</f>
        <v>1001.98039582606</v>
      </c>
      <c r="AG101" s="217">
        <f t="shared" si="140"/>
        <v>0.0884982029718892</v>
      </c>
      <c r="AI101" s="5">
        <f t="shared" si="141"/>
        <v>0.535051505084474</v>
      </c>
      <c r="AJ101" s="5">
        <f t="shared" ref="AJ101:AJ105" si="196">MAX(IF(F101&gt;AC101,U101,AI101),Isw_min)</f>
        <v>1.5</v>
      </c>
      <c r="AK101" s="5">
        <f t="shared" ref="AK101:AK105" si="197">IF(F101&gt;AG101,(AJ101-Isw_min)/1.2*0.8+1.2,AF101*0.2/350+1)</f>
        <v>2</v>
      </c>
      <c r="AM101" s="216">
        <f t="shared" si="144"/>
        <v>480</v>
      </c>
      <c r="AN101" s="220">
        <f t="shared" si="145"/>
        <v>36.9472768515286</v>
      </c>
      <c r="AP101" t="str">
        <f t="shared" si="146"/>
        <v/>
      </c>
      <c r="AQ101" t="str">
        <f t="shared" si="147"/>
        <v/>
      </c>
      <c r="AS101" s="192">
        <f t="shared" si="175"/>
        <v>27.0655941442847</v>
      </c>
      <c r="AT101" s="192">
        <f t="shared" si="148"/>
        <v>3.125</v>
      </c>
      <c r="AU101" s="192">
        <f t="shared" si="176"/>
        <v>23.9405941442847</v>
      </c>
      <c r="AV101" s="192">
        <f t="shared" si="149"/>
        <v>23.9405941442847</v>
      </c>
      <c r="AW101" s="5">
        <f t="shared" si="177"/>
        <v>0.115460240161027</v>
      </c>
      <c r="AX101" s="5">
        <f t="shared" si="150"/>
        <v>1.03914216144924</v>
      </c>
      <c r="AY101" s="5">
        <f t="shared" si="151"/>
        <v>0.442491014859446</v>
      </c>
      <c r="AZ101" s="5">
        <f t="shared" si="178"/>
        <v>2.34839155271733</v>
      </c>
      <c r="BA101" s="220">
        <f t="shared" si="152"/>
        <v>4.91946604768167</v>
      </c>
      <c r="BB101" s="220">
        <f t="shared" si="153"/>
        <v>153.058897670333</v>
      </c>
      <c r="BC101" s="192">
        <f t="shared" si="154"/>
        <v>31.9207921923796</v>
      </c>
      <c r="BD101" s="220">
        <f t="shared" si="155"/>
        <v>20.9911861615882</v>
      </c>
      <c r="BE101" s="192"/>
      <c r="BF101" s="5">
        <f t="shared" si="179"/>
        <v>0.294270589969114</v>
      </c>
      <c r="BG101" s="5">
        <f t="shared" si="156"/>
        <v>0.543269276612667</v>
      </c>
      <c r="BH101" s="5"/>
      <c r="BI101" s="217">
        <f t="shared" si="157"/>
        <v>0.0303083130422696</v>
      </c>
      <c r="BJ101" s="217">
        <f t="shared" si="158"/>
        <v>0.00672610396171338</v>
      </c>
      <c r="BK101" s="217">
        <f t="shared" si="159"/>
        <v>0.000461840960644108</v>
      </c>
      <c r="BL101" s="217">
        <f t="shared" si="160"/>
        <v>0.00108840917494584</v>
      </c>
      <c r="BM101">
        <f t="shared" si="161"/>
        <v>0.00348</v>
      </c>
      <c r="BN101">
        <f t="shared" si="162"/>
        <v>6.46577344901751e-7</v>
      </c>
      <c r="BO101" s="217">
        <f t="shared" ref="BO101:BO105" si="198">(BJ101+BK101+BL101+BM101+BN101+BI101*(1+RdsonTC*(Ta-25)))/(1-BI101*RdsonTC*ThetaJA)</f>
        <v>0.0559764275298037</v>
      </c>
      <c r="BP101" s="220">
        <f t="shared" si="180"/>
        <v>55.9764275298037</v>
      </c>
      <c r="BQ101" s="217">
        <f t="shared" si="164"/>
        <v>0.504214043210534</v>
      </c>
      <c r="BR101" s="217"/>
      <c r="BT101" s="220">
        <f t="shared" si="181"/>
        <v>504.214043210534</v>
      </c>
      <c r="BU101" s="217">
        <f t="shared" si="165"/>
        <v>0.00355040238495158</v>
      </c>
      <c r="BV101" s="217">
        <f t="shared" si="166"/>
        <v>0.0295141506911251</v>
      </c>
      <c r="BW101" s="217">
        <f t="shared" si="167"/>
        <v>0</v>
      </c>
      <c r="BX101" s="217">
        <f t="shared" ref="BX101:BX105" si="199">(BW101+(BU101+BV101)*(1+Ltc*(Ta-25)))/(1-(BU101+BV101)*Ltc*ThetaCa)</f>
        <v>0.0457500997731606</v>
      </c>
      <c r="BY101" s="217">
        <f t="shared" si="169"/>
        <v>0.00332525491663758</v>
      </c>
      <c r="BZ101" s="220">
        <f t="shared" si="182"/>
        <v>49.0753546897982</v>
      </c>
      <c r="CA101" s="5">
        <f t="shared" si="183"/>
        <v>0.609265825430136</v>
      </c>
      <c r="CB101" s="192">
        <f t="shared" si="184"/>
        <v>0.935227945304318</v>
      </c>
      <c r="CC101" s="5">
        <f t="shared" si="185"/>
        <v>0.60552393478388</v>
      </c>
      <c r="CD101" s="192">
        <f t="shared" si="186"/>
        <v>60.552393478388</v>
      </c>
      <c r="CG101" s="227">
        <f t="shared" si="170"/>
        <v>-50</v>
      </c>
      <c r="CH101">
        <f t="shared" si="171"/>
        <v>-50</v>
      </c>
    </row>
    <row r="102" ht="13" spans="5:86">
      <c r="E102" s="22">
        <v>97</v>
      </c>
      <c r="F102" s="25">
        <f t="shared" ref="F102:F105" si="200">IF(PLOT_TYPE=1,E102/100*Iout_max,min_I*EXP(N102*rr/100))</f>
        <v>0.485</v>
      </c>
      <c r="G102" s="25"/>
      <c r="H102" s="25">
        <f t="shared" si="187"/>
        <v>8.73</v>
      </c>
      <c r="I102" s="212">
        <f t="shared" si="121"/>
        <v>12</v>
      </c>
      <c r="J102" s="27">
        <f t="shared" si="122"/>
        <v>1.51694515124596</v>
      </c>
      <c r="K102" s="131">
        <f t="shared" si="123"/>
        <v>24.2728</v>
      </c>
      <c r="L102" s="131"/>
      <c r="M102" s="25">
        <f t="shared" si="124"/>
        <v>0.505619458818101</v>
      </c>
      <c r="N102" s="27">
        <f t="shared" si="188"/>
        <v>4.09551761642662</v>
      </c>
      <c r="O102" s="27">
        <f t="shared" si="173"/>
        <v>0.909026084489191</v>
      </c>
      <c r="P102" s="25">
        <f t="shared" si="189"/>
        <v>0.227528756468145</v>
      </c>
      <c r="Q102" s="25">
        <f t="shared" si="127"/>
        <v>8.44436621943633</v>
      </c>
      <c r="R102" s="25">
        <f t="shared" si="190"/>
        <v>0.351264748231857</v>
      </c>
      <c r="S102" s="27">
        <f t="shared" si="129"/>
        <v>1.87428058657565</v>
      </c>
      <c r="T102" s="199">
        <f t="shared" si="191"/>
        <v>1.87428058657565</v>
      </c>
      <c r="U102" s="25">
        <f t="shared" si="131"/>
        <v>1.5</v>
      </c>
      <c r="V102" s="25">
        <f t="shared" si="192"/>
        <v>3.125</v>
      </c>
      <c r="W102" s="25">
        <f t="shared" si="133"/>
        <v>24.7207355975916</v>
      </c>
      <c r="X102" s="24">
        <f t="shared" si="134"/>
        <v>179.560708047248</v>
      </c>
      <c r="Y102" s="131">
        <f t="shared" si="174"/>
        <v>35.9121416094495</v>
      </c>
      <c r="AA102" s="25">
        <f t="shared" si="135"/>
        <v>0.3</v>
      </c>
      <c r="AB102" s="5">
        <f t="shared" si="193"/>
        <v>4.94414711951832</v>
      </c>
      <c r="AC102" s="5">
        <f t="shared" si="194"/>
        <v>0.0888218444749205</v>
      </c>
      <c r="AD102" s="5"/>
      <c r="AE102" s="5">
        <f t="shared" si="138"/>
        <v>4.94414711951832</v>
      </c>
      <c r="AF102" s="216">
        <f t="shared" si="195"/>
        <v>980.467630657059</v>
      </c>
      <c r="AG102" s="217">
        <f t="shared" si="140"/>
        <v>0.0888218444749205</v>
      </c>
      <c r="AI102" s="5">
        <f t="shared" si="141"/>
        <v>0.529276495566504</v>
      </c>
      <c r="AJ102" s="5">
        <f t="shared" si="196"/>
        <v>1.5</v>
      </c>
      <c r="AK102" s="5">
        <f t="shared" si="197"/>
        <v>2</v>
      </c>
      <c r="AM102" s="216">
        <f t="shared" si="144"/>
        <v>485</v>
      </c>
      <c r="AN102" s="220">
        <f t="shared" si="145"/>
        <v>35.9121416094495</v>
      </c>
      <c r="AP102" t="str">
        <f t="shared" si="146"/>
        <v/>
      </c>
      <c r="AQ102" t="str">
        <f t="shared" si="147"/>
        <v/>
      </c>
      <c r="AS102" s="192">
        <f t="shared" si="175"/>
        <v>27.8457355975916</v>
      </c>
      <c r="AT102" s="192">
        <f t="shared" si="148"/>
        <v>3.125</v>
      </c>
      <c r="AU102" s="192">
        <f t="shared" si="176"/>
        <v>24.7207355975916</v>
      </c>
      <c r="AV102" s="192">
        <f t="shared" si="149"/>
        <v>24.7207355975916</v>
      </c>
      <c r="AW102" s="5">
        <f t="shared" si="177"/>
        <v>0.11222544252953</v>
      </c>
      <c r="AX102" s="5">
        <f t="shared" si="150"/>
        <v>1.01002898276577</v>
      </c>
      <c r="AY102" s="5">
        <f t="shared" si="151"/>
        <v>0.444109222374603</v>
      </c>
      <c r="AZ102" s="5">
        <f t="shared" si="178"/>
        <v>2.27428058657565</v>
      </c>
      <c r="BA102" s="220">
        <f t="shared" si="152"/>
        <v>4.91946604768167</v>
      </c>
      <c r="BB102" s="220">
        <f t="shared" si="153"/>
        <v>156.249076408437</v>
      </c>
      <c r="BC102" s="192">
        <f t="shared" si="154"/>
        <v>33.3043243467554</v>
      </c>
      <c r="BD102" s="220">
        <f t="shared" si="155"/>
        <v>21.0597234364056</v>
      </c>
      <c r="BE102" s="192"/>
      <c r="BF102" s="5">
        <f t="shared" si="179"/>
        <v>0.290119082269932</v>
      </c>
      <c r="BG102" s="5">
        <f t="shared" si="156"/>
        <v>0.544261748907509</v>
      </c>
      <c r="BH102" s="5"/>
      <c r="BI102" s="217">
        <f t="shared" si="157"/>
        <v>0.0294591786640016</v>
      </c>
      <c r="BJ102" s="217">
        <f t="shared" si="158"/>
        <v>0.00653766173143385</v>
      </c>
      <c r="BK102" s="217">
        <f t="shared" si="159"/>
        <v>0.000448901770118119</v>
      </c>
      <c r="BL102" s="217">
        <f t="shared" si="160"/>
        <v>0.00105791570449832</v>
      </c>
      <c r="BM102">
        <f t="shared" si="161"/>
        <v>0.00348</v>
      </c>
      <c r="BN102">
        <f t="shared" si="162"/>
        <v>6.28462478165367e-7</v>
      </c>
      <c r="BO102" s="217">
        <f t="shared" si="198"/>
        <v>0.0544808762618992</v>
      </c>
      <c r="BP102" s="220">
        <f t="shared" si="180"/>
        <v>54.4808762618992</v>
      </c>
      <c r="BQ102" s="217">
        <f t="shared" si="164"/>
        <v>0.508200316207555</v>
      </c>
      <c r="BR102" s="217"/>
      <c r="BT102" s="220">
        <f t="shared" si="181"/>
        <v>508.200316207555</v>
      </c>
      <c r="BU102" s="217">
        <f t="shared" si="165"/>
        <v>0.00345093235778304</v>
      </c>
      <c r="BV102" s="217">
        <f t="shared" si="166"/>
        <v>0.029622085132386</v>
      </c>
      <c r="BW102" s="217">
        <f t="shared" si="167"/>
        <v>0</v>
      </c>
      <c r="BX102" s="217">
        <f t="shared" si="199"/>
        <v>0.0457618427143913</v>
      </c>
      <c r="BY102" s="217">
        <f t="shared" si="169"/>
        <v>0.00323209274485046</v>
      </c>
      <c r="BZ102" s="220">
        <f t="shared" si="182"/>
        <v>48.9939354592418</v>
      </c>
      <c r="CA102" s="5">
        <f t="shared" si="183"/>
        <v>0.611675127928696</v>
      </c>
      <c r="CB102" s="192">
        <f t="shared" si="184"/>
        <v>0.909026084489191</v>
      </c>
      <c r="CC102" s="5">
        <f t="shared" si="185"/>
        <v>0.59776771207005</v>
      </c>
      <c r="CD102" s="192">
        <f t="shared" si="186"/>
        <v>59.776771207005</v>
      </c>
      <c r="CG102" s="227">
        <f t="shared" si="170"/>
        <v>-50</v>
      </c>
      <c r="CH102">
        <f t="shared" si="171"/>
        <v>-50</v>
      </c>
    </row>
    <row r="103" ht="13" spans="5:86">
      <c r="E103" s="22">
        <v>98</v>
      </c>
      <c r="F103" s="25">
        <f t="shared" si="200"/>
        <v>0.49</v>
      </c>
      <c r="G103" s="25"/>
      <c r="H103" s="25">
        <f t="shared" si="187"/>
        <v>8.82</v>
      </c>
      <c r="I103" s="212">
        <f t="shared" si="121"/>
        <v>12</v>
      </c>
      <c r="J103" s="27">
        <f t="shared" si="122"/>
        <v>1.47027305964791</v>
      </c>
      <c r="K103" s="131">
        <f t="shared" si="123"/>
        <v>24.2728</v>
      </c>
      <c r="L103" s="131"/>
      <c r="M103" s="25">
        <f t="shared" si="124"/>
        <v>0.505619458818101</v>
      </c>
      <c r="N103" s="27">
        <f t="shared" si="188"/>
        <v>4.09551761642662</v>
      </c>
      <c r="O103" s="27">
        <f t="shared" si="173"/>
        <v>0.88411064351945</v>
      </c>
      <c r="P103" s="25">
        <f t="shared" si="189"/>
        <v>0.227528756468145</v>
      </c>
      <c r="Q103" s="25">
        <f t="shared" si="127"/>
        <v>8.35819921719718</v>
      </c>
      <c r="R103" s="25">
        <f t="shared" si="190"/>
        <v>0.352560580420702</v>
      </c>
      <c r="S103" s="27">
        <f t="shared" si="129"/>
        <v>1.80430743575398</v>
      </c>
      <c r="T103" s="199">
        <f t="shared" si="191"/>
        <v>1.80430743575398</v>
      </c>
      <c r="U103" s="25">
        <f t="shared" si="131"/>
        <v>1.5</v>
      </c>
      <c r="V103" s="25">
        <f t="shared" si="192"/>
        <v>3.125</v>
      </c>
      <c r="W103" s="25">
        <f t="shared" si="133"/>
        <v>25.5054663172433</v>
      </c>
      <c r="X103" s="24">
        <f t="shared" si="134"/>
        <v>174.639139460633</v>
      </c>
      <c r="Y103" s="131">
        <f t="shared" si="174"/>
        <v>34.9278278921266</v>
      </c>
      <c r="AA103" s="25">
        <f t="shared" si="135"/>
        <v>0.3</v>
      </c>
      <c r="AB103" s="5">
        <f t="shared" si="193"/>
        <v>5.10109326344866</v>
      </c>
      <c r="AC103" s="5">
        <f t="shared" si="194"/>
        <v>0.0891295963106023</v>
      </c>
      <c r="AD103" s="5"/>
      <c r="AE103" s="5">
        <f t="shared" si="138"/>
        <v>5.10109326344866</v>
      </c>
      <c r="AF103" s="216">
        <f t="shared" si="195"/>
        <v>960.09834979507</v>
      </c>
      <c r="AG103" s="217">
        <f t="shared" si="140"/>
        <v>0.0891295963106023</v>
      </c>
      <c r="AI103" s="5">
        <f t="shared" si="141"/>
        <v>0.523749762985305</v>
      </c>
      <c r="AJ103" s="5">
        <f t="shared" si="196"/>
        <v>1.5</v>
      </c>
      <c r="AK103" s="5">
        <f t="shared" si="197"/>
        <v>2</v>
      </c>
      <c r="AM103" s="216">
        <f t="shared" si="144"/>
        <v>490</v>
      </c>
      <c r="AN103" s="220">
        <f t="shared" si="145"/>
        <v>34.9278278921266</v>
      </c>
      <c r="AP103" t="str">
        <f t="shared" si="146"/>
        <v/>
      </c>
      <c r="AQ103" t="str">
        <f t="shared" si="147"/>
        <v/>
      </c>
      <c r="AS103" s="192">
        <f t="shared" si="175"/>
        <v>28.6304663172433</v>
      </c>
      <c r="AT103" s="192">
        <f t="shared" si="148"/>
        <v>3.125</v>
      </c>
      <c r="AU103" s="192">
        <f t="shared" si="176"/>
        <v>25.5054663172433</v>
      </c>
      <c r="AV103" s="192">
        <f t="shared" si="149"/>
        <v>25.5054663172433</v>
      </c>
      <c r="AW103" s="5">
        <f t="shared" si="177"/>
        <v>0.109149462162895</v>
      </c>
      <c r="AX103" s="5">
        <f t="shared" si="150"/>
        <v>0.98234515946606</v>
      </c>
      <c r="AY103" s="5">
        <f t="shared" si="151"/>
        <v>0.445647981553012</v>
      </c>
      <c r="AZ103" s="5">
        <f t="shared" si="178"/>
        <v>2.20430743575399</v>
      </c>
      <c r="BA103" s="220">
        <f t="shared" si="152"/>
        <v>4.91946604768167</v>
      </c>
      <c r="BB103" s="220">
        <f t="shared" si="153"/>
        <v>159.472158553155</v>
      </c>
      <c r="BC103" s="192">
        <f t="shared" si="154"/>
        <v>34.71577359847</v>
      </c>
      <c r="BD103" s="220">
        <f t="shared" si="155"/>
        <v>21.1248957704236</v>
      </c>
      <c r="BE103" s="192"/>
      <c r="BF103" s="5">
        <f t="shared" si="179"/>
        <v>0.286115530200952</v>
      </c>
      <c r="BG103" s="5">
        <f t="shared" si="156"/>
        <v>0.5452038184898</v>
      </c>
      <c r="BH103" s="5"/>
      <c r="BI103" s="217">
        <f t="shared" si="157"/>
        <v>0.0286517338177601</v>
      </c>
      <c r="BJ103" s="217">
        <f t="shared" si="158"/>
        <v>0.00635847135645007</v>
      </c>
      <c r="BK103" s="217">
        <f t="shared" si="159"/>
        <v>0.000436597848651582</v>
      </c>
      <c r="BL103" s="217">
        <f t="shared" si="160"/>
        <v>0.00102891935693894</v>
      </c>
      <c r="BM103">
        <f t="shared" si="161"/>
        <v>0.00348</v>
      </c>
      <c r="BN103">
        <f t="shared" si="162"/>
        <v>6.11236988112215e-7</v>
      </c>
      <c r="BO103" s="217">
        <f t="shared" si="198"/>
        <v>0.053060098217268</v>
      </c>
      <c r="BP103" s="220">
        <f t="shared" si="180"/>
        <v>53.060098217268</v>
      </c>
      <c r="BQ103" s="217">
        <f t="shared" si="164"/>
        <v>0.512152963105207</v>
      </c>
      <c r="BR103" s="217"/>
      <c r="BT103" s="220">
        <f t="shared" si="181"/>
        <v>512.152963105207</v>
      </c>
      <c r="BU103" s="217">
        <f t="shared" si="165"/>
        <v>0.00335634596150904</v>
      </c>
      <c r="BV103" s="217">
        <f t="shared" si="166"/>
        <v>0.0297247203695859</v>
      </c>
      <c r="BW103" s="217">
        <f t="shared" si="167"/>
        <v>0</v>
      </c>
      <c r="BX103" s="217">
        <f t="shared" si="199"/>
        <v>0.0457730091330152</v>
      </c>
      <c r="BY103" s="217">
        <f t="shared" si="169"/>
        <v>0.00314350451029139</v>
      </c>
      <c r="BZ103" s="220">
        <f t="shared" si="182"/>
        <v>48.9165136433066</v>
      </c>
      <c r="CA103" s="5">
        <f t="shared" si="183"/>
        <v>0.614129574965782</v>
      </c>
      <c r="CB103" s="192">
        <f t="shared" si="184"/>
        <v>0.88411064351945</v>
      </c>
      <c r="CC103" s="5">
        <f t="shared" si="185"/>
        <v>0.590099393015436</v>
      </c>
      <c r="CD103" s="192">
        <f t="shared" si="186"/>
        <v>59.0099393015436</v>
      </c>
      <c r="CG103" s="227">
        <f t="shared" si="170"/>
        <v>-50</v>
      </c>
      <c r="CH103">
        <f t="shared" si="171"/>
        <v>-50</v>
      </c>
    </row>
    <row r="104" ht="13" spans="5:86">
      <c r="E104" s="22">
        <v>99</v>
      </c>
      <c r="F104" s="25">
        <f t="shared" si="200"/>
        <v>0.495</v>
      </c>
      <c r="G104" s="25"/>
      <c r="H104" s="25">
        <f t="shared" si="187"/>
        <v>8.91</v>
      </c>
      <c r="I104" s="212">
        <f t="shared" si="121"/>
        <v>12</v>
      </c>
      <c r="J104" s="27">
        <f t="shared" si="122"/>
        <v>1.42619685301947</v>
      </c>
      <c r="K104" s="131">
        <f t="shared" si="123"/>
        <v>24.2728</v>
      </c>
      <c r="L104" s="131"/>
      <c r="M104" s="25">
        <f t="shared" si="124"/>
        <v>0.505619458818101</v>
      </c>
      <c r="N104" s="27">
        <f t="shared" si="188"/>
        <v>4.09551761642662</v>
      </c>
      <c r="O104" s="27">
        <f t="shared" si="173"/>
        <v>0.860421952390761</v>
      </c>
      <c r="P104" s="25">
        <f t="shared" si="189"/>
        <v>0.227528756468145</v>
      </c>
      <c r="Q104" s="25">
        <f t="shared" si="127"/>
        <v>8.27377296247801</v>
      </c>
      <c r="R104" s="25">
        <f t="shared" si="190"/>
        <v>0.353841686864207</v>
      </c>
      <c r="S104" s="27">
        <f t="shared" si="129"/>
        <v>1.73822616644598</v>
      </c>
      <c r="T104" s="199">
        <f t="shared" si="191"/>
        <v>1.73822616644598</v>
      </c>
      <c r="U104" s="25">
        <f t="shared" si="131"/>
        <v>1.5</v>
      </c>
      <c r="V104" s="25">
        <f t="shared" si="192"/>
        <v>3.125</v>
      </c>
      <c r="W104" s="25">
        <f t="shared" si="133"/>
        <v>26.2937054731308</v>
      </c>
      <c r="X104" s="24">
        <f t="shared" si="134"/>
        <v>169.959891830274</v>
      </c>
      <c r="Y104" s="131">
        <f t="shared" si="174"/>
        <v>33.9919783660548</v>
      </c>
      <c r="AA104" s="25">
        <f t="shared" si="135"/>
        <v>0.3</v>
      </c>
      <c r="AB104" s="5">
        <f t="shared" si="193"/>
        <v>5.25874109462617</v>
      </c>
      <c r="AC104" s="5">
        <f t="shared" si="194"/>
        <v>0.0894221955139882</v>
      </c>
      <c r="AD104" s="5"/>
      <c r="AE104" s="5">
        <f t="shared" si="138"/>
        <v>5.25874109462617</v>
      </c>
      <c r="AF104" s="216">
        <f t="shared" si="195"/>
        <v>940.819513236232</v>
      </c>
      <c r="AG104" s="217">
        <f t="shared" si="140"/>
        <v>0.0894221955139882</v>
      </c>
      <c r="AI104" s="5">
        <f t="shared" si="141"/>
        <v>0.518464632554962</v>
      </c>
      <c r="AJ104" s="5">
        <f t="shared" si="196"/>
        <v>1.5</v>
      </c>
      <c r="AK104" s="5">
        <f t="shared" si="197"/>
        <v>2</v>
      </c>
      <c r="AM104" s="216">
        <f t="shared" si="144"/>
        <v>495</v>
      </c>
      <c r="AN104" s="220">
        <f t="shared" si="145"/>
        <v>33.9919783660548</v>
      </c>
      <c r="AP104" t="str">
        <f t="shared" si="146"/>
        <v/>
      </c>
      <c r="AQ104" t="str">
        <f t="shared" si="147"/>
        <v/>
      </c>
      <c r="AS104" s="192">
        <f t="shared" si="175"/>
        <v>29.4187054731308</v>
      </c>
      <c r="AT104" s="192">
        <f t="shared" si="148"/>
        <v>3.125</v>
      </c>
      <c r="AU104" s="192">
        <f t="shared" si="176"/>
        <v>26.2937054731308</v>
      </c>
      <c r="AV104" s="192">
        <f t="shared" si="149"/>
        <v>26.2937054731308</v>
      </c>
      <c r="AW104" s="5">
        <f t="shared" si="177"/>
        <v>0.106224932393921</v>
      </c>
      <c r="AX104" s="5">
        <f t="shared" si="150"/>
        <v>0.95602439154529</v>
      </c>
      <c r="AY104" s="5">
        <f t="shared" si="151"/>
        <v>0.447110977569941</v>
      </c>
      <c r="AZ104" s="5">
        <f t="shared" si="178"/>
        <v>2.13822616644598</v>
      </c>
      <c r="BA104" s="220">
        <f t="shared" si="152"/>
        <v>4.91946604768167</v>
      </c>
      <c r="BB104" s="220">
        <f t="shared" si="153"/>
        <v>162.728144104485</v>
      </c>
      <c r="BC104" s="192">
        <f t="shared" si="154"/>
        <v>36.1538450255549</v>
      </c>
      <c r="BD104" s="220">
        <f t="shared" si="155"/>
        <v>21.1868592449038</v>
      </c>
      <c r="BE104" s="192"/>
      <c r="BF104" s="5">
        <f t="shared" si="179"/>
        <v>0.282256442433899</v>
      </c>
      <c r="BG104" s="5">
        <f t="shared" si="156"/>
        <v>0.546097996736072</v>
      </c>
      <c r="BH104" s="5"/>
      <c r="BI104" s="217">
        <f t="shared" si="157"/>
        <v>0.0278840447534043</v>
      </c>
      <c r="BJ104" s="217">
        <f t="shared" si="158"/>
        <v>0.0061881036936268</v>
      </c>
      <c r="BK104" s="217">
        <f t="shared" si="159"/>
        <v>0.000424899729575684</v>
      </c>
      <c r="BL104" s="217">
        <f t="shared" si="160"/>
        <v>0.00100135068889776</v>
      </c>
      <c r="BM104">
        <f t="shared" si="161"/>
        <v>0.00348</v>
      </c>
      <c r="BN104">
        <f t="shared" si="162"/>
        <v>5.94859621405958e-7</v>
      </c>
      <c r="BO104" s="217">
        <f t="shared" si="198"/>
        <v>0.0517104902712371</v>
      </c>
      <c r="BP104" s="220">
        <f t="shared" si="180"/>
        <v>51.7104902712371</v>
      </c>
      <c r="BQ104" s="217">
        <f t="shared" si="164"/>
        <v>0.516073543634943</v>
      </c>
      <c r="BR104" s="217"/>
      <c r="BT104" s="220">
        <f t="shared" si="181"/>
        <v>516.073543634943</v>
      </c>
      <c r="BU104" s="217">
        <f t="shared" si="165"/>
        <v>0.00326641667111307</v>
      </c>
      <c r="BV104" s="217">
        <f t="shared" si="166"/>
        <v>0.0298223022039151</v>
      </c>
      <c r="BW104" s="217">
        <f t="shared" si="167"/>
        <v>0</v>
      </c>
      <c r="BX104" s="217">
        <f t="shared" si="199"/>
        <v>0.0457836257693117</v>
      </c>
      <c r="BY104" s="217">
        <f t="shared" si="169"/>
        <v>0.00305927805294493</v>
      </c>
      <c r="BZ104" s="220">
        <f t="shared" si="182"/>
        <v>48.8429038222566</v>
      </c>
      <c r="CA104" s="5">
        <f t="shared" si="183"/>
        <v>0.616626937728437</v>
      </c>
      <c r="CB104" s="192">
        <f t="shared" si="184"/>
        <v>0.860421952390761</v>
      </c>
      <c r="CC104" s="5">
        <f t="shared" si="185"/>
        <v>0.582527740379213</v>
      </c>
      <c r="CD104" s="192">
        <f t="shared" si="186"/>
        <v>58.2527740379213</v>
      </c>
      <c r="CG104" s="227">
        <f t="shared" si="170"/>
        <v>-50</v>
      </c>
      <c r="CH104">
        <f t="shared" si="171"/>
        <v>-50</v>
      </c>
    </row>
    <row r="105" ht="13" spans="5:86">
      <c r="E105" s="22">
        <v>100</v>
      </c>
      <c r="F105" s="25">
        <f t="shared" si="200"/>
        <v>0.5</v>
      </c>
      <c r="G105" s="25"/>
      <c r="H105" s="25">
        <f t="shared" si="187"/>
        <v>9</v>
      </c>
      <c r="I105" s="212">
        <f t="shared" si="121"/>
        <v>12</v>
      </c>
      <c r="J105" s="27">
        <f t="shared" si="122"/>
        <v>1.38455968579247</v>
      </c>
      <c r="K105" s="131">
        <f t="shared" si="123"/>
        <v>24.2728</v>
      </c>
      <c r="L105" s="131"/>
      <c r="M105" s="25">
        <f t="shared" si="124"/>
        <v>0.505619458818101</v>
      </c>
      <c r="N105" s="27">
        <f t="shared" si="188"/>
        <v>4.09551761642662</v>
      </c>
      <c r="O105" s="27">
        <f t="shared" si="173"/>
        <v>0.837900813937386</v>
      </c>
      <c r="P105" s="25">
        <f t="shared" si="189"/>
        <v>0.227528756468145</v>
      </c>
      <c r="Q105" s="25">
        <f t="shared" si="127"/>
        <v>8.19103523285323</v>
      </c>
      <c r="R105" s="25">
        <f t="shared" si="190"/>
        <v>0.35510837320624</v>
      </c>
      <c r="S105" s="27">
        <f t="shared" si="129"/>
        <v>1.67580162787477</v>
      </c>
      <c r="T105" s="199">
        <f t="shared" si="191"/>
        <v>1.67580162787477</v>
      </c>
      <c r="U105" s="25">
        <f t="shared" si="131"/>
        <v>1.5</v>
      </c>
      <c r="V105" s="25">
        <f t="shared" si="192"/>
        <v>3.125</v>
      </c>
      <c r="W105" s="25">
        <f t="shared" si="133"/>
        <v>27.0844228564523</v>
      </c>
      <c r="X105" s="24">
        <f t="shared" si="134"/>
        <v>165.511271888866</v>
      </c>
      <c r="Y105" s="131">
        <f t="shared" si="174"/>
        <v>33.1022543777732</v>
      </c>
      <c r="AA105" s="25">
        <f t="shared" si="135"/>
        <v>0.3</v>
      </c>
      <c r="AB105" s="5">
        <f t="shared" si="193"/>
        <v>5.41688457129046</v>
      </c>
      <c r="AC105" s="5">
        <f t="shared" si="194"/>
        <v>0.0897003732796993</v>
      </c>
      <c r="AD105" s="5"/>
      <c r="AE105" s="5">
        <f t="shared" si="138"/>
        <v>5.41688457129046</v>
      </c>
      <c r="AF105" s="216">
        <f t="shared" si="195"/>
        <v>922.578501277674</v>
      </c>
      <c r="AG105" s="217">
        <f t="shared" si="140"/>
        <v>0.0897003732796994</v>
      </c>
      <c r="AI105" s="5">
        <f t="shared" si="141"/>
        <v>0.513413924146888</v>
      </c>
      <c r="AJ105" s="5">
        <f t="shared" si="196"/>
        <v>1.5</v>
      </c>
      <c r="AK105" s="5">
        <f t="shared" si="197"/>
        <v>2</v>
      </c>
      <c r="AM105" s="216">
        <f t="shared" si="144"/>
        <v>500</v>
      </c>
      <c r="AN105" s="220">
        <f t="shared" si="145"/>
        <v>33.1022543777732</v>
      </c>
      <c r="AP105" t="str">
        <f t="shared" si="146"/>
        <v/>
      </c>
      <c r="AQ105" s="3" t="str">
        <f t="shared" si="147"/>
        <v/>
      </c>
      <c r="AS105" s="192">
        <f t="shared" si="175"/>
        <v>30.2094228564523</v>
      </c>
      <c r="AT105" s="192">
        <f t="shared" si="148"/>
        <v>3.125</v>
      </c>
      <c r="AU105" s="192">
        <f t="shared" si="176"/>
        <v>27.0844228564523</v>
      </c>
      <c r="AV105" s="192">
        <f t="shared" si="149"/>
        <v>27.0844228564523</v>
      </c>
      <c r="AW105" s="5">
        <f t="shared" si="177"/>
        <v>0.103444544930541</v>
      </c>
      <c r="AX105" s="5">
        <f t="shared" si="150"/>
        <v>0.931000904374871</v>
      </c>
      <c r="AY105" s="5">
        <f t="shared" si="151"/>
        <v>0.448501866398497</v>
      </c>
      <c r="AZ105" s="5">
        <f t="shared" si="178"/>
        <v>2.07580162787477</v>
      </c>
      <c r="BA105" s="220">
        <f t="shared" si="152"/>
        <v>4.91946604768167</v>
      </c>
      <c r="BB105" s="220">
        <f t="shared" si="153"/>
        <v>166.017033062427</v>
      </c>
      <c r="BC105" s="192">
        <f t="shared" si="154"/>
        <v>37.6172539672949</v>
      </c>
      <c r="BD105" s="220">
        <f t="shared" si="155"/>
        <v>21.2457687042842</v>
      </c>
      <c r="BE105" s="192"/>
      <c r="BF105" s="5">
        <f t="shared" si="179"/>
        <v>0.278537984299998</v>
      </c>
      <c r="BG105" s="5">
        <f t="shared" si="156"/>
        <v>0.546946747762337</v>
      </c>
      <c r="BH105" s="5"/>
      <c r="BI105" s="217">
        <f t="shared" si="157"/>
        <v>0.0271541930442671</v>
      </c>
      <c r="BJ105" s="217">
        <f t="shared" si="158"/>
        <v>0.0060261330004561</v>
      </c>
      <c r="BK105" s="217">
        <f t="shared" si="159"/>
        <v>0.000413778179722165</v>
      </c>
      <c r="BL105" s="217">
        <f t="shared" si="160"/>
        <v>0.000975140807289805</v>
      </c>
      <c r="BM105">
        <f t="shared" si="161"/>
        <v>0.00348</v>
      </c>
      <c r="BN105">
        <f t="shared" si="162"/>
        <v>5.79289451611031e-7</v>
      </c>
      <c r="BO105" s="217">
        <f t="shared" si="198"/>
        <v>0.0504284985133659</v>
      </c>
      <c r="BP105" s="220">
        <f t="shared" si="180"/>
        <v>50.4284985133659</v>
      </c>
      <c r="BQ105" s="217">
        <f t="shared" si="164"/>
        <v>0.519963605168552</v>
      </c>
      <c r="BR105" s="217"/>
      <c r="BT105" s="220">
        <f t="shared" si="181"/>
        <v>519.963605168552</v>
      </c>
      <c r="BU105" s="217">
        <f t="shared" si="165"/>
        <v>0.00318091975661414</v>
      </c>
      <c r="BV105" s="217">
        <f t="shared" si="166"/>
        <v>0.0299150744887797</v>
      </c>
      <c r="BW105" s="217">
        <f t="shared" si="167"/>
        <v>0</v>
      </c>
      <c r="BX105" s="217">
        <f t="shared" si="199"/>
        <v>0.0457937191518856</v>
      </c>
      <c r="BY105" s="217">
        <f t="shared" si="169"/>
        <v>0.00297920289399959</v>
      </c>
      <c r="BZ105" s="220">
        <f t="shared" si="182"/>
        <v>48.7729220458852</v>
      </c>
      <c r="CA105" s="5">
        <f t="shared" si="183"/>
        <v>0.619165025727803</v>
      </c>
      <c r="CB105" s="192">
        <f t="shared" si="184"/>
        <v>0.837900813937386</v>
      </c>
      <c r="CC105" s="5">
        <f t="shared" si="185"/>
        <v>0.575060365240546</v>
      </c>
      <c r="CD105" s="192">
        <f t="shared" si="186"/>
        <v>57.5060365240546</v>
      </c>
      <c r="CG105" s="227">
        <f t="shared" si="170"/>
        <v>-50</v>
      </c>
      <c r="CH105">
        <f t="shared" si="171"/>
        <v>-50</v>
      </c>
    </row>
    <row r="106" ht="13" spans="5:85">
      <c r="E106" s="22"/>
      <c r="F106" s="25"/>
      <c r="G106" s="25"/>
      <c r="H106" s="25"/>
      <c r="I106" s="212"/>
      <c r="J106" s="131"/>
      <c r="K106" s="131"/>
      <c r="L106" s="131"/>
      <c r="M106" s="25"/>
      <c r="N106" s="27"/>
      <c r="O106" s="27"/>
      <c r="P106" s="25"/>
      <c r="Q106" s="25"/>
      <c r="R106" s="25"/>
      <c r="S106" s="27"/>
      <c r="T106" s="27"/>
      <c r="U106" s="25"/>
      <c r="V106" s="25"/>
      <c r="W106" s="25"/>
      <c r="X106" s="24"/>
      <c r="Y106" s="131"/>
      <c r="AA106" s="25"/>
      <c r="AB106" s="5"/>
      <c r="AC106" s="5"/>
      <c r="AD106" s="5"/>
      <c r="AE106" s="5"/>
      <c r="AF106" s="216"/>
      <c r="AI106" s="5"/>
      <c r="AJ106" s="5"/>
      <c r="AK106" s="5"/>
      <c r="AM106" s="216"/>
      <c r="AN106" s="220"/>
      <c r="AQ106" s="3"/>
      <c r="AS106" s="192"/>
      <c r="AT106" s="192"/>
      <c r="AU106" s="192"/>
      <c r="AV106" s="192"/>
      <c r="AW106" s="5"/>
      <c r="AX106" s="5"/>
      <c r="AY106" s="5"/>
      <c r="AZ106" s="5"/>
      <c r="BA106" s="220"/>
      <c r="BB106" s="220"/>
      <c r="BC106" s="192"/>
      <c r="BD106" s="220"/>
      <c r="BE106" s="192"/>
      <c r="BF106" s="5"/>
      <c r="BG106" s="5"/>
      <c r="BH106" s="5"/>
      <c r="BI106" s="217"/>
      <c r="BJ106" s="217"/>
      <c r="BK106" s="217"/>
      <c r="BL106" s="217"/>
      <c r="BO106" s="217"/>
      <c r="BP106" s="220"/>
      <c r="BQ106" s="217"/>
      <c r="BR106" s="217"/>
      <c r="BT106" s="220"/>
      <c r="BU106" s="217"/>
      <c r="BV106" s="217"/>
      <c r="BW106" s="217"/>
      <c r="BX106" s="217"/>
      <c r="BY106" s="217"/>
      <c r="BZ106" s="220"/>
      <c r="CA106" s="5"/>
      <c r="CB106" s="192"/>
      <c r="CC106" s="5"/>
      <c r="CD106" s="192"/>
      <c r="CG106" s="227"/>
    </row>
    <row r="107" spans="8:85">
      <c r="H107" s="25"/>
      <c r="I107" s="212"/>
      <c r="J107" s="131"/>
      <c r="K107" s="131"/>
      <c r="L107" s="131"/>
      <c r="M107" s="25"/>
      <c r="N107" s="27"/>
      <c r="O107" s="27"/>
      <c r="P107" s="25"/>
      <c r="Q107" s="25"/>
      <c r="R107" s="25"/>
      <c r="S107" s="27"/>
      <c r="T107" s="27"/>
      <c r="U107" s="25"/>
      <c r="V107" s="25"/>
      <c r="W107" s="25"/>
      <c r="X107" s="24"/>
      <c r="Y107" s="131"/>
      <c r="AA107" s="25"/>
      <c r="AB107" s="5"/>
      <c r="AC107" s="5"/>
      <c r="AD107" s="5"/>
      <c r="AE107" s="5"/>
      <c r="AF107" s="216"/>
      <c r="AI107" s="5"/>
      <c r="AJ107" s="5"/>
      <c r="AK107" s="5"/>
      <c r="AM107" s="216"/>
      <c r="AN107" s="220"/>
      <c r="AS107" s="192"/>
      <c r="AT107" s="192"/>
      <c r="AU107" s="192"/>
      <c r="AV107" s="192"/>
      <c r="AW107" s="5"/>
      <c r="AX107" s="5"/>
      <c r="AY107" s="5"/>
      <c r="AZ107" s="5"/>
      <c r="BA107" s="220"/>
      <c r="BB107" s="220"/>
      <c r="BC107" s="192"/>
      <c r="BD107" s="220"/>
      <c r="BF107" s="5"/>
      <c r="BG107" s="5"/>
      <c r="BI107" s="217"/>
      <c r="BJ107" s="217"/>
      <c r="BK107" s="217"/>
      <c r="BL107" s="217"/>
      <c r="BO107" s="217"/>
      <c r="BP107" s="220"/>
      <c r="BQ107" s="217"/>
      <c r="BT107" s="220"/>
      <c r="BU107" s="217"/>
      <c r="BV107" s="217"/>
      <c r="BW107" s="217"/>
      <c r="BX107" s="217"/>
      <c r="BY107" s="217"/>
      <c r="BZ107" s="220"/>
      <c r="CA107" s="5"/>
      <c r="CB107" s="192"/>
      <c r="CC107" s="5"/>
      <c r="CD107" s="192"/>
      <c r="CG107" s="227"/>
    </row>
    <row r="108" ht="13" spans="5:85">
      <c r="E108" s="204" t="s">
        <v>631</v>
      </c>
      <c r="H108" s="25"/>
      <c r="I108" s="212"/>
      <c r="J108" s="131"/>
      <c r="K108" s="131"/>
      <c r="L108" s="131"/>
      <c r="M108" s="25"/>
      <c r="N108" s="27">
        <f>Efficiency</f>
        <v>0.9</v>
      </c>
      <c r="O108" s="27"/>
      <c r="P108" s="25"/>
      <c r="Q108" s="25"/>
      <c r="R108" s="25"/>
      <c r="S108" s="27"/>
      <c r="T108" s="27"/>
      <c r="U108" s="25"/>
      <c r="V108" s="25"/>
      <c r="W108" s="25"/>
      <c r="X108" s="24"/>
      <c r="Y108" s="131"/>
      <c r="AA108" s="25"/>
      <c r="AB108" s="5"/>
      <c r="AC108" s="5"/>
      <c r="AD108" s="5"/>
      <c r="AE108" s="5"/>
      <c r="AF108" s="216"/>
      <c r="AI108" s="5"/>
      <c r="AJ108" s="5"/>
      <c r="AK108" s="5"/>
      <c r="AM108" s="216"/>
      <c r="AN108" s="220"/>
      <c r="AS108" s="192"/>
      <c r="AT108" s="192"/>
      <c r="AU108" s="192"/>
      <c r="AV108" s="192"/>
      <c r="AW108" s="5"/>
      <c r="AX108" s="5"/>
      <c r="AY108" s="5"/>
      <c r="AZ108" s="5"/>
      <c r="BA108" s="220"/>
      <c r="BB108" s="220"/>
      <c r="BC108" s="192"/>
      <c r="BD108" s="220"/>
      <c r="BF108" s="5"/>
      <c r="BG108" s="5"/>
      <c r="BI108" s="217"/>
      <c r="BJ108" s="217"/>
      <c r="BK108" s="217"/>
      <c r="BL108" s="217"/>
      <c r="BO108" s="217"/>
      <c r="BP108" s="220"/>
      <c r="BQ108" s="217"/>
      <c r="BT108" s="220"/>
      <c r="BU108" s="217"/>
      <c r="BV108" s="217"/>
      <c r="BW108" s="217"/>
      <c r="BX108" s="217"/>
      <c r="BY108" s="217"/>
      <c r="BZ108" s="220"/>
      <c r="CA108" s="5"/>
      <c r="CB108" s="192"/>
      <c r="CC108" s="5"/>
      <c r="CD108" s="192"/>
      <c r="CG108" s="227">
        <f>Ioutmax_Vinmin</f>
        <v>0.208286268453001</v>
      </c>
    </row>
    <row r="109" ht="45" customHeight="1" spans="5:85">
      <c r="E109" s="38" t="s">
        <v>566</v>
      </c>
      <c r="F109" s="121" t="s">
        <v>567</v>
      </c>
      <c r="G109" s="170"/>
      <c r="H109" s="190" t="s">
        <v>568</v>
      </c>
      <c r="I109" s="117" t="s">
        <v>569</v>
      </c>
      <c r="J109" s="118" t="s">
        <v>570</v>
      </c>
      <c r="K109" s="190" t="s">
        <v>571</v>
      </c>
      <c r="L109" s="190"/>
      <c r="M109" s="120" t="s">
        <v>572</v>
      </c>
      <c r="N109" s="190" t="s">
        <v>573</v>
      </c>
      <c r="O109" s="190" t="s">
        <v>574</v>
      </c>
      <c r="P109" s="190" t="s">
        <v>575</v>
      </c>
      <c r="Q109" s="190" t="s">
        <v>576</v>
      </c>
      <c r="R109" s="190" t="s">
        <v>577</v>
      </c>
      <c r="S109" s="190" t="s">
        <v>578</v>
      </c>
      <c r="T109" s="190" t="s">
        <v>579</v>
      </c>
      <c r="U109" s="190" t="s">
        <v>580</v>
      </c>
      <c r="V109" s="190" t="s">
        <v>581</v>
      </c>
      <c r="W109" s="190" t="s">
        <v>582</v>
      </c>
      <c r="X109" s="228" t="s">
        <v>583</v>
      </c>
      <c r="Y109" s="229" t="s">
        <v>584</v>
      </c>
      <c r="AA109" s="128" t="s">
        <v>585</v>
      </c>
      <c r="AB109" s="128" t="s">
        <v>586</v>
      </c>
      <c r="AC109" s="128" t="s">
        <v>587</v>
      </c>
      <c r="AD109" s="215"/>
      <c r="AE109" s="128" t="s">
        <v>588</v>
      </c>
      <c r="AF109" s="128" t="s">
        <v>632</v>
      </c>
      <c r="AG109" s="128" t="s">
        <v>590</v>
      </c>
      <c r="AH109" s="215"/>
      <c r="AI109" s="128" t="s">
        <v>591</v>
      </c>
      <c r="AJ109" s="218" t="s">
        <v>592</v>
      </c>
      <c r="AK109" s="218" t="s">
        <v>593</v>
      </c>
      <c r="AM109" s="219" t="s">
        <v>594</v>
      </c>
      <c r="AN109" s="219" t="s">
        <v>595</v>
      </c>
      <c r="AP109" s="128" t="s">
        <v>594</v>
      </c>
      <c r="AQ109" s="128" t="s">
        <v>595</v>
      </c>
      <c r="AR109" s="221"/>
      <c r="AS109" s="128" t="s">
        <v>596</v>
      </c>
      <c r="AT109" s="128" t="s">
        <v>597</v>
      </c>
      <c r="AU109" s="128" t="s">
        <v>598</v>
      </c>
      <c r="AV109" s="128" t="s">
        <v>599</v>
      </c>
      <c r="AW109" s="128" t="s">
        <v>572</v>
      </c>
      <c r="AX109" s="221" t="s">
        <v>600</v>
      </c>
      <c r="AY109" s="215" t="s">
        <v>601</v>
      </c>
      <c r="AZ109" s="215" t="s">
        <v>602</v>
      </c>
      <c r="BA109" s="128" t="s">
        <v>603</v>
      </c>
      <c r="BB109" s="128" t="s">
        <v>604</v>
      </c>
      <c r="BC109" s="128" t="s">
        <v>605</v>
      </c>
      <c r="BD109" s="128" t="s">
        <v>606</v>
      </c>
      <c r="BE109" s="215"/>
      <c r="BF109" s="223" t="s">
        <v>607</v>
      </c>
      <c r="BG109" s="128" t="s">
        <v>608</v>
      </c>
      <c r="BH109" s="215"/>
      <c r="BI109" s="223" t="s">
        <v>609</v>
      </c>
      <c r="BJ109" s="128" t="s">
        <v>610</v>
      </c>
      <c r="BK109" s="128" t="s">
        <v>611</v>
      </c>
      <c r="BL109" s="128" t="s">
        <v>612</v>
      </c>
      <c r="BM109" s="128" t="s">
        <v>613</v>
      </c>
      <c r="BN109" s="128" t="s">
        <v>614</v>
      </c>
      <c r="BO109" s="128" t="s">
        <v>615</v>
      </c>
      <c r="BP109" s="128" t="s">
        <v>616</v>
      </c>
      <c r="BQ109" s="223" t="s">
        <v>617</v>
      </c>
      <c r="BR109" s="128" t="s">
        <v>618</v>
      </c>
      <c r="BS109" s="128" t="s">
        <v>619</v>
      </c>
      <c r="BT109" s="128" t="s">
        <v>633</v>
      </c>
      <c r="BU109" s="223" t="s">
        <v>621</v>
      </c>
      <c r="BV109" s="128" t="s">
        <v>622</v>
      </c>
      <c r="BW109" s="128" t="s">
        <v>623</v>
      </c>
      <c r="BX109" s="128"/>
      <c r="BY109" s="128" t="s">
        <v>625</v>
      </c>
      <c r="BZ109" s="128" t="s">
        <v>634</v>
      </c>
      <c r="CA109" s="223" t="s">
        <v>627</v>
      </c>
      <c r="CB109" s="128" t="s">
        <v>568</v>
      </c>
      <c r="CC109" s="128" t="s">
        <v>183</v>
      </c>
      <c r="CD109" s="128" t="s">
        <v>628</v>
      </c>
      <c r="CE109" s="128"/>
      <c r="CG109" s="227"/>
    </row>
    <row r="110" spans="5:86">
      <c r="E110" s="22">
        <v>0.1</v>
      </c>
      <c r="F110" s="25">
        <v>1e-9</v>
      </c>
      <c r="G110" s="25"/>
      <c r="H110" s="25">
        <f t="shared" ref="H110:H141" si="201">F110*Vout</f>
        <v>1.8e-8</v>
      </c>
      <c r="I110" s="212">
        <f t="shared" ref="I110:I141" si="202">VIN_min</f>
        <v>10</v>
      </c>
      <c r="J110" s="131">
        <f t="shared" ref="J110:J141" si="203">(T110+Vfwd1)*Nps</f>
        <v>12.2728</v>
      </c>
      <c r="K110" s="131">
        <f t="shared" ref="K110:K141" si="204">(Vout+Vfwd1)*Nps+I110</f>
        <v>22.2728</v>
      </c>
      <c r="L110" s="131"/>
      <c r="M110" s="25">
        <f t="shared" ref="M110:M141" si="205">(Vout+Vfwd1)*Nps/((Vout+Vfwd1)*Nps+I110)</f>
        <v>0.551021874214288</v>
      </c>
      <c r="N110" s="27">
        <f t="shared" ref="N110:N141" si="206">M110*I110*(Isw_max+VIN_min/Lmag*ILIM_delay)*0.5*Efficiency</f>
        <v>3.74915283215402</v>
      </c>
      <c r="O110" s="27">
        <f t="shared" si="173"/>
        <v>1.8e-8</v>
      </c>
      <c r="P110" s="25">
        <f t="shared" ref="P110:P141" si="207">N110/Vout</f>
        <v>0.208286268453001</v>
      </c>
      <c r="Q110" s="25">
        <f t="shared" ref="Q110:Q141" si="208">MIN(Vout,N110/F110)</f>
        <v>18</v>
      </c>
      <c r="R110" s="25"/>
      <c r="S110" s="27">
        <f t="shared" ref="S110:S141" si="209">(SQRT(Isw_max^2*Nps^2*I110^2+4*Isw_max*F110/Efficiency*(Nps^2*Vfwd1*I110-Nps*I110^2)+4*(F110/Efficiency)^2*Nps^2*Vfwd1^2+8*(F110/Efficiency)^2*Nps*Vfwd1*I110+4*(F110/Efficiency)^2*I110^2)-2*F110/Efficiency*I110-2*F110/Efficiency*Nps*Vfwd1+Isw_max*Nps*I110)/(4*F110/Efficiency*Nps)</f>
        <v>6749999985.0075</v>
      </c>
      <c r="T110" s="27">
        <f t="shared" ref="T110:T141" si="210">MIN(Vout,S110)</f>
        <v>18</v>
      </c>
      <c r="U110" s="25">
        <f t="shared" ref="U110:U141" si="211">MIN(2*Vout*F110/(Efficiency*I110*M110),Isw_max)</f>
        <v>7.25923994524477e-9</v>
      </c>
      <c r="V110" s="25">
        <f t="shared" ref="V110:V141" si="212">L*U110/I110*1000000</f>
        <v>1.81480998631119e-8</v>
      </c>
      <c r="W110" s="25">
        <f t="shared" ref="W110:W141" si="213">L*U110/J110*1000000</f>
        <v>1.47872530010364e-8</v>
      </c>
      <c r="X110" s="24">
        <f t="shared" ref="X110:X141" si="214">IF(1/((350000*L)*(1/I110+1/J110))&gt;Isw_min,350,0.001/((Isw_min*L)*(1/I110+1/J110)))</f>
        <v>350</v>
      </c>
      <c r="Y110" s="131">
        <f t="shared" ref="Y110:Y169" si="215">MIN(1/(V110+W110)*1000,350)</f>
        <v>350</v>
      </c>
      <c r="AA110" s="25">
        <f t="shared" ref="AA110:AA141" si="216">1/((X110*1000*L)*(1/I110+1/J110))</f>
        <v>0.62973928481633</v>
      </c>
      <c r="AB110" s="5">
        <f t="shared" ref="AB110:AB141" si="217">L*AA110/J110*1000000</f>
        <v>1.28279464510203</v>
      </c>
      <c r="AC110" s="5">
        <f t="shared" ref="AC110:AC141" si="218">0.5*AB110*AA110*Nps*X110/1000</f>
        <v>0.0942935111374618</v>
      </c>
      <c r="AD110" s="5"/>
      <c r="AE110" s="5">
        <f t="shared" ref="AE110:AE141" si="219">L*Isw_min/J110*1000000</f>
        <v>0.611107489733394</v>
      </c>
      <c r="AF110" s="216">
        <f t="shared" ref="AF110:AF141" si="220">MAX(12000,F110/(0.5*AE110/1000000*Isw_min*Nps))/1000</f>
        <v>12</v>
      </c>
      <c r="AG110" s="217">
        <f t="shared" ref="AG110:AG141" si="221">0.5*AE110/1000000*Isw_min*Nps*X110*1000</f>
        <v>0.0213994565217391</v>
      </c>
      <c r="AI110" s="5">
        <f t="shared" ref="AI110:AI141" si="222">SQRT(F110/(0.5*L/J110*Fsw_DCM*Nps))</f>
        <v>6.48514786702222e-5</v>
      </c>
      <c r="AJ110" s="5">
        <f t="shared" ref="AJ110:AJ141" si="223">MAX(IF(F110&gt;AC110,U110,AI110),Isw_min)</f>
        <v>0.3</v>
      </c>
      <c r="AK110" s="5">
        <f t="shared" ref="AK110:AK141" si="224">IF(F110&gt;AG110,(AJ110-Isw_min)/1.2*0.8+1.2,AF110*0.2/350+1)</f>
        <v>1.00685714285714</v>
      </c>
      <c r="AM110" s="216">
        <f t="shared" ref="AM110:AM141" si="225">F110*1000</f>
        <v>1e-6</v>
      </c>
      <c r="AN110" s="220">
        <f t="shared" ref="AN110:AN141" si="226">IF(F110&gt;AG110,Y110,AF110)</f>
        <v>12</v>
      </c>
      <c r="AP110" s="220">
        <f t="shared" ref="AP110:AP141" si="227">IF(H110&gt;N110,"",AM110)</f>
        <v>1e-6</v>
      </c>
      <c r="AQ110" s="220">
        <f t="shared" ref="AQ110:AQ141" si="228">IF(H110&gt;N110,"",AN110)</f>
        <v>12</v>
      </c>
      <c r="AS110" s="192">
        <f t="shared" si="175"/>
        <v>83.3333333333333</v>
      </c>
      <c r="AT110" s="192">
        <f t="shared" ref="AT110:AT141" si="229">L*AJ110/I110*1000000</f>
        <v>0.75</v>
      </c>
      <c r="AU110" s="192">
        <f t="shared" ref="AU110:AU169" si="230">AS110-AT110</f>
        <v>82.5833333333333</v>
      </c>
      <c r="AV110" s="192"/>
      <c r="AW110" s="5">
        <f t="shared" ref="AW110:AW169" si="231">AT110/AS110</f>
        <v>0.009</v>
      </c>
      <c r="AX110" s="5">
        <f t="shared" si="150"/>
        <v>0.0135</v>
      </c>
      <c r="AY110" s="5">
        <f t="shared" si="151"/>
        <v>0.09914955</v>
      </c>
      <c r="AZ110" s="5">
        <f t="shared" si="178"/>
        <v>0.136157955331113</v>
      </c>
      <c r="BA110" s="220">
        <f t="shared" ref="BA110:BA141" si="232">L*Isw_max^2/(2*Vout_ripple*Vout)*1000000000*((1+M110)/2)^2</f>
        <v>5.22063553448612</v>
      </c>
      <c r="BB110" s="220">
        <f t="shared" ref="BB110:BB141" si="233">L*F110^2/(2*Cout*Vout*Nps^2)*1000000000*((1+M110)/(1-M110))^2+F110*RCoutEsr</f>
        <v>3.0000008467372e-9</v>
      </c>
      <c r="BC110" s="192">
        <f t="shared" ref="BC110:BC116" si="234">H110/Efficiency/I110*AU110/Vinripple1</f>
        <v>2.75277777777778e-7</v>
      </c>
      <c r="BD110" s="220">
        <f t="shared" ref="BD110:BD141" si="235">((CB110/I110/Efficiency)*AU110/Cin+(CB110/I110/Efficiency)*RCinEsr)*1000</f>
        <v>1.65766666666667e-6</v>
      </c>
      <c r="BF110" s="5">
        <f t="shared" si="179"/>
        <v>0.016431676725155</v>
      </c>
      <c r="BG110" s="5">
        <f t="shared" si="156"/>
        <v>0.115006738802559</v>
      </c>
      <c r="BI110" s="217">
        <f t="shared" ref="BI110:BI169" si="236">Rdson*BF110^2</f>
        <v>9.45e-5</v>
      </c>
      <c r="BJ110" s="217">
        <f t="shared" ref="BJ110:BJ169" si="237">0.5*K110*AJ110*AN110*1000*Trise</f>
        <v>0.0004009104</v>
      </c>
      <c r="BK110" s="217">
        <f t="shared" ref="BK110:BK169" si="238">Qg*Vdd*AN110*1000</f>
        <v>0.00015</v>
      </c>
      <c r="BL110" s="217">
        <f t="shared" ref="BL110:BL169" si="239">0.5*(Coss+Csw)*K110^2*AN110*1000</f>
        <v>0.000297646571904</v>
      </c>
      <c r="BM110">
        <f t="shared" ref="BM110:BM169" si="240">I110*IQ</f>
        <v>0.0029</v>
      </c>
      <c r="BN110">
        <f t="shared" ref="BN110:BN141" si="241">(I110-Vdd)*Qg*AN110</f>
        <v>1.5e-7</v>
      </c>
      <c r="BO110" s="217">
        <f t="shared" ref="BO110:BO141" si="242">(BJ110+BK110+BL110+BM110+BN110+BI110*(1+RdsonTC*(Ta-25)))/(1-BI110*RdsonTC*ThetaJA)</f>
        <v>0.0038838121707947</v>
      </c>
      <c r="BP110" s="220">
        <f t="shared" ref="BP110:BP169" si="243">SUM(BI110:BM110)*1000</f>
        <v>3.843056971904</v>
      </c>
      <c r="BQ110" s="217">
        <f t="shared" ref="BQ110:BQ141" si="244">(Vfwd2*F110+BG110^2*Rdiode)*(1+Diode_TC/1000*(Ta-25))</f>
        <v>0.0083929079437385</v>
      </c>
      <c r="BT110" s="220">
        <f t="shared" ref="BT110:BT169" si="245">SUM(BQ110:BS110)*1000</f>
        <v>8.39290794373849</v>
      </c>
      <c r="BU110" s="217">
        <f t="shared" ref="BU110:BU169" si="246">Rdcr_pri*BF110^2</f>
        <v>1.107e-5</v>
      </c>
      <c r="BV110" s="217">
        <f t="shared" ref="BV110:BV169" si="247">Rdcr_sec*BG110^2</f>
        <v>0.001322654997</v>
      </c>
      <c r="BW110" s="217">
        <f t="shared" ref="BW110:BW169" si="248">AJ110^2.5*AN110^2.5*k_core</f>
        <v>0</v>
      </c>
      <c r="BX110" s="217"/>
      <c r="BY110" s="217">
        <f t="shared" ref="BY110:BY169" si="249">0.5*Lleak*0.000000001*AJ110^2*AN110*1000</f>
        <v>4.32e-5</v>
      </c>
      <c r="BZ110" s="220">
        <f t="shared" ref="BZ110:BZ169" si="250">SUM(BU110:BY110)*1000</f>
        <v>1.376924997</v>
      </c>
      <c r="CA110" s="5">
        <f t="shared" ref="CA110:CA169" si="251">SUM(BI110:BM110,BQ110:BS110,BU110:BY110)</f>
        <v>0.0136128899126425</v>
      </c>
      <c r="CB110" s="192">
        <f t="shared" ref="CB110:CB169" si="252">MIN(H110,O110)</f>
        <v>1.8e-8</v>
      </c>
      <c r="CC110" s="5">
        <f t="shared" ref="CC110:CC169" si="253">CB110/(CB110+CA110)</f>
        <v>1.32227442626591e-6</v>
      </c>
      <c r="CD110" s="192">
        <f t="shared" ref="CD110:CD169" si="254">CC110*100</f>
        <v>0.000132227442626591</v>
      </c>
      <c r="CG110" s="227">
        <f t="shared" ref="CG110:CG141" si="255">IF(ABS(F110-Ioutmax_Vinmin)&lt;Iout/200,AN110,-50)</f>
        <v>-50</v>
      </c>
      <c r="CH110">
        <f t="shared" ref="CH110:CH141" si="256">IF(ABS(F110-Ioutmax_Vinmin)&lt;Iout/200,N110*CC110,-50)</f>
        <v>-50</v>
      </c>
    </row>
    <row r="111" spans="5:86">
      <c r="E111" s="22">
        <v>1</v>
      </c>
      <c r="F111" s="25">
        <f t="shared" ref="F111:F142" si="257">IF(PLOT_TYPE=1,E111/100*Iout_max,min_I*EXP(N111*rr/100))</f>
        <v>0.005</v>
      </c>
      <c r="G111" s="25"/>
      <c r="H111" s="25">
        <f t="shared" si="201"/>
        <v>0.09</v>
      </c>
      <c r="I111" s="212">
        <f t="shared" si="202"/>
        <v>10</v>
      </c>
      <c r="J111" s="131">
        <f t="shared" si="203"/>
        <v>12.2728</v>
      </c>
      <c r="K111" s="131">
        <f t="shared" si="204"/>
        <v>22.2728</v>
      </c>
      <c r="L111" s="131"/>
      <c r="M111" s="25">
        <f t="shared" si="205"/>
        <v>0.551021874214288</v>
      </c>
      <c r="N111" s="27">
        <f t="shared" si="206"/>
        <v>3.74915283215402</v>
      </c>
      <c r="O111" s="27">
        <f t="shared" si="173"/>
        <v>0.09</v>
      </c>
      <c r="P111" s="25">
        <f t="shared" si="207"/>
        <v>0.208286268453001</v>
      </c>
      <c r="Q111" s="25">
        <f t="shared" si="208"/>
        <v>18</v>
      </c>
      <c r="R111" s="25"/>
      <c r="S111" s="27">
        <f t="shared" si="209"/>
        <v>1335.01198700196</v>
      </c>
      <c r="T111" s="27">
        <f t="shared" si="210"/>
        <v>18</v>
      </c>
      <c r="U111" s="25">
        <f t="shared" si="211"/>
        <v>0.0362961997262239</v>
      </c>
      <c r="V111" s="25">
        <f t="shared" si="212"/>
        <v>0.0907404993155596</v>
      </c>
      <c r="W111" s="25">
        <f t="shared" si="213"/>
        <v>0.0739362650051819</v>
      </c>
      <c r="X111" s="24">
        <f t="shared" si="214"/>
        <v>350</v>
      </c>
      <c r="Y111" s="131">
        <f t="shared" si="215"/>
        <v>350</v>
      </c>
      <c r="AA111" s="25">
        <f t="shared" si="216"/>
        <v>0.62973928481633</v>
      </c>
      <c r="AB111" s="5">
        <f t="shared" si="217"/>
        <v>1.28279464510203</v>
      </c>
      <c r="AC111" s="5">
        <f t="shared" si="218"/>
        <v>0.0942935111374618</v>
      </c>
      <c r="AD111" s="5"/>
      <c r="AE111" s="5">
        <f t="shared" si="219"/>
        <v>0.611107489733394</v>
      </c>
      <c r="AF111" s="216">
        <f t="shared" si="220"/>
        <v>81.7777777777778</v>
      </c>
      <c r="AG111" s="217">
        <f t="shared" si="221"/>
        <v>0.0213994565217391</v>
      </c>
      <c r="AI111" s="5">
        <f t="shared" si="222"/>
        <v>0.145012314747995</v>
      </c>
      <c r="AJ111" s="5">
        <f t="shared" si="223"/>
        <v>0.3</v>
      </c>
      <c r="AK111" s="5">
        <f t="shared" si="224"/>
        <v>1.04673015873016</v>
      </c>
      <c r="AM111" s="216">
        <f t="shared" si="225"/>
        <v>5</v>
      </c>
      <c r="AN111" s="220">
        <f t="shared" si="226"/>
        <v>81.7777777777778</v>
      </c>
      <c r="AP111" s="220">
        <f t="shared" si="227"/>
        <v>5</v>
      </c>
      <c r="AQ111" s="220">
        <f t="shared" si="228"/>
        <v>81.7777777777778</v>
      </c>
      <c r="AS111" s="192">
        <f t="shared" si="175"/>
        <v>12.2282608695652</v>
      </c>
      <c r="AT111" s="192">
        <f t="shared" si="229"/>
        <v>0.75</v>
      </c>
      <c r="AU111" s="192">
        <f t="shared" si="230"/>
        <v>11.4782608695652</v>
      </c>
      <c r="AV111" s="192"/>
      <c r="AW111" s="5">
        <f t="shared" si="231"/>
        <v>0.0613333333333333</v>
      </c>
      <c r="AX111" s="5">
        <f t="shared" si="150"/>
        <v>0.092</v>
      </c>
      <c r="AY111" s="5">
        <f t="shared" si="151"/>
        <v>0.0939136</v>
      </c>
      <c r="AZ111" s="5">
        <f t="shared" si="178"/>
        <v>0.979623824451411</v>
      </c>
      <c r="BA111" s="220">
        <f t="shared" si="232"/>
        <v>5.22063553448612</v>
      </c>
      <c r="BB111" s="220">
        <f t="shared" si="233"/>
        <v>0.0361684299597509</v>
      </c>
      <c r="BC111" s="192">
        <f t="shared" si="234"/>
        <v>0.191304347826087</v>
      </c>
      <c r="BD111" s="220">
        <f t="shared" si="235"/>
        <v>1.17782608695652</v>
      </c>
      <c r="BF111" s="5">
        <f t="shared" si="179"/>
        <v>0.0428952211790544</v>
      </c>
      <c r="BG111" s="5">
        <f t="shared" si="156"/>
        <v>0.111928880276719</v>
      </c>
      <c r="BI111" s="217">
        <f t="shared" si="236"/>
        <v>0.000644</v>
      </c>
      <c r="BJ111" s="217">
        <f t="shared" si="237"/>
        <v>0.00273213013333333</v>
      </c>
      <c r="BK111" s="217">
        <f t="shared" si="238"/>
        <v>0.00102222222222222</v>
      </c>
      <c r="BL111" s="217">
        <f t="shared" si="239"/>
        <v>0.00202840626779022</v>
      </c>
      <c r="BM111">
        <f t="shared" si="240"/>
        <v>0.0029</v>
      </c>
      <c r="BN111">
        <f t="shared" si="241"/>
        <v>1.02222222222222e-6</v>
      </c>
      <c r="BO111" s="217">
        <f t="shared" si="242"/>
        <v>0.00960657082584966</v>
      </c>
      <c r="BP111" s="220">
        <f t="shared" si="243"/>
        <v>9.32675862334578</v>
      </c>
      <c r="BQ111" s="217">
        <f t="shared" si="244"/>
        <v>0.011251064508992</v>
      </c>
      <c r="BT111" s="220">
        <f t="shared" si="245"/>
        <v>11.251064508992</v>
      </c>
      <c r="BU111" s="217">
        <f t="shared" si="246"/>
        <v>7.544e-5</v>
      </c>
      <c r="BV111" s="217">
        <f t="shared" si="247"/>
        <v>0.001252807424</v>
      </c>
      <c r="BW111" s="217">
        <f t="shared" si="248"/>
        <v>0</v>
      </c>
      <c r="BX111" s="217"/>
      <c r="BY111" s="217">
        <f t="shared" si="249"/>
        <v>0.0002944</v>
      </c>
      <c r="BZ111" s="220">
        <f t="shared" si="250"/>
        <v>1.622647424</v>
      </c>
      <c r="CA111" s="5">
        <f t="shared" si="251"/>
        <v>0.0222004705563378</v>
      </c>
      <c r="CB111" s="192">
        <f t="shared" si="252"/>
        <v>0.09</v>
      </c>
      <c r="CC111" s="5">
        <f t="shared" si="253"/>
        <v>0.802135673350937</v>
      </c>
      <c r="CD111" s="192">
        <f t="shared" si="254"/>
        <v>80.2135673350937</v>
      </c>
      <c r="CG111" s="227">
        <f t="shared" si="255"/>
        <v>-50</v>
      </c>
      <c r="CH111">
        <f t="shared" si="256"/>
        <v>-50</v>
      </c>
    </row>
    <row r="112" spans="5:86">
      <c r="E112" s="22">
        <v>2</v>
      </c>
      <c r="F112" s="25">
        <f t="shared" si="257"/>
        <v>0.01</v>
      </c>
      <c r="G112" s="25"/>
      <c r="H112" s="25">
        <f t="shared" si="201"/>
        <v>0.18</v>
      </c>
      <c r="I112" s="212">
        <f t="shared" si="202"/>
        <v>10</v>
      </c>
      <c r="J112" s="131">
        <f t="shared" si="203"/>
        <v>12.2728</v>
      </c>
      <c r="K112" s="131">
        <f t="shared" si="204"/>
        <v>22.2728</v>
      </c>
      <c r="L112" s="131"/>
      <c r="M112" s="25">
        <f t="shared" si="205"/>
        <v>0.551021874214288</v>
      </c>
      <c r="N112" s="27">
        <f t="shared" si="206"/>
        <v>3.74915283215402</v>
      </c>
      <c r="O112" s="27">
        <f t="shared" si="173"/>
        <v>0.18</v>
      </c>
      <c r="P112" s="25">
        <f t="shared" si="207"/>
        <v>0.208286268453001</v>
      </c>
      <c r="Q112" s="25">
        <f t="shared" si="208"/>
        <v>18</v>
      </c>
      <c r="R112" s="25"/>
      <c r="S112" s="27">
        <f t="shared" si="209"/>
        <v>660.016576886294</v>
      </c>
      <c r="T112" s="27">
        <f t="shared" si="210"/>
        <v>18</v>
      </c>
      <c r="U112" s="25">
        <f t="shared" si="211"/>
        <v>0.0725923994524477</v>
      </c>
      <c r="V112" s="25">
        <f t="shared" si="212"/>
        <v>0.181480998631119</v>
      </c>
      <c r="W112" s="25">
        <f t="shared" si="213"/>
        <v>0.147872530010364</v>
      </c>
      <c r="X112" s="24">
        <f t="shared" si="214"/>
        <v>350</v>
      </c>
      <c r="Y112" s="131">
        <f t="shared" si="215"/>
        <v>350</v>
      </c>
      <c r="AA112" s="25">
        <f t="shared" si="216"/>
        <v>0.62973928481633</v>
      </c>
      <c r="AB112" s="5">
        <f t="shared" si="217"/>
        <v>1.28279464510203</v>
      </c>
      <c r="AC112" s="5">
        <f t="shared" si="218"/>
        <v>0.0942935111374618</v>
      </c>
      <c r="AD112" s="5"/>
      <c r="AE112" s="5">
        <f t="shared" si="219"/>
        <v>0.611107489733394</v>
      </c>
      <c r="AF112" s="216">
        <f t="shared" si="220"/>
        <v>163.555555555556</v>
      </c>
      <c r="AG112" s="217">
        <f t="shared" si="221"/>
        <v>0.0213994565217391</v>
      </c>
      <c r="AI112" s="5">
        <f t="shared" si="222"/>
        <v>0.20507838222773</v>
      </c>
      <c r="AJ112" s="5">
        <f t="shared" si="223"/>
        <v>0.3</v>
      </c>
      <c r="AK112" s="5">
        <f t="shared" si="224"/>
        <v>1.09346031746032</v>
      </c>
      <c r="AM112" s="216">
        <f t="shared" si="225"/>
        <v>10</v>
      </c>
      <c r="AN112" s="220">
        <f t="shared" si="226"/>
        <v>163.555555555556</v>
      </c>
      <c r="AP112" s="220">
        <f t="shared" si="227"/>
        <v>10</v>
      </c>
      <c r="AQ112" s="220">
        <f t="shared" si="228"/>
        <v>163.555555555556</v>
      </c>
      <c r="AS112" s="192">
        <f t="shared" si="175"/>
        <v>6.11413043478261</v>
      </c>
      <c r="AT112" s="192">
        <f t="shared" si="229"/>
        <v>0.75</v>
      </c>
      <c r="AU112" s="192">
        <f t="shared" si="230"/>
        <v>5.36413043478261</v>
      </c>
      <c r="AV112" s="192"/>
      <c r="AW112" s="5">
        <f t="shared" si="231"/>
        <v>0.122666666666667</v>
      </c>
      <c r="AX112" s="5">
        <f t="shared" si="150"/>
        <v>0.184</v>
      </c>
      <c r="AY112" s="5">
        <f t="shared" si="151"/>
        <v>0.0877772</v>
      </c>
      <c r="AZ112" s="5">
        <f t="shared" si="178"/>
        <v>2.09621632952521</v>
      </c>
      <c r="BA112" s="220">
        <f t="shared" si="232"/>
        <v>5.22063553448612</v>
      </c>
      <c r="BB112" s="220">
        <f t="shared" si="233"/>
        <v>0.114673719839004</v>
      </c>
      <c r="BC112" s="192">
        <f t="shared" si="234"/>
        <v>0.178804347826087</v>
      </c>
      <c r="BD112" s="220">
        <f t="shared" si="235"/>
        <v>1.13282608695652</v>
      </c>
      <c r="BF112" s="5">
        <f t="shared" si="179"/>
        <v>0.0606630035524124</v>
      </c>
      <c r="BG112" s="5">
        <f t="shared" si="156"/>
        <v>0.108210343683032</v>
      </c>
      <c r="BI112" s="217">
        <f t="shared" si="236"/>
        <v>0.001288</v>
      </c>
      <c r="BJ112" s="217">
        <f t="shared" si="237"/>
        <v>0.00546426026666667</v>
      </c>
      <c r="BK112" s="217">
        <f t="shared" si="238"/>
        <v>0.00204444444444444</v>
      </c>
      <c r="BL112" s="217">
        <f t="shared" si="239"/>
        <v>0.00405681253558045</v>
      </c>
      <c r="BM112">
        <f t="shared" si="240"/>
        <v>0.0029</v>
      </c>
      <c r="BN112">
        <f t="shared" si="241"/>
        <v>2.04444444444444e-6</v>
      </c>
      <c r="BO112" s="217">
        <f t="shared" si="242"/>
        <v>0.0163180040850957</v>
      </c>
      <c r="BP112" s="220">
        <f t="shared" si="243"/>
        <v>15.7535172466916</v>
      </c>
      <c r="BQ112" s="217">
        <f t="shared" si="244"/>
        <v>0.014032999569484</v>
      </c>
      <c r="BT112" s="220">
        <f t="shared" si="245"/>
        <v>14.032999569484</v>
      </c>
      <c r="BU112" s="217">
        <f t="shared" si="246"/>
        <v>0.00015088</v>
      </c>
      <c r="BV112" s="217">
        <f t="shared" si="247"/>
        <v>0.001170947848</v>
      </c>
      <c r="BW112" s="217">
        <f t="shared" si="248"/>
        <v>0</v>
      </c>
      <c r="BX112" s="217"/>
      <c r="BY112" s="217">
        <f t="shared" si="249"/>
        <v>0.0005888</v>
      </c>
      <c r="BZ112" s="220">
        <f t="shared" si="250"/>
        <v>1.910627848</v>
      </c>
      <c r="CA112" s="5">
        <f t="shared" si="251"/>
        <v>0.0316971446641756</v>
      </c>
      <c r="CB112" s="192">
        <f t="shared" si="252"/>
        <v>0.18</v>
      </c>
      <c r="CC112" s="5">
        <f t="shared" si="253"/>
        <v>0.850271269768621</v>
      </c>
      <c r="CD112" s="192">
        <f t="shared" si="254"/>
        <v>85.0271269768621</v>
      </c>
      <c r="CG112" s="227">
        <f t="shared" si="255"/>
        <v>-50</v>
      </c>
      <c r="CH112">
        <f t="shared" si="256"/>
        <v>-50</v>
      </c>
    </row>
    <row r="113" spans="5:86">
      <c r="E113" s="22">
        <v>3</v>
      </c>
      <c r="F113" s="25">
        <f t="shared" si="257"/>
        <v>0.015</v>
      </c>
      <c r="G113" s="25"/>
      <c r="H113" s="25">
        <f t="shared" si="201"/>
        <v>0.27</v>
      </c>
      <c r="I113" s="212">
        <f t="shared" si="202"/>
        <v>10</v>
      </c>
      <c r="J113" s="131">
        <f t="shared" si="203"/>
        <v>12.2728</v>
      </c>
      <c r="K113" s="131">
        <f t="shared" si="204"/>
        <v>22.2728</v>
      </c>
      <c r="L113" s="131"/>
      <c r="M113" s="25">
        <f t="shared" si="205"/>
        <v>0.551021874214288</v>
      </c>
      <c r="N113" s="27">
        <f t="shared" si="206"/>
        <v>3.74915283215402</v>
      </c>
      <c r="O113" s="27">
        <f t="shared" si="173"/>
        <v>0.27</v>
      </c>
      <c r="P113" s="25">
        <f t="shared" si="207"/>
        <v>0.208286268453001</v>
      </c>
      <c r="Q113" s="25">
        <f t="shared" si="208"/>
        <v>18</v>
      </c>
      <c r="R113" s="25"/>
      <c r="S113" s="27">
        <f t="shared" si="209"/>
        <v>435.021269124089</v>
      </c>
      <c r="T113" s="27">
        <f t="shared" si="210"/>
        <v>18</v>
      </c>
      <c r="U113" s="25">
        <f t="shared" si="211"/>
        <v>0.108888599178672</v>
      </c>
      <c r="V113" s="25">
        <f t="shared" si="212"/>
        <v>0.272221497946679</v>
      </c>
      <c r="W113" s="25">
        <f t="shared" si="213"/>
        <v>0.221808795015546</v>
      </c>
      <c r="X113" s="24">
        <f t="shared" si="214"/>
        <v>350</v>
      </c>
      <c r="Y113" s="131">
        <f t="shared" si="215"/>
        <v>350</v>
      </c>
      <c r="AA113" s="25">
        <f t="shared" si="216"/>
        <v>0.62973928481633</v>
      </c>
      <c r="AB113" s="5">
        <f t="shared" si="217"/>
        <v>1.28279464510203</v>
      </c>
      <c r="AC113" s="5">
        <f t="shared" si="218"/>
        <v>0.0942935111374618</v>
      </c>
      <c r="AD113" s="5"/>
      <c r="AE113" s="5">
        <f t="shared" si="219"/>
        <v>0.611107489733394</v>
      </c>
      <c r="AF113" s="216">
        <f t="shared" si="220"/>
        <v>245.333333333333</v>
      </c>
      <c r="AG113" s="217">
        <f t="shared" si="221"/>
        <v>0.0213994565217391</v>
      </c>
      <c r="AI113" s="5">
        <f t="shared" si="222"/>
        <v>0.251168696866696</v>
      </c>
      <c r="AJ113" s="5">
        <f t="shared" si="223"/>
        <v>0.3</v>
      </c>
      <c r="AK113" s="5">
        <f t="shared" si="224"/>
        <v>1.14019047619048</v>
      </c>
      <c r="AM113" s="216">
        <f t="shared" si="225"/>
        <v>15</v>
      </c>
      <c r="AN113" s="220">
        <f t="shared" si="226"/>
        <v>245.333333333333</v>
      </c>
      <c r="AP113" s="220">
        <f t="shared" si="227"/>
        <v>15</v>
      </c>
      <c r="AQ113" s="220">
        <f t="shared" si="228"/>
        <v>245.333333333333</v>
      </c>
      <c r="AS113" s="192">
        <f t="shared" si="175"/>
        <v>4.07608695652174</v>
      </c>
      <c r="AT113" s="192">
        <f t="shared" si="229"/>
        <v>0.75</v>
      </c>
      <c r="AU113" s="192">
        <f t="shared" si="230"/>
        <v>3.32608695652174</v>
      </c>
      <c r="AV113" s="192"/>
      <c r="AW113" s="5">
        <f t="shared" si="231"/>
        <v>0.184</v>
      </c>
      <c r="AX113" s="5">
        <f t="shared" si="150"/>
        <v>0.276</v>
      </c>
      <c r="AY113" s="5">
        <f t="shared" si="151"/>
        <v>0.0816408</v>
      </c>
      <c r="AZ113" s="5">
        <f t="shared" si="178"/>
        <v>3.38066260987153</v>
      </c>
      <c r="BA113" s="220">
        <f t="shared" si="232"/>
        <v>5.22063553448612</v>
      </c>
      <c r="BB113" s="220">
        <f t="shared" si="233"/>
        <v>0.235515869637758</v>
      </c>
      <c r="BC113" s="192">
        <f t="shared" si="234"/>
        <v>0.166304347826087</v>
      </c>
      <c r="BD113" s="220">
        <f t="shared" si="235"/>
        <v>1.08782608695652</v>
      </c>
      <c r="BF113" s="5">
        <f t="shared" si="179"/>
        <v>0.0742967024840268</v>
      </c>
      <c r="BG113" s="5">
        <f t="shared" si="156"/>
        <v>0.104359392102484</v>
      </c>
      <c r="BI113" s="217">
        <f t="shared" si="236"/>
        <v>0.001932</v>
      </c>
      <c r="BJ113" s="217">
        <f t="shared" si="237"/>
        <v>0.0081963904</v>
      </c>
      <c r="BK113" s="217">
        <f t="shared" si="238"/>
        <v>0.00306666666666667</v>
      </c>
      <c r="BL113" s="217">
        <f t="shared" si="239"/>
        <v>0.00608521880337067</v>
      </c>
      <c r="BM113">
        <f t="shared" si="240"/>
        <v>0.0029</v>
      </c>
      <c r="BN113">
        <f t="shared" si="241"/>
        <v>3.06666666666667e-6</v>
      </c>
      <c r="BO113" s="217">
        <f t="shared" si="242"/>
        <v>0.0230343050677364</v>
      </c>
      <c r="BP113" s="220">
        <f t="shared" si="243"/>
        <v>22.1802758700373</v>
      </c>
      <c r="BQ113" s="217">
        <f t="shared" si="244"/>
        <v>0.016814934629976</v>
      </c>
      <c r="BT113" s="220">
        <f t="shared" si="245"/>
        <v>16.814934629976</v>
      </c>
      <c r="BU113" s="217">
        <f t="shared" si="246"/>
        <v>0.00022632</v>
      </c>
      <c r="BV113" s="217">
        <f t="shared" si="247"/>
        <v>0.001089088272</v>
      </c>
      <c r="BW113" s="217">
        <f t="shared" si="248"/>
        <v>0</v>
      </c>
      <c r="BX113" s="217"/>
      <c r="BY113" s="217">
        <f t="shared" si="249"/>
        <v>0.0008832</v>
      </c>
      <c r="BZ113" s="220">
        <f t="shared" si="250"/>
        <v>2.198608272</v>
      </c>
      <c r="CA113" s="5">
        <f t="shared" si="251"/>
        <v>0.0411938187720133</v>
      </c>
      <c r="CB113" s="192">
        <f t="shared" si="252"/>
        <v>0.27</v>
      </c>
      <c r="CC113" s="5">
        <f t="shared" si="253"/>
        <v>0.867626487779975</v>
      </c>
      <c r="CD113" s="192">
        <f t="shared" si="254"/>
        <v>86.7626487779975</v>
      </c>
      <c r="CG113" s="227">
        <f t="shared" si="255"/>
        <v>-50</v>
      </c>
      <c r="CH113">
        <f t="shared" si="256"/>
        <v>-50</v>
      </c>
    </row>
    <row r="114" spans="5:86">
      <c r="E114" s="22">
        <v>4</v>
      </c>
      <c r="F114" s="25">
        <f t="shared" si="257"/>
        <v>0.02</v>
      </c>
      <c r="G114" s="25"/>
      <c r="H114" s="25">
        <f t="shared" si="201"/>
        <v>0.36</v>
      </c>
      <c r="I114" s="212">
        <f t="shared" si="202"/>
        <v>10</v>
      </c>
      <c r="J114" s="131">
        <f t="shared" si="203"/>
        <v>12.2728</v>
      </c>
      <c r="K114" s="131">
        <f t="shared" si="204"/>
        <v>22.2728</v>
      </c>
      <c r="L114" s="131"/>
      <c r="M114" s="25">
        <f t="shared" si="205"/>
        <v>0.551021874214288</v>
      </c>
      <c r="N114" s="27">
        <f t="shared" si="206"/>
        <v>3.74915283215402</v>
      </c>
      <c r="O114" s="27">
        <f t="shared" si="173"/>
        <v>0.36</v>
      </c>
      <c r="P114" s="25">
        <f t="shared" si="207"/>
        <v>0.208286268453001</v>
      </c>
      <c r="Q114" s="25">
        <f t="shared" si="208"/>
        <v>18</v>
      </c>
      <c r="R114" s="25"/>
      <c r="S114" s="27">
        <f t="shared" si="209"/>
        <v>322.526067070742</v>
      </c>
      <c r="T114" s="27">
        <f t="shared" si="210"/>
        <v>18</v>
      </c>
      <c r="U114" s="25">
        <f t="shared" si="211"/>
        <v>0.145184798904895</v>
      </c>
      <c r="V114" s="25">
        <f t="shared" si="212"/>
        <v>0.362961997262239</v>
      </c>
      <c r="W114" s="25">
        <f t="shared" si="213"/>
        <v>0.295745060020728</v>
      </c>
      <c r="X114" s="24">
        <f t="shared" si="214"/>
        <v>350</v>
      </c>
      <c r="Y114" s="131">
        <f t="shared" si="215"/>
        <v>350</v>
      </c>
      <c r="AA114" s="25">
        <f t="shared" si="216"/>
        <v>0.62973928481633</v>
      </c>
      <c r="AB114" s="5">
        <f t="shared" si="217"/>
        <v>1.28279464510203</v>
      </c>
      <c r="AC114" s="5">
        <f t="shared" si="218"/>
        <v>0.0942935111374618</v>
      </c>
      <c r="AD114" s="5"/>
      <c r="AE114" s="5">
        <f t="shared" si="219"/>
        <v>0.611107489733394</v>
      </c>
      <c r="AF114" s="216">
        <f t="shared" si="220"/>
        <v>327.111111111111</v>
      </c>
      <c r="AG114" s="217">
        <f t="shared" si="221"/>
        <v>0.0213994565217391</v>
      </c>
      <c r="AI114" s="5">
        <f t="shared" si="222"/>
        <v>0.290024629495989</v>
      </c>
      <c r="AJ114" s="5">
        <f t="shared" si="223"/>
        <v>0.3</v>
      </c>
      <c r="AK114" s="5">
        <f t="shared" si="224"/>
        <v>1.18692063492063</v>
      </c>
      <c r="AM114" s="216">
        <f t="shared" si="225"/>
        <v>20</v>
      </c>
      <c r="AN114" s="220">
        <f t="shared" si="226"/>
        <v>327.111111111111</v>
      </c>
      <c r="AP114" s="220">
        <f t="shared" si="227"/>
        <v>20</v>
      </c>
      <c r="AQ114" s="220">
        <f t="shared" si="228"/>
        <v>327.111111111111</v>
      </c>
      <c r="AS114" s="192">
        <f t="shared" si="175"/>
        <v>3.0570652173913</v>
      </c>
      <c r="AT114" s="192">
        <f t="shared" si="229"/>
        <v>0.75</v>
      </c>
      <c r="AU114" s="192">
        <f t="shared" si="230"/>
        <v>2.3070652173913</v>
      </c>
      <c r="AV114" s="192"/>
      <c r="AW114" s="5">
        <f t="shared" si="231"/>
        <v>0.245333333333333</v>
      </c>
      <c r="AX114" s="5">
        <f t="shared" si="150"/>
        <v>0.368</v>
      </c>
      <c r="AY114" s="5">
        <f t="shared" si="151"/>
        <v>0.0755044</v>
      </c>
      <c r="AZ114" s="5">
        <f t="shared" si="178"/>
        <v>4.87388814426709</v>
      </c>
      <c r="BA114" s="220">
        <f t="shared" si="232"/>
        <v>5.22063553448612</v>
      </c>
      <c r="BB114" s="220">
        <f t="shared" si="233"/>
        <v>0.398694879356015</v>
      </c>
      <c r="BC114" s="192">
        <f t="shared" si="234"/>
        <v>0.153804347826087</v>
      </c>
      <c r="BD114" s="220">
        <f t="shared" si="235"/>
        <v>1.04282608695652</v>
      </c>
      <c r="BF114" s="5">
        <f t="shared" si="179"/>
        <v>0.0857904423581089</v>
      </c>
      <c r="BG114" s="5">
        <f t="shared" si="156"/>
        <v>0.100360783974618</v>
      </c>
      <c r="BI114" s="217">
        <f t="shared" si="236"/>
        <v>0.002576</v>
      </c>
      <c r="BJ114" s="217">
        <f t="shared" si="237"/>
        <v>0.0109285205333333</v>
      </c>
      <c r="BK114" s="217">
        <f t="shared" si="238"/>
        <v>0.00408888888888889</v>
      </c>
      <c r="BL114" s="217">
        <f t="shared" si="239"/>
        <v>0.00811362507116089</v>
      </c>
      <c r="BM114">
        <f t="shared" si="240"/>
        <v>0.0029</v>
      </c>
      <c r="BN114">
        <f t="shared" si="241"/>
        <v>4.08888888888889e-6</v>
      </c>
      <c r="BO114" s="217">
        <f t="shared" si="242"/>
        <v>0.0297554790714465</v>
      </c>
      <c r="BP114" s="220">
        <f t="shared" si="243"/>
        <v>28.6070344933831</v>
      </c>
      <c r="BQ114" s="217">
        <f t="shared" si="244"/>
        <v>0.019596869690468</v>
      </c>
      <c r="BT114" s="220">
        <f t="shared" si="245"/>
        <v>19.596869690468</v>
      </c>
      <c r="BU114" s="217">
        <f t="shared" si="246"/>
        <v>0.00030176</v>
      </c>
      <c r="BV114" s="217">
        <f t="shared" si="247"/>
        <v>0.001007228696</v>
      </c>
      <c r="BW114" s="217">
        <f t="shared" si="248"/>
        <v>0</v>
      </c>
      <c r="BX114" s="217"/>
      <c r="BY114" s="217">
        <f t="shared" si="249"/>
        <v>0.0011776</v>
      </c>
      <c r="BZ114" s="220">
        <f t="shared" si="250"/>
        <v>2.486588696</v>
      </c>
      <c r="CA114" s="5">
        <f t="shared" si="251"/>
        <v>0.0506904928798511</v>
      </c>
      <c r="CB114" s="192">
        <f t="shared" si="252"/>
        <v>0.36</v>
      </c>
      <c r="CC114" s="5">
        <f t="shared" si="253"/>
        <v>0.876572519309131</v>
      </c>
      <c r="CD114" s="192">
        <f t="shared" si="254"/>
        <v>87.6572519309131</v>
      </c>
      <c r="CG114" s="227">
        <f t="shared" si="255"/>
        <v>-50</v>
      </c>
      <c r="CH114">
        <f t="shared" si="256"/>
        <v>-50</v>
      </c>
    </row>
    <row r="115" spans="5:86">
      <c r="E115" s="22">
        <v>5</v>
      </c>
      <c r="F115" s="25">
        <f t="shared" si="257"/>
        <v>0.025</v>
      </c>
      <c r="G115" s="25"/>
      <c r="H115" s="25">
        <f t="shared" si="201"/>
        <v>0.45</v>
      </c>
      <c r="I115" s="212">
        <f t="shared" si="202"/>
        <v>10</v>
      </c>
      <c r="J115" s="131">
        <f t="shared" si="203"/>
        <v>12.2728</v>
      </c>
      <c r="K115" s="131">
        <f t="shared" si="204"/>
        <v>22.2728</v>
      </c>
      <c r="L115" s="131"/>
      <c r="M115" s="25">
        <f t="shared" si="205"/>
        <v>0.551021874214288</v>
      </c>
      <c r="N115" s="27">
        <f t="shared" si="206"/>
        <v>3.74915283215402</v>
      </c>
      <c r="O115" s="27">
        <f t="shared" si="173"/>
        <v>0.45</v>
      </c>
      <c r="P115" s="25">
        <f t="shared" si="207"/>
        <v>0.208286268453001</v>
      </c>
      <c r="Q115" s="25">
        <f t="shared" si="208"/>
        <v>18</v>
      </c>
      <c r="R115" s="25"/>
      <c r="S115" s="27">
        <f t="shared" si="209"/>
        <v>255.030974224808</v>
      </c>
      <c r="T115" s="27">
        <f t="shared" si="210"/>
        <v>18</v>
      </c>
      <c r="U115" s="25">
        <f t="shared" si="211"/>
        <v>0.181480998631119</v>
      </c>
      <c r="V115" s="25">
        <f t="shared" si="212"/>
        <v>0.453702496577798</v>
      </c>
      <c r="W115" s="25">
        <f t="shared" si="213"/>
        <v>0.36968132502591</v>
      </c>
      <c r="X115" s="24">
        <f t="shared" si="214"/>
        <v>350</v>
      </c>
      <c r="Y115" s="131">
        <f t="shared" si="215"/>
        <v>350</v>
      </c>
      <c r="AA115" s="25">
        <f t="shared" si="216"/>
        <v>0.62973928481633</v>
      </c>
      <c r="AB115" s="5">
        <f t="shared" si="217"/>
        <v>1.28279464510203</v>
      </c>
      <c r="AC115" s="5">
        <f t="shared" si="218"/>
        <v>0.0942935111374618</v>
      </c>
      <c r="AD115" s="5"/>
      <c r="AE115" s="5">
        <f t="shared" si="219"/>
        <v>0.611107489733394</v>
      </c>
      <c r="AF115" s="216">
        <f t="shared" si="220"/>
        <v>408.888888888889</v>
      </c>
      <c r="AG115" s="217">
        <f t="shared" si="221"/>
        <v>0.0213994565217391</v>
      </c>
      <c r="AI115" s="5">
        <f t="shared" si="222"/>
        <v>0.324257393351111</v>
      </c>
      <c r="AJ115" s="5">
        <f t="shared" si="223"/>
        <v>0.324257393351111</v>
      </c>
      <c r="AK115" s="5">
        <f t="shared" si="224"/>
        <v>1.21617159556741</v>
      </c>
      <c r="AM115" s="216">
        <f t="shared" si="225"/>
        <v>25</v>
      </c>
      <c r="AN115" s="220">
        <f t="shared" si="226"/>
        <v>350</v>
      </c>
      <c r="AP115" s="220">
        <f t="shared" si="227"/>
        <v>25</v>
      </c>
      <c r="AQ115" s="220">
        <f t="shared" si="228"/>
        <v>350</v>
      </c>
      <c r="AS115" s="192">
        <f t="shared" si="175"/>
        <v>2.85714285714286</v>
      </c>
      <c r="AT115" s="192">
        <f t="shared" si="229"/>
        <v>0.810643483377778</v>
      </c>
      <c r="AU115" s="192">
        <f t="shared" si="230"/>
        <v>2.04649937376508</v>
      </c>
      <c r="AV115" s="192"/>
      <c r="AW115" s="5">
        <f t="shared" si="231"/>
        <v>0.283725219182222</v>
      </c>
      <c r="AX115" s="5">
        <f t="shared" si="150"/>
        <v>0.46</v>
      </c>
      <c r="AY115" s="5">
        <f t="shared" si="151"/>
        <v>0.0774578406825955</v>
      </c>
      <c r="AZ115" s="5">
        <f t="shared" si="178"/>
        <v>5.93871447933818</v>
      </c>
      <c r="BA115" s="220">
        <f t="shared" si="232"/>
        <v>5.22063553448612</v>
      </c>
      <c r="BB115" s="220">
        <f t="shared" si="233"/>
        <v>0.604210748993773</v>
      </c>
      <c r="BC115" s="192">
        <f t="shared" si="234"/>
        <v>0.170541614480423</v>
      </c>
      <c r="BD115" s="220">
        <f t="shared" si="235"/>
        <v>1.17324968688254</v>
      </c>
      <c r="BF115" s="5">
        <f t="shared" si="179"/>
        <v>0.0997190723788621</v>
      </c>
      <c r="BG115" s="5">
        <f t="shared" si="156"/>
        <v>0.10568051571306</v>
      </c>
      <c r="BI115" s="217">
        <f t="shared" si="236"/>
        <v>0.00348036268863526</v>
      </c>
      <c r="BJ115" s="217">
        <f t="shared" si="237"/>
        <v>0.0126387101236036</v>
      </c>
      <c r="BK115" s="217">
        <f t="shared" si="238"/>
        <v>0.004375</v>
      </c>
      <c r="BL115" s="217">
        <f t="shared" si="239"/>
        <v>0.0086813583472</v>
      </c>
      <c r="BM115">
        <f t="shared" si="240"/>
        <v>0.0029</v>
      </c>
      <c r="BN115">
        <f t="shared" si="241"/>
        <v>4.375e-6</v>
      </c>
      <c r="BO115" s="217">
        <f t="shared" si="242"/>
        <v>0.0336335056578064</v>
      </c>
      <c r="BP115" s="220">
        <f t="shared" si="243"/>
        <v>32.0754311594388</v>
      </c>
      <c r="BQ115" s="217">
        <f t="shared" si="244"/>
        <v>0.0235937650727446</v>
      </c>
      <c r="BT115" s="220">
        <f t="shared" si="245"/>
        <v>23.5937650727446</v>
      </c>
      <c r="BU115" s="217">
        <f t="shared" si="246"/>
        <v>0.00040769962924013</v>
      </c>
      <c r="BV115" s="217">
        <f t="shared" si="247"/>
        <v>0.00111683714013783</v>
      </c>
      <c r="BW115" s="217">
        <f t="shared" si="248"/>
        <v>0</v>
      </c>
      <c r="BX115" s="217"/>
      <c r="BY115" s="217">
        <f t="shared" si="249"/>
        <v>0.001472</v>
      </c>
      <c r="BZ115" s="220">
        <f t="shared" si="250"/>
        <v>2.99653676937796</v>
      </c>
      <c r="CA115" s="5">
        <f t="shared" si="251"/>
        <v>0.0586657330015614</v>
      </c>
      <c r="CB115" s="192">
        <f t="shared" si="252"/>
        <v>0.45</v>
      </c>
      <c r="CC115" s="5">
        <f t="shared" si="253"/>
        <v>0.884667416742654</v>
      </c>
      <c r="CD115" s="192">
        <f t="shared" si="254"/>
        <v>88.4667416742654</v>
      </c>
      <c r="CG115" s="227">
        <f t="shared" si="255"/>
        <v>-50</v>
      </c>
      <c r="CH115">
        <f t="shared" si="256"/>
        <v>-50</v>
      </c>
    </row>
    <row r="116" spans="5:86">
      <c r="E116" s="22">
        <v>6</v>
      </c>
      <c r="F116" s="25">
        <f t="shared" si="257"/>
        <v>0.03</v>
      </c>
      <c r="G116" s="25"/>
      <c r="H116" s="25">
        <f t="shared" si="201"/>
        <v>0.54</v>
      </c>
      <c r="I116" s="212">
        <f t="shared" si="202"/>
        <v>10</v>
      </c>
      <c r="J116" s="131">
        <f t="shared" si="203"/>
        <v>12.2728</v>
      </c>
      <c r="K116" s="131">
        <f t="shared" si="204"/>
        <v>22.2728</v>
      </c>
      <c r="L116" s="131"/>
      <c r="M116" s="25">
        <f t="shared" si="205"/>
        <v>0.551021874214288</v>
      </c>
      <c r="N116" s="27">
        <f t="shared" si="206"/>
        <v>3.74915283215402</v>
      </c>
      <c r="O116" s="27">
        <f t="shared" si="173"/>
        <v>0.54</v>
      </c>
      <c r="P116" s="25">
        <f t="shared" si="207"/>
        <v>0.208286268453001</v>
      </c>
      <c r="Q116" s="25">
        <f t="shared" si="208"/>
        <v>18</v>
      </c>
      <c r="R116" s="25"/>
      <c r="S116" s="27">
        <f t="shared" si="209"/>
        <v>210.035994235411</v>
      </c>
      <c r="T116" s="27">
        <f t="shared" si="210"/>
        <v>18</v>
      </c>
      <c r="U116" s="25">
        <f t="shared" si="211"/>
        <v>0.217777198357343</v>
      </c>
      <c r="V116" s="25">
        <f t="shared" si="212"/>
        <v>0.544442995893358</v>
      </c>
      <c r="W116" s="25">
        <f t="shared" si="213"/>
        <v>0.443617590031091</v>
      </c>
      <c r="X116" s="24">
        <f t="shared" si="214"/>
        <v>350</v>
      </c>
      <c r="Y116" s="131">
        <f t="shared" si="215"/>
        <v>350</v>
      </c>
      <c r="AA116" s="25">
        <f t="shared" si="216"/>
        <v>0.62973928481633</v>
      </c>
      <c r="AB116" s="5">
        <f t="shared" si="217"/>
        <v>1.28279464510203</v>
      </c>
      <c r="AC116" s="5">
        <f t="shared" si="218"/>
        <v>0.0942935111374618</v>
      </c>
      <c r="AD116" s="5"/>
      <c r="AE116" s="5">
        <f t="shared" si="219"/>
        <v>0.611107489733394</v>
      </c>
      <c r="AF116" s="216">
        <f t="shared" si="220"/>
        <v>490.666666666667</v>
      </c>
      <c r="AG116" s="217">
        <f t="shared" si="221"/>
        <v>0.0213994565217391</v>
      </c>
      <c r="AI116" s="5">
        <f t="shared" si="222"/>
        <v>0.355206177552458</v>
      </c>
      <c r="AJ116" s="5">
        <f t="shared" si="223"/>
        <v>0.355206177552458</v>
      </c>
      <c r="AK116" s="5">
        <f t="shared" si="224"/>
        <v>1.23680411836831</v>
      </c>
      <c r="AM116" s="216">
        <f t="shared" si="225"/>
        <v>30</v>
      </c>
      <c r="AN116" s="220">
        <f t="shared" si="226"/>
        <v>350</v>
      </c>
      <c r="AP116" s="220">
        <f t="shared" si="227"/>
        <v>30</v>
      </c>
      <c r="AQ116" s="220">
        <f t="shared" si="228"/>
        <v>350</v>
      </c>
      <c r="AS116" s="192">
        <f t="shared" si="175"/>
        <v>2.85714285714286</v>
      </c>
      <c r="AT116" s="192">
        <f t="shared" si="229"/>
        <v>0.888015443881146</v>
      </c>
      <c r="AU116" s="192">
        <f t="shared" si="230"/>
        <v>1.96912741326171</v>
      </c>
      <c r="AV116" s="192"/>
      <c r="AW116" s="5">
        <f t="shared" si="231"/>
        <v>0.310805405358401</v>
      </c>
      <c r="AX116" s="5">
        <f t="shared" si="150"/>
        <v>0.552</v>
      </c>
      <c r="AY116" s="5">
        <f t="shared" si="151"/>
        <v>0.0816428602137449</v>
      </c>
      <c r="AZ116" s="5">
        <f t="shared" si="178"/>
        <v>6.76115460133119</v>
      </c>
      <c r="BA116" s="220">
        <f t="shared" si="232"/>
        <v>5.22063553448612</v>
      </c>
      <c r="BB116" s="220">
        <f t="shared" si="233"/>
        <v>0.852063478551033</v>
      </c>
      <c r="BC116" s="192">
        <f t="shared" si="234"/>
        <v>0.196912741326171</v>
      </c>
      <c r="BD116" s="220">
        <f t="shared" si="235"/>
        <v>1.36147644795703</v>
      </c>
      <c r="BF116" s="5">
        <f t="shared" si="179"/>
        <v>0.114331042739627</v>
      </c>
      <c r="BG116" s="5">
        <f t="shared" si="156"/>
        <v>0.113557715771173</v>
      </c>
      <c r="BI116" s="217">
        <f t="shared" si="236"/>
        <v>0.00457505556687566</v>
      </c>
      <c r="BJ116" s="217">
        <f t="shared" si="237"/>
        <v>0.0138450132649332</v>
      </c>
      <c r="BK116" s="217">
        <f t="shared" si="238"/>
        <v>0.004375</v>
      </c>
      <c r="BL116" s="217">
        <f t="shared" si="239"/>
        <v>0.0086813583472</v>
      </c>
      <c r="BM116">
        <f t="shared" si="240"/>
        <v>0.0029</v>
      </c>
      <c r="BN116">
        <f t="shared" si="241"/>
        <v>4.375e-6</v>
      </c>
      <c r="BO116" s="217">
        <f t="shared" si="242"/>
        <v>0.0364303909066287</v>
      </c>
      <c r="BP116" s="220">
        <f t="shared" si="243"/>
        <v>34.3764271790089</v>
      </c>
      <c r="BQ116" s="217">
        <f t="shared" si="244"/>
        <v>0.0279909973954257</v>
      </c>
      <c r="BT116" s="220">
        <f t="shared" si="245"/>
        <v>27.9909973954257</v>
      </c>
      <c r="BU116" s="217">
        <f t="shared" si="246"/>
        <v>0.000535935080691149</v>
      </c>
      <c r="BV116" s="217">
        <f t="shared" si="247"/>
        <v>0.00128953548111664</v>
      </c>
      <c r="BW116" s="217">
        <f t="shared" si="248"/>
        <v>0</v>
      </c>
      <c r="BX116" s="217"/>
      <c r="BY116" s="217">
        <f t="shared" si="249"/>
        <v>0.0017664</v>
      </c>
      <c r="BZ116" s="220">
        <f t="shared" si="250"/>
        <v>3.59187056180779</v>
      </c>
      <c r="CA116" s="5">
        <f t="shared" si="251"/>
        <v>0.0659592951362423</v>
      </c>
      <c r="CB116" s="192">
        <f t="shared" si="252"/>
        <v>0.54</v>
      </c>
      <c r="CC116" s="5">
        <f t="shared" si="253"/>
        <v>0.891148967157254</v>
      </c>
      <c r="CD116" s="192">
        <f t="shared" si="254"/>
        <v>89.1148967157254</v>
      </c>
      <c r="CG116" s="227">
        <f t="shared" si="255"/>
        <v>-50</v>
      </c>
      <c r="CH116">
        <f t="shared" si="256"/>
        <v>-50</v>
      </c>
    </row>
    <row r="117" spans="5:86">
      <c r="E117" s="22">
        <v>7</v>
      </c>
      <c r="F117" s="25">
        <f t="shared" si="257"/>
        <v>0.035</v>
      </c>
      <c r="G117" s="25"/>
      <c r="H117" s="25">
        <f t="shared" si="201"/>
        <v>0.63</v>
      </c>
      <c r="I117" s="212">
        <f t="shared" si="202"/>
        <v>10</v>
      </c>
      <c r="J117" s="131">
        <f t="shared" si="203"/>
        <v>12.2728</v>
      </c>
      <c r="K117" s="131">
        <f t="shared" si="204"/>
        <v>22.2728</v>
      </c>
      <c r="L117" s="131"/>
      <c r="M117" s="25">
        <f t="shared" si="205"/>
        <v>0.551021874214288</v>
      </c>
      <c r="N117" s="27">
        <f t="shared" si="206"/>
        <v>3.74915283215402</v>
      </c>
      <c r="O117" s="27">
        <f t="shared" si="173"/>
        <v>0.63</v>
      </c>
      <c r="P117" s="25">
        <f t="shared" si="207"/>
        <v>0.208286268453001</v>
      </c>
      <c r="Q117" s="25">
        <f t="shared" si="208"/>
        <v>18</v>
      </c>
      <c r="R117" s="25"/>
      <c r="S117" s="27">
        <f t="shared" si="209"/>
        <v>177.898273767236</v>
      </c>
      <c r="T117" s="27">
        <f t="shared" si="210"/>
        <v>18</v>
      </c>
      <c r="U117" s="25">
        <f t="shared" si="211"/>
        <v>0.254073398083567</v>
      </c>
      <c r="V117" s="25">
        <f t="shared" si="212"/>
        <v>0.635183495208918</v>
      </c>
      <c r="W117" s="25">
        <f t="shared" si="213"/>
        <v>0.517553855036273</v>
      </c>
      <c r="X117" s="24">
        <f t="shared" si="214"/>
        <v>350</v>
      </c>
      <c r="Y117" s="131">
        <f t="shared" si="215"/>
        <v>350</v>
      </c>
      <c r="AA117" s="25">
        <f t="shared" si="216"/>
        <v>0.62973928481633</v>
      </c>
      <c r="AB117" s="5">
        <f t="shared" si="217"/>
        <v>1.28279464510203</v>
      </c>
      <c r="AC117" s="5">
        <f t="shared" si="218"/>
        <v>0.0942935111374618</v>
      </c>
      <c r="AD117" s="5"/>
      <c r="AE117" s="5">
        <f t="shared" si="219"/>
        <v>0.611107489733394</v>
      </c>
      <c r="AF117" s="216">
        <f t="shared" si="220"/>
        <v>572.444444444444</v>
      </c>
      <c r="AG117" s="217">
        <f t="shared" si="221"/>
        <v>0.0213994565217391</v>
      </c>
      <c r="AI117" s="5">
        <f t="shared" si="222"/>
        <v>0.383666521865018</v>
      </c>
      <c r="AJ117" s="5">
        <f t="shared" si="223"/>
        <v>0.383666521865018</v>
      </c>
      <c r="AK117" s="5">
        <f t="shared" si="224"/>
        <v>1.25577768124334</v>
      </c>
      <c r="AM117" s="216">
        <f t="shared" si="225"/>
        <v>35</v>
      </c>
      <c r="AN117" s="220">
        <f t="shared" si="226"/>
        <v>350</v>
      </c>
      <c r="AP117" s="220">
        <f t="shared" si="227"/>
        <v>35</v>
      </c>
      <c r="AQ117" s="220">
        <f t="shared" si="228"/>
        <v>350</v>
      </c>
      <c r="AS117" s="192">
        <f t="shared" si="175"/>
        <v>2.85714285714286</v>
      </c>
      <c r="AT117" s="192">
        <f t="shared" si="229"/>
        <v>0.959166304662544</v>
      </c>
      <c r="AU117" s="192">
        <f t="shared" si="230"/>
        <v>1.89797655248031</v>
      </c>
      <c r="AV117" s="192"/>
      <c r="AW117" s="5">
        <f t="shared" si="231"/>
        <v>0.33570820663189</v>
      </c>
      <c r="AX117" s="5">
        <f t="shared" si="150"/>
        <v>0.644</v>
      </c>
      <c r="AY117" s="5">
        <f t="shared" si="151"/>
        <v>0.0849979850419833</v>
      </c>
      <c r="AZ117" s="5">
        <f t="shared" si="178"/>
        <v>7.57665019567119</v>
      </c>
      <c r="BA117" s="220">
        <f t="shared" si="232"/>
        <v>5.22063553448612</v>
      </c>
      <c r="BB117" s="220">
        <f t="shared" si="233"/>
        <v>1.14225306802779</v>
      </c>
      <c r="BC117" s="192">
        <f t="shared" ref="BC117:BC180" si="258">H117/Efficiency/I117*AU117/Vinripple1</f>
        <v>0.22143059778937</v>
      </c>
      <c r="BD117" s="220">
        <f t="shared" si="235"/>
        <v>1.53858358673622</v>
      </c>
      <c r="BF117" s="5">
        <f t="shared" si="179"/>
        <v>0.128343611730664</v>
      </c>
      <c r="BG117" s="5">
        <f t="shared" si="156"/>
        <v>0.120419981227251</v>
      </c>
      <c r="BI117" s="217">
        <f t="shared" si="236"/>
        <v>0.005765228935225</v>
      </c>
      <c r="BJ117" s="217">
        <f t="shared" si="237"/>
        <v>0.0149543234893415</v>
      </c>
      <c r="BK117" s="217">
        <f t="shared" si="238"/>
        <v>0.004375</v>
      </c>
      <c r="BL117" s="217">
        <f t="shared" si="239"/>
        <v>0.0086813583472</v>
      </c>
      <c r="BM117">
        <f t="shared" si="240"/>
        <v>0.0029</v>
      </c>
      <c r="BN117">
        <f t="shared" si="241"/>
        <v>4.375e-6</v>
      </c>
      <c r="BO117" s="217">
        <f t="shared" si="242"/>
        <v>0.0392722788356163</v>
      </c>
      <c r="BP117" s="220">
        <f t="shared" si="243"/>
        <v>36.6759107717665</v>
      </c>
      <c r="BQ117" s="217">
        <f t="shared" si="244"/>
        <v>0.0323112167056744</v>
      </c>
      <c r="BT117" s="220">
        <f t="shared" si="245"/>
        <v>32.3112167056744</v>
      </c>
      <c r="BU117" s="217">
        <f t="shared" si="246"/>
        <v>0.000675355389554928</v>
      </c>
      <c r="BV117" s="217">
        <f t="shared" si="247"/>
        <v>0.00145009718787715</v>
      </c>
      <c r="BW117" s="217">
        <f t="shared" si="248"/>
        <v>0</v>
      </c>
      <c r="BX117" s="217"/>
      <c r="BY117" s="217">
        <f t="shared" si="249"/>
        <v>0.0020608</v>
      </c>
      <c r="BZ117" s="220">
        <f t="shared" si="250"/>
        <v>4.18625257743208</v>
      </c>
      <c r="CA117" s="5">
        <f t="shared" si="251"/>
        <v>0.073173380054873</v>
      </c>
      <c r="CB117" s="192">
        <f t="shared" si="252"/>
        <v>0.63</v>
      </c>
      <c r="CC117" s="5">
        <f t="shared" si="253"/>
        <v>0.895938353000276</v>
      </c>
      <c r="CD117" s="192">
        <f t="shared" si="254"/>
        <v>89.5938353000276</v>
      </c>
      <c r="CG117" s="227">
        <f t="shared" si="255"/>
        <v>-50</v>
      </c>
      <c r="CH117">
        <f t="shared" si="256"/>
        <v>-50</v>
      </c>
    </row>
    <row r="118" spans="5:86">
      <c r="E118" s="22">
        <v>8</v>
      </c>
      <c r="F118" s="25">
        <f t="shared" si="257"/>
        <v>0.04</v>
      </c>
      <c r="G118" s="25"/>
      <c r="H118" s="25">
        <f t="shared" si="201"/>
        <v>0.72</v>
      </c>
      <c r="I118" s="212">
        <f t="shared" si="202"/>
        <v>10</v>
      </c>
      <c r="J118" s="131">
        <f t="shared" si="203"/>
        <v>12.2728</v>
      </c>
      <c r="K118" s="131">
        <f t="shared" si="204"/>
        <v>22.2728</v>
      </c>
      <c r="L118" s="131"/>
      <c r="M118" s="25">
        <f t="shared" si="205"/>
        <v>0.551021874214288</v>
      </c>
      <c r="N118" s="27">
        <f t="shared" si="206"/>
        <v>3.74915283215402</v>
      </c>
      <c r="O118" s="27">
        <f t="shared" si="173"/>
        <v>0.72</v>
      </c>
      <c r="P118" s="25">
        <f t="shared" si="207"/>
        <v>0.208286268453001</v>
      </c>
      <c r="Q118" s="25">
        <f t="shared" si="208"/>
        <v>18</v>
      </c>
      <c r="R118" s="25"/>
      <c r="S118" s="27">
        <f t="shared" si="209"/>
        <v>153.796388223135</v>
      </c>
      <c r="T118" s="27">
        <f t="shared" si="210"/>
        <v>18</v>
      </c>
      <c r="U118" s="25">
        <f t="shared" si="211"/>
        <v>0.290369597809791</v>
      </c>
      <c r="V118" s="25">
        <f t="shared" si="212"/>
        <v>0.725923994524477</v>
      </c>
      <c r="W118" s="25">
        <f t="shared" si="213"/>
        <v>0.591490120041455</v>
      </c>
      <c r="X118" s="24">
        <f t="shared" si="214"/>
        <v>350</v>
      </c>
      <c r="Y118" s="131">
        <f t="shared" si="215"/>
        <v>350</v>
      </c>
      <c r="AA118" s="25">
        <f t="shared" si="216"/>
        <v>0.62973928481633</v>
      </c>
      <c r="AB118" s="5">
        <f t="shared" si="217"/>
        <v>1.28279464510203</v>
      </c>
      <c r="AC118" s="5">
        <f t="shared" si="218"/>
        <v>0.0942935111374618</v>
      </c>
      <c r="AD118" s="5"/>
      <c r="AE118" s="5">
        <f t="shared" si="219"/>
        <v>0.611107489733394</v>
      </c>
      <c r="AF118" s="216">
        <f t="shared" si="220"/>
        <v>654.222222222222</v>
      </c>
      <c r="AG118" s="217">
        <f t="shared" si="221"/>
        <v>0.0213994565217391</v>
      </c>
      <c r="AI118" s="5">
        <f t="shared" si="222"/>
        <v>0.41015676445546</v>
      </c>
      <c r="AJ118" s="5">
        <f t="shared" si="223"/>
        <v>0.41015676445546</v>
      </c>
      <c r="AK118" s="5">
        <f t="shared" si="224"/>
        <v>1.27343784297031</v>
      </c>
      <c r="AM118" s="216">
        <f t="shared" si="225"/>
        <v>40</v>
      </c>
      <c r="AN118" s="220">
        <f t="shared" si="226"/>
        <v>350</v>
      </c>
      <c r="AP118" s="220">
        <f t="shared" si="227"/>
        <v>40</v>
      </c>
      <c r="AQ118" s="220">
        <f t="shared" si="228"/>
        <v>350</v>
      </c>
      <c r="AS118" s="192">
        <f t="shared" si="175"/>
        <v>2.85714285714286</v>
      </c>
      <c r="AT118" s="192">
        <f t="shared" si="229"/>
        <v>1.02539191113865</v>
      </c>
      <c r="AU118" s="192">
        <f t="shared" si="230"/>
        <v>1.83175094600421</v>
      </c>
      <c r="AV118" s="192"/>
      <c r="AW118" s="5">
        <f t="shared" si="231"/>
        <v>0.358887168898527</v>
      </c>
      <c r="AX118" s="5">
        <f t="shared" si="150"/>
        <v>0.736</v>
      </c>
      <c r="AY118" s="5">
        <f t="shared" si="151"/>
        <v>0.0876960809458958</v>
      </c>
      <c r="AZ118" s="5">
        <f t="shared" si="178"/>
        <v>8.39262133565668</v>
      </c>
      <c r="BA118" s="220">
        <f t="shared" si="232"/>
        <v>5.22063553448612</v>
      </c>
      <c r="BB118" s="220">
        <f t="shared" si="233"/>
        <v>1.47477951742406</v>
      </c>
      <c r="BC118" s="192">
        <f t="shared" si="258"/>
        <v>0.244233459467228</v>
      </c>
      <c r="BD118" s="220">
        <f t="shared" si="235"/>
        <v>1.70540075680337</v>
      </c>
      <c r="BF118" s="5">
        <f t="shared" si="179"/>
        <v>0.141862698559609</v>
      </c>
      <c r="BG118" s="5">
        <f t="shared" si="156"/>
        <v>0.126468485993944</v>
      </c>
      <c r="BI118" s="217">
        <f t="shared" si="236"/>
        <v>0.0070437588349151</v>
      </c>
      <c r="BJ118" s="217">
        <f t="shared" si="237"/>
        <v>0.0159868442708862</v>
      </c>
      <c r="BK118" s="217">
        <f t="shared" si="238"/>
        <v>0.004375</v>
      </c>
      <c r="BL118" s="217">
        <f t="shared" si="239"/>
        <v>0.0086813583472</v>
      </c>
      <c r="BM118">
        <f t="shared" si="240"/>
        <v>0.0029</v>
      </c>
      <c r="BN118">
        <f t="shared" si="241"/>
        <v>4.375e-6</v>
      </c>
      <c r="BO118" s="217">
        <f t="shared" si="242"/>
        <v>0.0421696242279893</v>
      </c>
      <c r="BP118" s="220">
        <f t="shared" si="243"/>
        <v>38.9869614530013</v>
      </c>
      <c r="BQ118" s="217">
        <f t="shared" si="244"/>
        <v>0.0365601690729189</v>
      </c>
      <c r="BT118" s="220">
        <f t="shared" si="245"/>
        <v>36.5601690729189</v>
      </c>
      <c r="BU118" s="217">
        <f t="shared" si="246"/>
        <v>0.000825126034947197</v>
      </c>
      <c r="BV118" s="217">
        <f t="shared" si="247"/>
        <v>0.00159942779496004</v>
      </c>
      <c r="BW118" s="217">
        <f t="shared" si="248"/>
        <v>0</v>
      </c>
      <c r="BX118" s="217"/>
      <c r="BY118" s="217">
        <f t="shared" si="249"/>
        <v>0.0023552</v>
      </c>
      <c r="BZ118" s="220">
        <f t="shared" si="250"/>
        <v>4.77975382990723</v>
      </c>
      <c r="CA118" s="5">
        <f t="shared" si="251"/>
        <v>0.0803268843558275</v>
      </c>
      <c r="CB118" s="192">
        <f t="shared" si="252"/>
        <v>0.72</v>
      </c>
      <c r="CC118" s="5">
        <f t="shared" si="253"/>
        <v>0.89963240530089</v>
      </c>
      <c r="CD118" s="192">
        <f t="shared" si="254"/>
        <v>89.963240530089</v>
      </c>
      <c r="CG118" s="227">
        <f t="shared" si="255"/>
        <v>-50</v>
      </c>
      <c r="CH118">
        <f t="shared" si="256"/>
        <v>-50</v>
      </c>
    </row>
    <row r="119" spans="5:86">
      <c r="E119" s="22">
        <v>9</v>
      </c>
      <c r="F119" s="25">
        <f t="shared" si="257"/>
        <v>0.045</v>
      </c>
      <c r="G119" s="25"/>
      <c r="H119" s="25">
        <f t="shared" si="201"/>
        <v>0.81</v>
      </c>
      <c r="I119" s="212">
        <f t="shared" si="202"/>
        <v>10</v>
      </c>
      <c r="J119" s="131">
        <f t="shared" si="203"/>
        <v>12.2728</v>
      </c>
      <c r="K119" s="131">
        <f t="shared" si="204"/>
        <v>22.2728</v>
      </c>
      <c r="L119" s="131"/>
      <c r="M119" s="25">
        <f t="shared" si="205"/>
        <v>0.551021874214288</v>
      </c>
      <c r="N119" s="27">
        <f t="shared" si="206"/>
        <v>3.74915283215402</v>
      </c>
      <c r="O119" s="27">
        <f t="shared" si="173"/>
        <v>0.81</v>
      </c>
      <c r="P119" s="25">
        <f t="shared" si="207"/>
        <v>0.208286268453001</v>
      </c>
      <c r="Q119" s="25">
        <f t="shared" si="208"/>
        <v>18</v>
      </c>
      <c r="R119" s="25"/>
      <c r="S119" s="27">
        <f t="shared" si="209"/>
        <v>135.051770324372</v>
      </c>
      <c r="T119" s="27">
        <f t="shared" si="210"/>
        <v>18</v>
      </c>
      <c r="U119" s="25">
        <f t="shared" si="211"/>
        <v>0.326665797536015</v>
      </c>
      <c r="V119" s="25">
        <f t="shared" si="212"/>
        <v>0.816664493840037</v>
      </c>
      <c r="W119" s="25">
        <f t="shared" si="213"/>
        <v>0.665426385046637</v>
      </c>
      <c r="X119" s="24">
        <f t="shared" si="214"/>
        <v>350</v>
      </c>
      <c r="Y119" s="131">
        <f t="shared" si="215"/>
        <v>350</v>
      </c>
      <c r="AA119" s="25">
        <f t="shared" si="216"/>
        <v>0.62973928481633</v>
      </c>
      <c r="AB119" s="5">
        <f t="shared" si="217"/>
        <v>1.28279464510203</v>
      </c>
      <c r="AC119" s="5">
        <f t="shared" si="218"/>
        <v>0.0942935111374618</v>
      </c>
      <c r="AD119" s="5"/>
      <c r="AE119" s="5">
        <f t="shared" si="219"/>
        <v>0.611107489733394</v>
      </c>
      <c r="AF119" s="216">
        <f t="shared" si="220"/>
        <v>736</v>
      </c>
      <c r="AG119" s="217">
        <f t="shared" si="221"/>
        <v>0.0213994565217391</v>
      </c>
      <c r="AI119" s="5">
        <f t="shared" si="222"/>
        <v>0.435036944243984</v>
      </c>
      <c r="AJ119" s="5">
        <f t="shared" si="223"/>
        <v>0.435036944243984</v>
      </c>
      <c r="AK119" s="5">
        <f t="shared" si="224"/>
        <v>1.29002462949599</v>
      </c>
      <c r="AM119" s="216">
        <f t="shared" si="225"/>
        <v>45</v>
      </c>
      <c r="AN119" s="220">
        <f t="shared" si="226"/>
        <v>350</v>
      </c>
      <c r="AP119" s="220">
        <f t="shared" si="227"/>
        <v>45</v>
      </c>
      <c r="AQ119" s="220">
        <f t="shared" si="228"/>
        <v>350</v>
      </c>
      <c r="AS119" s="192">
        <f t="shared" si="175"/>
        <v>2.85714285714286</v>
      </c>
      <c r="AT119" s="192">
        <f t="shared" si="229"/>
        <v>1.08759236060996</v>
      </c>
      <c r="AU119" s="192">
        <f t="shared" si="230"/>
        <v>1.7695504965329</v>
      </c>
      <c r="AV119" s="192"/>
      <c r="AW119" s="5">
        <f t="shared" si="231"/>
        <v>0.380657326213486</v>
      </c>
      <c r="AX119" s="5">
        <f t="shared" si="150"/>
        <v>0.828</v>
      </c>
      <c r="AY119" s="5">
        <f t="shared" si="151"/>
        <v>0.0898572209053685</v>
      </c>
      <c r="AZ119" s="5">
        <f t="shared" si="178"/>
        <v>9.21461838745261</v>
      </c>
      <c r="BA119" s="220">
        <f t="shared" si="232"/>
        <v>5.22063553448612</v>
      </c>
      <c r="BB119" s="220">
        <f t="shared" si="233"/>
        <v>1.84964282673982</v>
      </c>
      <c r="BC119" s="192">
        <f t="shared" si="258"/>
        <v>0.265432574479935</v>
      </c>
      <c r="BD119" s="220">
        <f t="shared" si="235"/>
        <v>1.86259544687961</v>
      </c>
      <c r="BF119" s="5">
        <f t="shared" si="179"/>
        <v>0.154964638941495</v>
      </c>
      <c r="BG119" s="5">
        <f t="shared" si="156"/>
        <v>0.131842930803334</v>
      </c>
      <c r="BI119" s="217">
        <f t="shared" si="236"/>
        <v>0.00840491376279376</v>
      </c>
      <c r="BJ119" s="217">
        <f t="shared" si="237"/>
        <v>0.0169566089905754</v>
      </c>
      <c r="BK119" s="217">
        <f t="shared" si="238"/>
        <v>0.004375</v>
      </c>
      <c r="BL119" s="217">
        <f t="shared" si="239"/>
        <v>0.0086813583472</v>
      </c>
      <c r="BM119">
        <f t="shared" si="240"/>
        <v>0.0029</v>
      </c>
      <c r="BN119">
        <f t="shared" si="241"/>
        <v>4.375e-6</v>
      </c>
      <c r="BO119" s="217">
        <f t="shared" si="242"/>
        <v>0.045128714646254</v>
      </c>
      <c r="BP119" s="220">
        <f t="shared" si="243"/>
        <v>41.3178811005692</v>
      </c>
      <c r="BQ119" s="217">
        <f t="shared" si="244"/>
        <v>0.0407424774345048</v>
      </c>
      <c r="BT119" s="220">
        <f t="shared" si="245"/>
        <v>40.7424774345048</v>
      </c>
      <c r="BU119" s="217">
        <f t="shared" si="246"/>
        <v>0.000984575612212984</v>
      </c>
      <c r="BV119" s="217">
        <f t="shared" si="247"/>
        <v>0.00173825584028127</v>
      </c>
      <c r="BW119" s="217">
        <f t="shared" si="248"/>
        <v>0</v>
      </c>
      <c r="BX119" s="217"/>
      <c r="BY119" s="217">
        <f t="shared" si="249"/>
        <v>0.0026496</v>
      </c>
      <c r="BZ119" s="220">
        <f t="shared" si="250"/>
        <v>5.37243145249425</v>
      </c>
      <c r="CA119" s="5">
        <f t="shared" si="251"/>
        <v>0.0874327899875683</v>
      </c>
      <c r="CB119" s="192">
        <f t="shared" si="252"/>
        <v>0.81</v>
      </c>
      <c r="CC119" s="5">
        <f t="shared" si="253"/>
        <v>0.902574553812794</v>
      </c>
      <c r="CD119" s="192">
        <f t="shared" si="254"/>
        <v>90.2574553812794</v>
      </c>
      <c r="CG119" s="227">
        <f t="shared" si="255"/>
        <v>-50</v>
      </c>
      <c r="CH119">
        <f t="shared" si="256"/>
        <v>-50</v>
      </c>
    </row>
    <row r="120" spans="5:86">
      <c r="E120" s="22">
        <v>10</v>
      </c>
      <c r="F120" s="25">
        <f t="shared" si="257"/>
        <v>0.05</v>
      </c>
      <c r="G120" s="25"/>
      <c r="H120" s="25">
        <f t="shared" si="201"/>
        <v>0.9</v>
      </c>
      <c r="I120" s="212">
        <f t="shared" si="202"/>
        <v>10</v>
      </c>
      <c r="J120" s="131">
        <f t="shared" si="203"/>
        <v>12.2728</v>
      </c>
      <c r="K120" s="131">
        <f t="shared" si="204"/>
        <v>22.2728</v>
      </c>
      <c r="L120" s="131"/>
      <c r="M120" s="25">
        <f t="shared" si="205"/>
        <v>0.551021874214288</v>
      </c>
      <c r="N120" s="27">
        <f t="shared" si="206"/>
        <v>3.74915283215402</v>
      </c>
      <c r="O120" s="27">
        <f t="shared" si="173"/>
        <v>0.9</v>
      </c>
      <c r="P120" s="25">
        <f t="shared" si="207"/>
        <v>0.208286268453001</v>
      </c>
      <c r="Q120" s="25">
        <f t="shared" si="208"/>
        <v>18</v>
      </c>
      <c r="R120" s="25"/>
      <c r="S120" s="27">
        <f t="shared" si="209"/>
        <v>120.057281548555</v>
      </c>
      <c r="T120" s="27">
        <f t="shared" si="210"/>
        <v>18</v>
      </c>
      <c r="U120" s="25">
        <f t="shared" si="211"/>
        <v>0.362961997262239</v>
      </c>
      <c r="V120" s="25">
        <f t="shared" si="212"/>
        <v>0.907404993155597</v>
      </c>
      <c r="W120" s="25">
        <f t="shared" si="213"/>
        <v>0.739362650051819</v>
      </c>
      <c r="X120" s="24">
        <f t="shared" si="214"/>
        <v>350</v>
      </c>
      <c r="Y120" s="131">
        <f t="shared" si="215"/>
        <v>350</v>
      </c>
      <c r="AA120" s="25">
        <f t="shared" si="216"/>
        <v>0.62973928481633</v>
      </c>
      <c r="AB120" s="5">
        <f t="shared" si="217"/>
        <v>1.28279464510203</v>
      </c>
      <c r="AC120" s="5">
        <f t="shared" si="218"/>
        <v>0.0942935111374618</v>
      </c>
      <c r="AD120" s="5"/>
      <c r="AE120" s="5">
        <f t="shared" si="219"/>
        <v>0.611107489733394</v>
      </c>
      <c r="AF120" s="216">
        <f t="shared" si="220"/>
        <v>817.777777777778</v>
      </c>
      <c r="AG120" s="217">
        <f t="shared" si="221"/>
        <v>0.0213994565217391</v>
      </c>
      <c r="AI120" s="5">
        <f t="shared" si="222"/>
        <v>0.458569203376889</v>
      </c>
      <c r="AJ120" s="5">
        <f t="shared" si="223"/>
        <v>0.458569203376889</v>
      </c>
      <c r="AK120" s="5">
        <f t="shared" si="224"/>
        <v>1.30571280225126</v>
      </c>
      <c r="AM120" s="216">
        <f t="shared" si="225"/>
        <v>50</v>
      </c>
      <c r="AN120" s="220">
        <f t="shared" si="226"/>
        <v>350</v>
      </c>
      <c r="AP120" s="220">
        <f t="shared" si="227"/>
        <v>50</v>
      </c>
      <c r="AQ120" s="220">
        <f t="shared" si="228"/>
        <v>350</v>
      </c>
      <c r="AS120" s="192">
        <f t="shared" si="175"/>
        <v>2.85714285714286</v>
      </c>
      <c r="AT120" s="192">
        <f t="shared" si="229"/>
        <v>1.14642300844222</v>
      </c>
      <c r="AU120" s="192">
        <f t="shared" si="230"/>
        <v>1.71071984870064</v>
      </c>
      <c r="AV120" s="192"/>
      <c r="AW120" s="5">
        <f t="shared" si="231"/>
        <v>0.401248052954778</v>
      </c>
      <c r="AX120" s="5">
        <f t="shared" si="150"/>
        <v>0.92</v>
      </c>
      <c r="AY120" s="5">
        <f t="shared" si="151"/>
        <v>0.0915688293261924</v>
      </c>
      <c r="AZ120" s="5">
        <f t="shared" si="178"/>
        <v>10.0470870575697</v>
      </c>
      <c r="BA120" s="220">
        <f t="shared" si="232"/>
        <v>5.22063553448612</v>
      </c>
      <c r="BB120" s="220">
        <f t="shared" si="233"/>
        <v>2.26684299597509</v>
      </c>
      <c r="BC120" s="192">
        <f t="shared" si="258"/>
        <v>0.285119974783439</v>
      </c>
      <c r="BD120" s="220">
        <f t="shared" si="235"/>
        <v>2.01071984870063</v>
      </c>
      <c r="BF120" s="5">
        <f t="shared" si="179"/>
        <v>0.167706820991622</v>
      </c>
      <c r="BG120" s="5">
        <f t="shared" si="156"/>
        <v>0.136644942079546</v>
      </c>
      <c r="BI120" s="217">
        <f t="shared" si="236"/>
        <v>0.00984395223249054</v>
      </c>
      <c r="BJ120" s="217">
        <f t="shared" si="237"/>
        <v>0.0178738352677023</v>
      </c>
      <c r="BK120" s="217">
        <f t="shared" si="238"/>
        <v>0.004375</v>
      </c>
      <c r="BL120" s="217">
        <f t="shared" si="239"/>
        <v>0.0086813583472</v>
      </c>
      <c r="BM120">
        <f t="shared" si="240"/>
        <v>0.0029</v>
      </c>
      <c r="BN120">
        <f t="shared" si="241"/>
        <v>4.375e-6</v>
      </c>
      <c r="BO120" s="217">
        <f t="shared" si="242"/>
        <v>0.0481534468062648</v>
      </c>
      <c r="BP120" s="220">
        <f t="shared" si="243"/>
        <v>43.6741458473929</v>
      </c>
      <c r="BQ120" s="217">
        <f t="shared" si="244"/>
        <v>0.0448619661963226</v>
      </c>
      <c r="BT120" s="220">
        <f t="shared" si="245"/>
        <v>44.8619661963226</v>
      </c>
      <c r="BU120" s="217">
        <f t="shared" si="246"/>
        <v>0.00115314869009175</v>
      </c>
      <c r="BV120" s="217">
        <f t="shared" si="247"/>
        <v>0.00186718401959224</v>
      </c>
      <c r="BW120" s="217">
        <f t="shared" si="248"/>
        <v>0</v>
      </c>
      <c r="BX120" s="217"/>
      <c r="BY120" s="217">
        <f t="shared" si="249"/>
        <v>0.002944</v>
      </c>
      <c r="BZ120" s="220">
        <f t="shared" si="250"/>
        <v>5.96433270968399</v>
      </c>
      <c r="CA120" s="5">
        <f t="shared" si="251"/>
        <v>0.0945004447533994</v>
      </c>
      <c r="CB120" s="192">
        <f t="shared" si="252"/>
        <v>0.9</v>
      </c>
      <c r="CC120" s="5">
        <f t="shared" si="253"/>
        <v>0.90497697084808</v>
      </c>
      <c r="CD120" s="192">
        <f t="shared" si="254"/>
        <v>90.497697084808</v>
      </c>
      <c r="CG120" s="227">
        <f t="shared" si="255"/>
        <v>-50</v>
      </c>
      <c r="CH120">
        <f t="shared" si="256"/>
        <v>-50</v>
      </c>
    </row>
    <row r="121" spans="5:86">
      <c r="E121" s="22">
        <v>11</v>
      </c>
      <c r="F121" s="25">
        <f t="shared" si="257"/>
        <v>0.055</v>
      </c>
      <c r="G121" s="25"/>
      <c r="H121" s="25">
        <f t="shared" si="201"/>
        <v>0.99</v>
      </c>
      <c r="I121" s="212">
        <f t="shared" si="202"/>
        <v>10</v>
      </c>
      <c r="J121" s="131">
        <f t="shared" si="203"/>
        <v>12.2728</v>
      </c>
      <c r="K121" s="131">
        <f t="shared" si="204"/>
        <v>22.2728</v>
      </c>
      <c r="L121" s="131"/>
      <c r="M121" s="25">
        <f t="shared" si="205"/>
        <v>0.551021874214288</v>
      </c>
      <c r="N121" s="27">
        <f t="shared" si="206"/>
        <v>3.74915283215402</v>
      </c>
      <c r="O121" s="27">
        <f t="shared" si="173"/>
        <v>0.99</v>
      </c>
      <c r="P121" s="25">
        <f t="shared" si="207"/>
        <v>0.208286268453001</v>
      </c>
      <c r="Q121" s="25">
        <f t="shared" si="208"/>
        <v>18</v>
      </c>
      <c r="R121" s="25"/>
      <c r="S121" s="27">
        <f t="shared" si="209"/>
        <v>107.790199152547</v>
      </c>
      <c r="T121" s="27">
        <f t="shared" si="210"/>
        <v>18</v>
      </c>
      <c r="U121" s="25">
        <f t="shared" si="211"/>
        <v>0.399258196988462</v>
      </c>
      <c r="V121" s="25">
        <f t="shared" si="212"/>
        <v>0.998145492471156</v>
      </c>
      <c r="W121" s="25">
        <f t="shared" si="213"/>
        <v>0.813298915057001</v>
      </c>
      <c r="X121" s="24">
        <f t="shared" si="214"/>
        <v>350</v>
      </c>
      <c r="Y121" s="131">
        <f t="shared" si="215"/>
        <v>350</v>
      </c>
      <c r="AA121" s="25">
        <f t="shared" si="216"/>
        <v>0.62973928481633</v>
      </c>
      <c r="AB121" s="5">
        <f t="shared" si="217"/>
        <v>1.28279464510203</v>
      </c>
      <c r="AC121" s="5">
        <f t="shared" si="218"/>
        <v>0.0942935111374618</v>
      </c>
      <c r="AD121" s="5"/>
      <c r="AE121" s="5">
        <f t="shared" si="219"/>
        <v>0.611107489733394</v>
      </c>
      <c r="AF121" s="216">
        <f t="shared" si="220"/>
        <v>899.555555555556</v>
      </c>
      <c r="AG121" s="217">
        <f t="shared" si="221"/>
        <v>0.0213994565217391</v>
      </c>
      <c r="AI121" s="5">
        <f t="shared" si="222"/>
        <v>0.480951438000019</v>
      </c>
      <c r="AJ121" s="5">
        <f t="shared" si="223"/>
        <v>0.480951438000019</v>
      </c>
      <c r="AK121" s="5">
        <f t="shared" si="224"/>
        <v>1.32063429200001</v>
      </c>
      <c r="AM121" s="216">
        <f t="shared" si="225"/>
        <v>55</v>
      </c>
      <c r="AN121" s="220">
        <f t="shared" si="226"/>
        <v>350</v>
      </c>
      <c r="AP121" s="220">
        <f t="shared" si="227"/>
        <v>55</v>
      </c>
      <c r="AQ121" s="220">
        <f t="shared" si="228"/>
        <v>350</v>
      </c>
      <c r="AS121" s="192">
        <f t="shared" si="175"/>
        <v>2.85714285714286</v>
      </c>
      <c r="AT121" s="192">
        <f t="shared" si="229"/>
        <v>1.20237859500005</v>
      </c>
      <c r="AU121" s="192">
        <f t="shared" si="230"/>
        <v>1.65476426214281</v>
      </c>
      <c r="AV121" s="192"/>
      <c r="AW121" s="5">
        <f t="shared" si="231"/>
        <v>0.420832508250016</v>
      </c>
      <c r="AX121" s="5">
        <f t="shared" si="150"/>
        <v>1.012</v>
      </c>
      <c r="AY121" s="5">
        <f t="shared" si="151"/>
        <v>0.0928969045730062</v>
      </c>
      <c r="AZ121" s="5">
        <f t="shared" si="178"/>
        <v>10.8937967809755</v>
      </c>
      <c r="BA121" s="220">
        <f t="shared" si="232"/>
        <v>5.22063553448612</v>
      </c>
      <c r="BB121" s="220">
        <f t="shared" si="233"/>
        <v>2.72638002512986</v>
      </c>
      <c r="BC121" s="192">
        <f t="shared" si="258"/>
        <v>0.303373448059515</v>
      </c>
      <c r="BD121" s="220">
        <f t="shared" si="235"/>
        <v>2.15024068835709</v>
      </c>
      <c r="BF121" s="5">
        <f t="shared" si="179"/>
        <v>0.18013381234627</v>
      </c>
      <c r="BG121" s="5">
        <f t="shared" si="156"/>
        <v>0.140951117279176</v>
      </c>
      <c r="BI121" s="217">
        <f t="shared" si="236"/>
        <v>0.0113568666226404</v>
      </c>
      <c r="BJ121" s="217">
        <f t="shared" si="237"/>
        <v>0.0187462365795019</v>
      </c>
      <c r="BK121" s="217">
        <f t="shared" si="238"/>
        <v>0.004375</v>
      </c>
      <c r="BL121" s="217">
        <f t="shared" si="239"/>
        <v>0.0086813583472</v>
      </c>
      <c r="BM121">
        <f t="shared" si="240"/>
        <v>0.0029</v>
      </c>
      <c r="BN121">
        <f t="shared" si="241"/>
        <v>4.375e-6</v>
      </c>
      <c r="BO121" s="217">
        <f t="shared" si="242"/>
        <v>0.0512462703753993</v>
      </c>
      <c r="BP121" s="220">
        <f t="shared" si="243"/>
        <v>46.0594615493424</v>
      </c>
      <c r="BQ121" s="217">
        <f t="shared" si="244"/>
        <v>0.0489218678406694</v>
      </c>
      <c r="BT121" s="220">
        <f t="shared" si="245"/>
        <v>48.9218678406694</v>
      </c>
      <c r="BU121" s="217">
        <f t="shared" si="246"/>
        <v>0.00133037580436645</v>
      </c>
      <c r="BV121" s="217">
        <f t="shared" si="247"/>
        <v>0.0019867217462248</v>
      </c>
      <c r="BW121" s="217">
        <f t="shared" si="248"/>
        <v>0</v>
      </c>
      <c r="BX121" s="217"/>
      <c r="BY121" s="217">
        <f t="shared" si="249"/>
        <v>0.0032384</v>
      </c>
      <c r="BZ121" s="220">
        <f t="shared" si="250"/>
        <v>6.55549755059125</v>
      </c>
      <c r="CA121" s="5">
        <f t="shared" si="251"/>
        <v>0.101536826940603</v>
      </c>
      <c r="CB121" s="192">
        <f t="shared" si="252"/>
        <v>0.99</v>
      </c>
      <c r="CC121" s="5">
        <f t="shared" si="253"/>
        <v>0.906978102401553</v>
      </c>
      <c r="CD121" s="192">
        <f t="shared" si="254"/>
        <v>90.6978102401553</v>
      </c>
      <c r="CG121" s="227">
        <f t="shared" si="255"/>
        <v>-50</v>
      </c>
      <c r="CH121">
        <f t="shared" si="256"/>
        <v>-50</v>
      </c>
    </row>
    <row r="122" spans="5:86">
      <c r="E122" s="22">
        <v>12</v>
      </c>
      <c r="F122" s="25">
        <f t="shared" si="257"/>
        <v>0.06</v>
      </c>
      <c r="G122" s="25"/>
      <c r="H122" s="25">
        <f t="shared" si="201"/>
        <v>1.08</v>
      </c>
      <c r="I122" s="212">
        <f t="shared" si="202"/>
        <v>10</v>
      </c>
      <c r="J122" s="131">
        <f t="shared" si="203"/>
        <v>12.2728</v>
      </c>
      <c r="K122" s="131">
        <f t="shared" si="204"/>
        <v>22.2728</v>
      </c>
      <c r="L122" s="131"/>
      <c r="M122" s="25">
        <f t="shared" si="205"/>
        <v>0.551021874214288</v>
      </c>
      <c r="N122" s="27">
        <f t="shared" si="206"/>
        <v>3.74915283215402</v>
      </c>
      <c r="O122" s="27">
        <f t="shared" si="173"/>
        <v>1.08</v>
      </c>
      <c r="P122" s="25">
        <f t="shared" si="207"/>
        <v>0.208286268453001</v>
      </c>
      <c r="Q122" s="25">
        <f t="shared" si="208"/>
        <v>18</v>
      </c>
      <c r="R122" s="25"/>
      <c r="S122" s="27">
        <f t="shared" si="209"/>
        <v>97.5687096894937</v>
      </c>
      <c r="T122" s="27">
        <f t="shared" si="210"/>
        <v>18</v>
      </c>
      <c r="U122" s="25">
        <f t="shared" si="211"/>
        <v>0.435554396714686</v>
      </c>
      <c r="V122" s="25">
        <f t="shared" si="212"/>
        <v>1.08888599178672</v>
      </c>
      <c r="W122" s="25">
        <f t="shared" si="213"/>
        <v>0.887235180062183</v>
      </c>
      <c r="X122" s="24">
        <f t="shared" si="214"/>
        <v>350</v>
      </c>
      <c r="Y122" s="131">
        <f t="shared" si="215"/>
        <v>350</v>
      </c>
      <c r="AA122" s="25">
        <f t="shared" si="216"/>
        <v>0.62973928481633</v>
      </c>
      <c r="AB122" s="5">
        <f t="shared" si="217"/>
        <v>1.28279464510203</v>
      </c>
      <c r="AC122" s="5">
        <f t="shared" si="218"/>
        <v>0.0942935111374618</v>
      </c>
      <c r="AD122" s="5"/>
      <c r="AE122" s="5">
        <f t="shared" si="219"/>
        <v>0.611107489733394</v>
      </c>
      <c r="AF122" s="216">
        <f t="shared" si="220"/>
        <v>981.333333333333</v>
      </c>
      <c r="AG122" s="217">
        <f t="shared" si="221"/>
        <v>0.0213994565217391</v>
      </c>
      <c r="AI122" s="5">
        <f t="shared" si="222"/>
        <v>0.502337393733392</v>
      </c>
      <c r="AJ122" s="5">
        <f t="shared" si="223"/>
        <v>0.502337393733392</v>
      </c>
      <c r="AK122" s="5">
        <f t="shared" si="224"/>
        <v>1.33489159582226</v>
      </c>
      <c r="AM122" s="216">
        <f t="shared" si="225"/>
        <v>60</v>
      </c>
      <c r="AN122" s="220">
        <f t="shared" si="226"/>
        <v>350</v>
      </c>
      <c r="AP122" s="220">
        <f t="shared" si="227"/>
        <v>60</v>
      </c>
      <c r="AQ122" s="220">
        <f t="shared" si="228"/>
        <v>350</v>
      </c>
      <c r="AS122" s="192">
        <f t="shared" si="175"/>
        <v>2.85714285714286</v>
      </c>
      <c r="AT122" s="192">
        <f t="shared" si="229"/>
        <v>1.25584348433348</v>
      </c>
      <c r="AU122" s="192">
        <f t="shared" si="230"/>
        <v>1.60129937280938</v>
      </c>
      <c r="AV122" s="192"/>
      <c r="AW122" s="5">
        <f t="shared" si="231"/>
        <v>0.439545219516718</v>
      </c>
      <c r="AX122" s="5">
        <f t="shared" si="150"/>
        <v>1.104</v>
      </c>
      <c r="AY122" s="5">
        <f t="shared" si="151"/>
        <v>0.0938927208100863</v>
      </c>
      <c r="AZ122" s="5">
        <f t="shared" si="178"/>
        <v>11.7580999940669</v>
      </c>
      <c r="BA122" s="220">
        <f t="shared" si="232"/>
        <v>5.22063553448612</v>
      </c>
      <c r="BB122" s="220">
        <f t="shared" si="233"/>
        <v>3.22825391420413</v>
      </c>
      <c r="BC122" s="192">
        <f t="shared" si="258"/>
        <v>0.320259874561875</v>
      </c>
      <c r="BD122" s="220">
        <f t="shared" si="235"/>
        <v>2.28155924737125</v>
      </c>
      <c r="BF122" s="5">
        <f t="shared" si="179"/>
        <v>0.192281127983943</v>
      </c>
      <c r="BG122" s="5">
        <f t="shared" si="156"/>
        <v>0.144820820440842</v>
      </c>
      <c r="BI122" s="217">
        <f t="shared" si="236"/>
        <v>0.0129402112625722</v>
      </c>
      <c r="BJ122" s="217">
        <f t="shared" si="237"/>
        <v>0.0195798055305039</v>
      </c>
      <c r="BK122" s="217">
        <f t="shared" si="238"/>
        <v>0.004375</v>
      </c>
      <c r="BL122" s="217">
        <f t="shared" si="239"/>
        <v>0.0086813583472</v>
      </c>
      <c r="BM122">
        <f t="shared" si="240"/>
        <v>0.0029</v>
      </c>
      <c r="BN122">
        <f t="shared" si="241"/>
        <v>4.375e-6</v>
      </c>
      <c r="BO122" s="217">
        <f t="shared" si="242"/>
        <v>0.0544087244235954</v>
      </c>
      <c r="BP122" s="220">
        <f t="shared" si="243"/>
        <v>48.4763751402761</v>
      </c>
      <c r="BQ122" s="217">
        <f t="shared" si="244"/>
        <v>0.0529249615895408</v>
      </c>
      <c r="BT122" s="220">
        <f t="shared" si="245"/>
        <v>52.9249615895408</v>
      </c>
      <c r="BU122" s="217">
        <f t="shared" si="246"/>
        <v>0.00151585331932988</v>
      </c>
      <c r="BV122" s="217">
        <f t="shared" si="247"/>
        <v>0.00209730700331586</v>
      </c>
      <c r="BW122" s="217">
        <f t="shared" si="248"/>
        <v>0</v>
      </c>
      <c r="BX122" s="217"/>
      <c r="BY122" s="217">
        <f t="shared" si="249"/>
        <v>0.0035328</v>
      </c>
      <c r="BZ122" s="220">
        <f t="shared" si="250"/>
        <v>7.14596032264575</v>
      </c>
      <c r="CA122" s="5">
        <f t="shared" si="251"/>
        <v>0.108547297052463</v>
      </c>
      <c r="CB122" s="192">
        <f t="shared" si="252"/>
        <v>1.08</v>
      </c>
      <c r="CC122" s="5">
        <f t="shared" si="253"/>
        <v>0.90867229489171</v>
      </c>
      <c r="CD122" s="192">
        <f t="shared" si="254"/>
        <v>90.867229489171</v>
      </c>
      <c r="CG122" s="227">
        <f t="shared" si="255"/>
        <v>-50</v>
      </c>
      <c r="CH122">
        <f t="shared" si="256"/>
        <v>-50</v>
      </c>
    </row>
    <row r="123" spans="5:86">
      <c r="E123" s="22">
        <v>13</v>
      </c>
      <c r="F123" s="25">
        <f t="shared" si="257"/>
        <v>0.065</v>
      </c>
      <c r="G123" s="25"/>
      <c r="H123" s="25">
        <f t="shared" si="201"/>
        <v>1.17</v>
      </c>
      <c r="I123" s="212">
        <f t="shared" si="202"/>
        <v>10</v>
      </c>
      <c r="J123" s="131">
        <f t="shared" si="203"/>
        <v>12.2728</v>
      </c>
      <c r="K123" s="131">
        <f t="shared" si="204"/>
        <v>22.2728</v>
      </c>
      <c r="L123" s="131"/>
      <c r="M123" s="25">
        <f t="shared" si="205"/>
        <v>0.551021874214288</v>
      </c>
      <c r="N123" s="27">
        <f t="shared" si="206"/>
        <v>3.74915283215402</v>
      </c>
      <c r="O123" s="27">
        <f t="shared" si="173"/>
        <v>1.17</v>
      </c>
      <c r="P123" s="25">
        <f t="shared" si="207"/>
        <v>0.208286268453001</v>
      </c>
      <c r="Q123" s="25">
        <f t="shared" si="208"/>
        <v>18</v>
      </c>
      <c r="R123" s="25"/>
      <c r="S123" s="27">
        <f t="shared" si="209"/>
        <v>88.9207901388843</v>
      </c>
      <c r="T123" s="27">
        <f t="shared" si="210"/>
        <v>18</v>
      </c>
      <c r="U123" s="25">
        <f t="shared" si="211"/>
        <v>0.47185059644091</v>
      </c>
      <c r="V123" s="25">
        <f t="shared" si="212"/>
        <v>1.17962649110228</v>
      </c>
      <c r="W123" s="25">
        <f t="shared" si="213"/>
        <v>0.961171445067365</v>
      </c>
      <c r="X123" s="24">
        <f t="shared" si="214"/>
        <v>350</v>
      </c>
      <c r="Y123" s="131">
        <f t="shared" si="215"/>
        <v>350</v>
      </c>
      <c r="AA123" s="25">
        <f t="shared" si="216"/>
        <v>0.62973928481633</v>
      </c>
      <c r="AB123" s="5">
        <f t="shared" si="217"/>
        <v>1.28279464510203</v>
      </c>
      <c r="AC123" s="5">
        <f t="shared" si="218"/>
        <v>0.0942935111374618</v>
      </c>
      <c r="AD123" s="5"/>
      <c r="AE123" s="5">
        <f t="shared" si="219"/>
        <v>0.611107489733394</v>
      </c>
      <c r="AF123" s="216">
        <f t="shared" si="220"/>
        <v>1063.11111111111</v>
      </c>
      <c r="AG123" s="217">
        <f t="shared" si="221"/>
        <v>0.0213994565217391</v>
      </c>
      <c r="AI123" s="5">
        <f t="shared" si="222"/>
        <v>0.522849336397617</v>
      </c>
      <c r="AJ123" s="5">
        <f t="shared" si="223"/>
        <v>0.522849336397617</v>
      </c>
      <c r="AK123" s="5">
        <f t="shared" si="224"/>
        <v>1.34856622426508</v>
      </c>
      <c r="AM123" s="216">
        <f t="shared" si="225"/>
        <v>65</v>
      </c>
      <c r="AN123" s="220">
        <f t="shared" si="226"/>
        <v>350</v>
      </c>
      <c r="AP123" s="220">
        <f t="shared" si="227"/>
        <v>65</v>
      </c>
      <c r="AQ123" s="220">
        <f t="shared" si="228"/>
        <v>350</v>
      </c>
      <c r="AS123" s="192">
        <f t="shared" si="175"/>
        <v>2.85714285714286</v>
      </c>
      <c r="AT123" s="192">
        <f t="shared" si="229"/>
        <v>1.30712334099404</v>
      </c>
      <c r="AU123" s="192">
        <f t="shared" si="230"/>
        <v>1.55001951614881</v>
      </c>
      <c r="AV123" s="192"/>
      <c r="AW123" s="5">
        <f t="shared" si="231"/>
        <v>0.457493169347915</v>
      </c>
      <c r="AX123" s="5">
        <f t="shared" si="150"/>
        <v>1.196</v>
      </c>
      <c r="AY123" s="5">
        <f t="shared" si="151"/>
        <v>0.0945970536886053</v>
      </c>
      <c r="AZ123" s="5">
        <f t="shared" si="178"/>
        <v>12.6430998996755</v>
      </c>
      <c r="BA123" s="220">
        <f t="shared" si="232"/>
        <v>5.22063553448612</v>
      </c>
      <c r="BB123" s="220">
        <f t="shared" si="233"/>
        <v>3.7724646631979</v>
      </c>
      <c r="BC123" s="192">
        <f t="shared" si="258"/>
        <v>0.335837561832243</v>
      </c>
      <c r="BD123" s="220">
        <f t="shared" si="235"/>
        <v>2.40502537099346</v>
      </c>
      <c r="BF123" s="5">
        <f t="shared" si="179"/>
        <v>0.204177668764494</v>
      </c>
      <c r="BG123" s="5">
        <f t="shared" si="156"/>
        <v>0.148301100242611</v>
      </c>
      <c r="BI123" s="217">
        <f t="shared" si="236"/>
        <v>0.0145909821477362</v>
      </c>
      <c r="BJ123" s="217">
        <f t="shared" si="237"/>
        <v>0.0203793077245045</v>
      </c>
      <c r="BK123" s="217">
        <f t="shared" si="238"/>
        <v>0.004375</v>
      </c>
      <c r="BL123" s="217">
        <f t="shared" si="239"/>
        <v>0.0086813583472</v>
      </c>
      <c r="BM123">
        <f t="shared" si="240"/>
        <v>0.0029</v>
      </c>
      <c r="BN123">
        <f t="shared" si="241"/>
        <v>4.375e-6</v>
      </c>
      <c r="BO123" s="217">
        <f t="shared" si="242"/>
        <v>0.0576417586401947</v>
      </c>
      <c r="BP123" s="220">
        <f t="shared" si="243"/>
        <v>50.9266482194407</v>
      </c>
      <c r="BQ123" s="217">
        <f t="shared" si="244"/>
        <v>0.0568736704242124</v>
      </c>
      <c r="BT123" s="220">
        <f t="shared" si="245"/>
        <v>56.8736704242124</v>
      </c>
      <c r="BU123" s="217">
        <f t="shared" si="246"/>
        <v>0.00170922933730624</v>
      </c>
      <c r="BV123" s="217">
        <f t="shared" si="247"/>
        <v>0.0021993216333169</v>
      </c>
      <c r="BW123" s="217">
        <f t="shared" si="248"/>
        <v>0</v>
      </c>
      <c r="BX123" s="217"/>
      <c r="BY123" s="217">
        <f t="shared" si="249"/>
        <v>0.0038272</v>
      </c>
      <c r="BZ123" s="220">
        <f t="shared" si="250"/>
        <v>7.73575097062313</v>
      </c>
      <c r="CA123" s="5">
        <f t="shared" si="251"/>
        <v>0.115536069614276</v>
      </c>
      <c r="CB123" s="192">
        <f t="shared" si="252"/>
        <v>1.17</v>
      </c>
      <c r="CC123" s="5">
        <f t="shared" si="253"/>
        <v>0.910126154881875</v>
      </c>
      <c r="CD123" s="192">
        <f t="shared" si="254"/>
        <v>91.0126154881875</v>
      </c>
      <c r="CG123" s="227">
        <f t="shared" si="255"/>
        <v>-50</v>
      </c>
      <c r="CH123">
        <f t="shared" si="256"/>
        <v>-50</v>
      </c>
    </row>
    <row r="124" spans="5:86">
      <c r="E124" s="22">
        <v>14</v>
      </c>
      <c r="F124" s="25">
        <f t="shared" si="257"/>
        <v>0.07</v>
      </c>
      <c r="G124" s="25"/>
      <c r="H124" s="25">
        <f t="shared" si="201"/>
        <v>1.26</v>
      </c>
      <c r="I124" s="212">
        <f t="shared" si="202"/>
        <v>10</v>
      </c>
      <c r="J124" s="131">
        <f t="shared" si="203"/>
        <v>12.2728</v>
      </c>
      <c r="K124" s="131">
        <f t="shared" si="204"/>
        <v>22.2728</v>
      </c>
      <c r="L124" s="131"/>
      <c r="M124" s="25">
        <f t="shared" si="205"/>
        <v>0.551021874214288</v>
      </c>
      <c r="N124" s="27">
        <f t="shared" si="206"/>
        <v>3.74915283215402</v>
      </c>
      <c r="O124" s="27">
        <f t="shared" si="173"/>
        <v>1.26</v>
      </c>
      <c r="P124" s="25">
        <f t="shared" si="207"/>
        <v>0.208286268453001</v>
      </c>
      <c r="Q124" s="25">
        <f t="shared" si="208"/>
        <v>18</v>
      </c>
      <c r="R124" s="25"/>
      <c r="S124" s="27">
        <f t="shared" si="209"/>
        <v>81.5092828435023</v>
      </c>
      <c r="T124" s="27">
        <f t="shared" si="210"/>
        <v>18</v>
      </c>
      <c r="U124" s="25">
        <f t="shared" si="211"/>
        <v>0.508146796167134</v>
      </c>
      <c r="V124" s="25">
        <f t="shared" si="212"/>
        <v>1.27036699041784</v>
      </c>
      <c r="W124" s="25">
        <f t="shared" si="213"/>
        <v>1.03510771007255</v>
      </c>
      <c r="X124" s="24">
        <f t="shared" si="214"/>
        <v>350</v>
      </c>
      <c r="Y124" s="131">
        <f t="shared" si="215"/>
        <v>350</v>
      </c>
      <c r="AA124" s="25">
        <f t="shared" si="216"/>
        <v>0.62973928481633</v>
      </c>
      <c r="AB124" s="5">
        <f t="shared" si="217"/>
        <v>1.28279464510203</v>
      </c>
      <c r="AC124" s="5">
        <f t="shared" si="218"/>
        <v>0.0942935111374618</v>
      </c>
      <c r="AD124" s="5"/>
      <c r="AE124" s="5">
        <f t="shared" si="219"/>
        <v>0.611107489733394</v>
      </c>
      <c r="AF124" s="216">
        <f t="shared" si="220"/>
        <v>1144.88888888889</v>
      </c>
      <c r="AG124" s="217">
        <f t="shared" si="221"/>
        <v>0.0213994565217391</v>
      </c>
      <c r="AI124" s="5">
        <f t="shared" si="222"/>
        <v>0.542586398650021</v>
      </c>
      <c r="AJ124" s="5">
        <f t="shared" si="223"/>
        <v>0.542586398650021</v>
      </c>
      <c r="AK124" s="5">
        <f t="shared" si="224"/>
        <v>1.36172426576668</v>
      </c>
      <c r="AM124" s="216">
        <f t="shared" si="225"/>
        <v>70</v>
      </c>
      <c r="AN124" s="220">
        <f t="shared" si="226"/>
        <v>350</v>
      </c>
      <c r="AP124" s="220">
        <f t="shared" si="227"/>
        <v>70</v>
      </c>
      <c r="AQ124" s="220">
        <f t="shared" si="228"/>
        <v>350</v>
      </c>
      <c r="AS124" s="192">
        <f t="shared" si="175"/>
        <v>2.85714285714286</v>
      </c>
      <c r="AT124" s="192">
        <f t="shared" si="229"/>
        <v>1.35646599662505</v>
      </c>
      <c r="AU124" s="192">
        <f t="shared" si="230"/>
        <v>1.5006768605178</v>
      </c>
      <c r="AV124" s="192"/>
      <c r="AW124" s="5">
        <f t="shared" si="231"/>
        <v>0.474763098818769</v>
      </c>
      <c r="AX124" s="5">
        <f t="shared" si="150"/>
        <v>1.288</v>
      </c>
      <c r="AY124" s="5">
        <f t="shared" si="151"/>
        <v>0.0950429639497821</v>
      </c>
      <c r="AZ124" s="5">
        <f t="shared" si="178"/>
        <v>13.5517659222048</v>
      </c>
      <c r="BA124" s="220">
        <f t="shared" si="232"/>
        <v>5.22063553448612</v>
      </c>
      <c r="BB124" s="220">
        <f t="shared" si="233"/>
        <v>4.35901227211118</v>
      </c>
      <c r="BC124" s="192">
        <f t="shared" si="258"/>
        <v>0.350157934120821</v>
      </c>
      <c r="BD124" s="220">
        <f t="shared" si="235"/>
        <v>2.52094760472493</v>
      </c>
      <c r="BF124" s="5">
        <f t="shared" si="179"/>
        <v>0.21584736605006</v>
      </c>
      <c r="BG124" s="5">
        <f t="shared" si="156"/>
        <v>0.15142993104447</v>
      </c>
      <c r="BI124" s="217">
        <f t="shared" si="236"/>
        <v>0.016306529900762</v>
      </c>
      <c r="BJ124" s="217">
        <f t="shared" si="237"/>
        <v>0.0211486070947413</v>
      </c>
      <c r="BK124" s="217">
        <f t="shared" si="238"/>
        <v>0.004375</v>
      </c>
      <c r="BL124" s="217">
        <f t="shared" si="239"/>
        <v>0.0086813583472</v>
      </c>
      <c r="BM124">
        <f t="shared" si="240"/>
        <v>0.0029</v>
      </c>
      <c r="BN124">
        <f t="shared" si="241"/>
        <v>4.375e-6</v>
      </c>
      <c r="BO124" s="217">
        <f t="shared" si="242"/>
        <v>0.0609459337641096</v>
      </c>
      <c r="BP124" s="220">
        <f t="shared" si="243"/>
        <v>53.4114953427033</v>
      </c>
      <c r="BQ124" s="217">
        <f t="shared" si="244"/>
        <v>0.0607701312894372</v>
      </c>
      <c r="BT124" s="220">
        <f t="shared" si="245"/>
        <v>60.7701312894372</v>
      </c>
      <c r="BU124" s="217">
        <f t="shared" si="246"/>
        <v>0.00191019350266069</v>
      </c>
      <c r="BV124" s="217">
        <f t="shared" si="247"/>
        <v>0.00229310240161331</v>
      </c>
      <c r="BW124" s="217">
        <f t="shared" si="248"/>
        <v>0</v>
      </c>
      <c r="BX124" s="217"/>
      <c r="BY124" s="217">
        <f t="shared" si="249"/>
        <v>0.0041216</v>
      </c>
      <c r="BZ124" s="220">
        <f t="shared" si="250"/>
        <v>8.32489590427399</v>
      </c>
      <c r="CA124" s="5">
        <f t="shared" si="251"/>
        <v>0.122506522536415</v>
      </c>
      <c r="CB124" s="192">
        <f t="shared" si="252"/>
        <v>1.26</v>
      </c>
      <c r="CC124" s="5">
        <f t="shared" si="253"/>
        <v>0.911388105199201</v>
      </c>
      <c r="CD124" s="192">
        <f t="shared" si="254"/>
        <v>91.1388105199201</v>
      </c>
      <c r="CG124" s="227">
        <f t="shared" si="255"/>
        <v>-50</v>
      </c>
      <c r="CH124">
        <f t="shared" si="256"/>
        <v>-50</v>
      </c>
    </row>
    <row r="125" spans="5:86">
      <c r="E125" s="22">
        <v>15</v>
      </c>
      <c r="F125" s="25">
        <f t="shared" si="257"/>
        <v>0.075</v>
      </c>
      <c r="G125" s="25"/>
      <c r="H125" s="25">
        <f t="shared" si="201"/>
        <v>1.35</v>
      </c>
      <c r="I125" s="212">
        <f t="shared" si="202"/>
        <v>10</v>
      </c>
      <c r="J125" s="131">
        <f t="shared" si="203"/>
        <v>12.2728</v>
      </c>
      <c r="K125" s="131">
        <f t="shared" si="204"/>
        <v>22.2728</v>
      </c>
      <c r="L125" s="131"/>
      <c r="M125" s="25">
        <f t="shared" si="205"/>
        <v>0.551021874214288</v>
      </c>
      <c r="N125" s="27">
        <f t="shared" si="206"/>
        <v>3.74915283215402</v>
      </c>
      <c r="O125" s="27">
        <f t="shared" si="173"/>
        <v>1.35</v>
      </c>
      <c r="P125" s="25">
        <f t="shared" si="207"/>
        <v>0.208286268453001</v>
      </c>
      <c r="Q125" s="25">
        <f t="shared" si="208"/>
        <v>18</v>
      </c>
      <c r="R125" s="25"/>
      <c r="S125" s="27">
        <f t="shared" si="209"/>
        <v>75.0869404770785</v>
      </c>
      <c r="T125" s="27">
        <f t="shared" si="210"/>
        <v>18</v>
      </c>
      <c r="U125" s="25">
        <f t="shared" si="211"/>
        <v>0.544442995893358</v>
      </c>
      <c r="V125" s="25">
        <f t="shared" si="212"/>
        <v>1.36110748973339</v>
      </c>
      <c r="W125" s="25">
        <f t="shared" si="213"/>
        <v>1.10904397507773</v>
      </c>
      <c r="X125" s="24">
        <f t="shared" si="214"/>
        <v>350</v>
      </c>
      <c r="Y125" s="131">
        <f t="shared" si="215"/>
        <v>350</v>
      </c>
      <c r="AA125" s="25">
        <f t="shared" si="216"/>
        <v>0.62973928481633</v>
      </c>
      <c r="AB125" s="5">
        <f t="shared" si="217"/>
        <v>1.28279464510203</v>
      </c>
      <c r="AC125" s="5">
        <f t="shared" si="218"/>
        <v>0.0942935111374618</v>
      </c>
      <c r="AD125" s="5"/>
      <c r="AE125" s="5">
        <f t="shared" si="219"/>
        <v>0.611107489733394</v>
      </c>
      <c r="AF125" s="216">
        <f t="shared" si="220"/>
        <v>1226.66666666667</v>
      </c>
      <c r="AG125" s="217">
        <f t="shared" si="221"/>
        <v>0.0213994565217391</v>
      </c>
      <c r="AI125" s="5">
        <f t="shared" si="222"/>
        <v>0.561630280013971</v>
      </c>
      <c r="AJ125" s="5">
        <f t="shared" si="223"/>
        <v>0.561630280013971</v>
      </c>
      <c r="AK125" s="5">
        <f t="shared" si="224"/>
        <v>1.37442018667598</v>
      </c>
      <c r="AM125" s="216">
        <f t="shared" si="225"/>
        <v>75</v>
      </c>
      <c r="AN125" s="220">
        <f t="shared" si="226"/>
        <v>350</v>
      </c>
      <c r="AP125" s="220">
        <f t="shared" si="227"/>
        <v>75</v>
      </c>
      <c r="AQ125" s="220">
        <f t="shared" si="228"/>
        <v>350</v>
      </c>
      <c r="AS125" s="192">
        <f t="shared" si="175"/>
        <v>2.85714285714286</v>
      </c>
      <c r="AT125" s="192">
        <f t="shared" si="229"/>
        <v>1.40407570003493</v>
      </c>
      <c r="AU125" s="192">
        <f t="shared" si="230"/>
        <v>1.45306715710793</v>
      </c>
      <c r="AV125" s="192"/>
      <c r="AW125" s="5">
        <f t="shared" si="231"/>
        <v>0.491426495012225</v>
      </c>
      <c r="AX125" s="5">
        <f t="shared" si="150"/>
        <v>1.38</v>
      </c>
      <c r="AY125" s="5">
        <f t="shared" si="151"/>
        <v>0.0952576983846593</v>
      </c>
      <c r="AZ125" s="5">
        <f t="shared" si="178"/>
        <v>14.487018093041</v>
      </c>
      <c r="BA125" s="220">
        <f t="shared" si="232"/>
        <v>5.22063553448612</v>
      </c>
      <c r="BB125" s="220">
        <f t="shared" si="233"/>
        <v>4.98789674094395</v>
      </c>
      <c r="BC125" s="192">
        <f t="shared" si="258"/>
        <v>0.363266789276982</v>
      </c>
      <c r="BD125" s="220">
        <f t="shared" si="235"/>
        <v>2.62960073566189</v>
      </c>
      <c r="BF125" s="5">
        <f t="shared" si="179"/>
        <v>0.2273103292006</v>
      </c>
      <c r="BG125" s="5">
        <f t="shared" si="156"/>
        <v>0.154238426716808</v>
      </c>
      <c r="BI125" s="217">
        <f t="shared" si="236"/>
        <v>0.0180844950164499</v>
      </c>
      <c r="BJ125" s="217">
        <f t="shared" si="237"/>
        <v>0.0218908880762166</v>
      </c>
      <c r="BK125" s="217">
        <f t="shared" si="238"/>
        <v>0.004375</v>
      </c>
      <c r="BL125" s="217">
        <f t="shared" si="239"/>
        <v>0.0086813583472</v>
      </c>
      <c r="BM125">
        <f t="shared" si="240"/>
        <v>0.0029</v>
      </c>
      <c r="BN125">
        <f t="shared" si="241"/>
        <v>4.375e-6</v>
      </c>
      <c r="BO125" s="217">
        <f t="shared" si="242"/>
        <v>0.0643215508653154</v>
      </c>
      <c r="BP125" s="220">
        <f t="shared" si="243"/>
        <v>55.9317414398664</v>
      </c>
      <c r="BQ125" s="217">
        <f t="shared" si="244"/>
        <v>0.0646162473237841</v>
      </c>
      <c r="BT125" s="220">
        <f t="shared" si="245"/>
        <v>64.6162473237841</v>
      </c>
      <c r="BU125" s="217">
        <f t="shared" si="246"/>
        <v>0.0021184694162127</v>
      </c>
      <c r="BV125" s="217">
        <f t="shared" si="247"/>
        <v>0.00237894922760761</v>
      </c>
      <c r="BW125" s="217">
        <f t="shared" si="248"/>
        <v>0</v>
      </c>
      <c r="BX125" s="217"/>
      <c r="BY125" s="217">
        <f t="shared" si="249"/>
        <v>0.004416</v>
      </c>
      <c r="BZ125" s="220">
        <f t="shared" si="250"/>
        <v>8.91341864382031</v>
      </c>
      <c r="CA125" s="5">
        <f t="shared" si="251"/>
        <v>0.129461407407471</v>
      </c>
      <c r="CB125" s="192">
        <f t="shared" si="252"/>
        <v>1.35</v>
      </c>
      <c r="CC125" s="5">
        <f t="shared" si="253"/>
        <v>0.912494231509336</v>
      </c>
      <c r="CD125" s="192">
        <f t="shared" si="254"/>
        <v>91.2494231509336</v>
      </c>
      <c r="CG125" s="227">
        <f t="shared" si="255"/>
        <v>-50</v>
      </c>
      <c r="CH125">
        <f t="shared" si="256"/>
        <v>-50</v>
      </c>
    </row>
    <row r="126" spans="5:86">
      <c r="E126" s="22">
        <v>16</v>
      </c>
      <c r="F126" s="25">
        <f t="shared" si="257"/>
        <v>0.08</v>
      </c>
      <c r="G126" s="25"/>
      <c r="H126" s="25">
        <f t="shared" si="201"/>
        <v>1.44</v>
      </c>
      <c r="I126" s="212">
        <f t="shared" si="202"/>
        <v>10</v>
      </c>
      <c r="J126" s="131">
        <f t="shared" si="203"/>
        <v>12.2728</v>
      </c>
      <c r="K126" s="131">
        <f t="shared" si="204"/>
        <v>22.2728</v>
      </c>
      <c r="L126" s="131"/>
      <c r="M126" s="25">
        <f t="shared" si="205"/>
        <v>0.551021874214288</v>
      </c>
      <c r="N126" s="27">
        <f t="shared" si="206"/>
        <v>3.74915283215402</v>
      </c>
      <c r="O126" s="27">
        <f t="shared" si="173"/>
        <v>1.44</v>
      </c>
      <c r="P126" s="25">
        <f t="shared" si="207"/>
        <v>0.208286268453001</v>
      </c>
      <c r="Q126" s="25">
        <f t="shared" si="208"/>
        <v>18</v>
      </c>
      <c r="R126" s="25"/>
      <c r="S126" s="27">
        <f t="shared" si="209"/>
        <v>69.46832915459</v>
      </c>
      <c r="T126" s="27">
        <f t="shared" si="210"/>
        <v>18</v>
      </c>
      <c r="U126" s="25">
        <f t="shared" si="211"/>
        <v>0.580739195619582</v>
      </c>
      <c r="V126" s="25">
        <f t="shared" si="212"/>
        <v>1.45184798904895</v>
      </c>
      <c r="W126" s="25">
        <f t="shared" si="213"/>
        <v>1.18298024008291</v>
      </c>
      <c r="X126" s="24">
        <f t="shared" si="214"/>
        <v>350</v>
      </c>
      <c r="Y126" s="131">
        <f t="shared" si="215"/>
        <v>350</v>
      </c>
      <c r="AA126" s="25">
        <f t="shared" si="216"/>
        <v>0.62973928481633</v>
      </c>
      <c r="AB126" s="5">
        <f t="shared" si="217"/>
        <v>1.28279464510203</v>
      </c>
      <c r="AC126" s="5">
        <f t="shared" si="218"/>
        <v>0.0942935111374618</v>
      </c>
      <c r="AD126" s="5"/>
      <c r="AE126" s="5">
        <f t="shared" si="219"/>
        <v>0.611107489733394</v>
      </c>
      <c r="AF126" s="216">
        <f t="shared" si="220"/>
        <v>1308.44444444444</v>
      </c>
      <c r="AG126" s="217">
        <f t="shared" si="221"/>
        <v>0.0213994565217391</v>
      </c>
      <c r="AI126" s="5">
        <f t="shared" si="222"/>
        <v>0.580049258991978</v>
      </c>
      <c r="AJ126" s="5">
        <f t="shared" si="223"/>
        <v>0.580049258991978</v>
      </c>
      <c r="AK126" s="5">
        <f t="shared" si="224"/>
        <v>1.38669950599465</v>
      </c>
      <c r="AM126" s="216">
        <f t="shared" si="225"/>
        <v>80</v>
      </c>
      <c r="AN126" s="220">
        <f t="shared" si="226"/>
        <v>350</v>
      </c>
      <c r="AP126" s="220">
        <f t="shared" si="227"/>
        <v>80</v>
      </c>
      <c r="AQ126" s="220">
        <f t="shared" si="228"/>
        <v>350</v>
      </c>
      <c r="AS126" s="192">
        <f t="shared" si="175"/>
        <v>2.85714285714286</v>
      </c>
      <c r="AT126" s="192">
        <f t="shared" si="229"/>
        <v>1.45012314747994</v>
      </c>
      <c r="AU126" s="192">
        <f t="shared" si="230"/>
        <v>1.40701970966291</v>
      </c>
      <c r="AV126" s="192"/>
      <c r="AW126" s="5">
        <f t="shared" si="231"/>
        <v>0.507543101617981</v>
      </c>
      <c r="AX126" s="5">
        <f t="shared" si="150"/>
        <v>1.472</v>
      </c>
      <c r="AY126" s="5">
        <f t="shared" si="151"/>
        <v>0.0952640278738247</v>
      </c>
      <c r="AZ126" s="5">
        <f t="shared" si="178"/>
        <v>15.4517925900596</v>
      </c>
      <c r="BA126" s="220">
        <f t="shared" si="232"/>
        <v>5.22063553448612</v>
      </c>
      <c r="BB126" s="220">
        <f t="shared" si="233"/>
        <v>5.65911806969623</v>
      </c>
      <c r="BC126" s="192">
        <f t="shared" si="258"/>
        <v>0.37520525591011</v>
      </c>
      <c r="BD126" s="220">
        <f t="shared" si="235"/>
        <v>2.73123153546066</v>
      </c>
      <c r="BF126" s="5">
        <f t="shared" si="179"/>
        <v>0.238583669353987</v>
      </c>
      <c r="BG126" s="5">
        <f t="shared" si="156"/>
        <v>0.156752398799567</v>
      </c>
      <c r="BI126" s="217">
        <f t="shared" si="236"/>
        <v>0.0199227585488445</v>
      </c>
      <c r="BJ126" s="217">
        <f t="shared" si="237"/>
        <v>0.0226088119874339</v>
      </c>
      <c r="BK126" s="217">
        <f t="shared" si="238"/>
        <v>0.004375</v>
      </c>
      <c r="BL126" s="217">
        <f t="shared" si="239"/>
        <v>0.0086813583472</v>
      </c>
      <c r="BM126">
        <f t="shared" si="240"/>
        <v>0.0029</v>
      </c>
      <c r="BN126">
        <f t="shared" si="241"/>
        <v>4.375e-6</v>
      </c>
      <c r="BO126" s="217">
        <f t="shared" si="242"/>
        <v>0.0677687370170315</v>
      </c>
      <c r="BP126" s="220">
        <f t="shared" si="243"/>
        <v>58.4879288834784</v>
      </c>
      <c r="BQ126" s="217">
        <f t="shared" si="244"/>
        <v>0.0684137276346425</v>
      </c>
      <c r="BT126" s="220">
        <f t="shared" si="245"/>
        <v>68.4137276346425</v>
      </c>
      <c r="BU126" s="217">
        <f t="shared" si="246"/>
        <v>0.00233380885857892</v>
      </c>
      <c r="BV126" s="217">
        <f t="shared" si="247"/>
        <v>0.00245713145294185</v>
      </c>
      <c r="BW126" s="217">
        <f t="shared" si="248"/>
        <v>0</v>
      </c>
      <c r="BX126" s="217"/>
      <c r="BY126" s="217">
        <f t="shared" si="249"/>
        <v>0.0047104</v>
      </c>
      <c r="BZ126" s="220">
        <f t="shared" si="250"/>
        <v>9.50134031152077</v>
      </c>
      <c r="CA126" s="5">
        <f t="shared" si="251"/>
        <v>0.136402996829642</v>
      </c>
      <c r="CB126" s="192">
        <f t="shared" si="252"/>
        <v>1.44</v>
      </c>
      <c r="CC126" s="5">
        <f t="shared" si="253"/>
        <v>0.913472001065739</v>
      </c>
      <c r="CD126" s="192">
        <f t="shared" si="254"/>
        <v>91.3472001065739</v>
      </c>
      <c r="CG126" s="227">
        <f t="shared" si="255"/>
        <v>-50</v>
      </c>
      <c r="CH126">
        <f t="shared" si="256"/>
        <v>-50</v>
      </c>
    </row>
    <row r="127" spans="5:86">
      <c r="E127" s="22">
        <v>17</v>
      </c>
      <c r="F127" s="25">
        <f t="shared" si="257"/>
        <v>0.085</v>
      </c>
      <c r="G127" s="25"/>
      <c r="H127" s="25">
        <f t="shared" si="201"/>
        <v>1.53</v>
      </c>
      <c r="I127" s="212">
        <f t="shared" si="202"/>
        <v>10</v>
      </c>
      <c r="J127" s="131">
        <f t="shared" si="203"/>
        <v>12.2728</v>
      </c>
      <c r="K127" s="131">
        <f t="shared" si="204"/>
        <v>22.2728</v>
      </c>
      <c r="L127" s="131"/>
      <c r="M127" s="25">
        <f t="shared" si="205"/>
        <v>0.551021874214288</v>
      </c>
      <c r="N127" s="27">
        <f t="shared" si="206"/>
        <v>3.74915283215402</v>
      </c>
      <c r="O127" s="27">
        <f t="shared" si="173"/>
        <v>1.53</v>
      </c>
      <c r="P127" s="25">
        <f t="shared" si="207"/>
        <v>0.208286268453001</v>
      </c>
      <c r="Q127" s="25">
        <f t="shared" si="208"/>
        <v>18</v>
      </c>
      <c r="R127" s="25"/>
      <c r="S127" s="27">
        <f t="shared" si="209"/>
        <v>64.5116480974305</v>
      </c>
      <c r="T127" s="27">
        <f t="shared" si="210"/>
        <v>18</v>
      </c>
      <c r="U127" s="25">
        <f t="shared" si="211"/>
        <v>0.617035395345806</v>
      </c>
      <c r="V127" s="25">
        <f t="shared" si="212"/>
        <v>1.54258848836451</v>
      </c>
      <c r="W127" s="25">
        <f t="shared" si="213"/>
        <v>1.25691650508809</v>
      </c>
      <c r="X127" s="24">
        <f t="shared" si="214"/>
        <v>350</v>
      </c>
      <c r="Y127" s="131">
        <f t="shared" si="215"/>
        <v>350</v>
      </c>
      <c r="AA127" s="25">
        <f t="shared" si="216"/>
        <v>0.62973928481633</v>
      </c>
      <c r="AB127" s="5">
        <f t="shared" si="217"/>
        <v>1.28279464510203</v>
      </c>
      <c r="AC127" s="5">
        <f t="shared" si="218"/>
        <v>0.0942935111374618</v>
      </c>
      <c r="AD127" s="5"/>
      <c r="AE127" s="5">
        <f t="shared" si="219"/>
        <v>0.611107489733394</v>
      </c>
      <c r="AF127" s="216">
        <f t="shared" si="220"/>
        <v>1390.22222222222</v>
      </c>
      <c r="AG127" s="217">
        <f t="shared" si="221"/>
        <v>0.0213994565217391</v>
      </c>
      <c r="AI127" s="5">
        <f t="shared" si="222"/>
        <v>0.597901090721295</v>
      </c>
      <c r="AJ127" s="5">
        <f t="shared" si="223"/>
        <v>0.597901090721295</v>
      </c>
      <c r="AK127" s="5">
        <f t="shared" si="224"/>
        <v>1.39860072714753</v>
      </c>
      <c r="AM127" s="216">
        <f t="shared" si="225"/>
        <v>85</v>
      </c>
      <c r="AN127" s="220">
        <f t="shared" si="226"/>
        <v>350</v>
      </c>
      <c r="AP127" s="220">
        <f t="shared" si="227"/>
        <v>85</v>
      </c>
      <c r="AQ127" s="220">
        <f t="shared" si="228"/>
        <v>350</v>
      </c>
      <c r="AS127" s="192">
        <f t="shared" si="175"/>
        <v>2.85714285714286</v>
      </c>
      <c r="AT127" s="192">
        <f t="shared" si="229"/>
        <v>1.49475272680324</v>
      </c>
      <c r="AU127" s="192">
        <f t="shared" si="230"/>
        <v>1.36239013033962</v>
      </c>
      <c r="AV127" s="192"/>
      <c r="AW127" s="5">
        <f t="shared" si="231"/>
        <v>0.523163454381133</v>
      </c>
      <c r="AX127" s="5">
        <f t="shared" si="150"/>
        <v>1.564</v>
      </c>
      <c r="AY127" s="5">
        <f t="shared" si="151"/>
        <v>0.0950812137555519</v>
      </c>
      <c r="AZ127" s="5">
        <f t="shared" si="178"/>
        <v>16.4490958647304</v>
      </c>
      <c r="BA127" s="220">
        <f t="shared" si="232"/>
        <v>5.22063553448612</v>
      </c>
      <c r="BB127" s="220">
        <f t="shared" si="233"/>
        <v>6.37267625836801</v>
      </c>
      <c r="BC127" s="192">
        <f t="shared" si="258"/>
        <v>0.386010536929559</v>
      </c>
      <c r="BD127" s="220">
        <f t="shared" si="235"/>
        <v>2.82606322157735</v>
      </c>
      <c r="BF127" s="5">
        <f t="shared" si="179"/>
        <v>0.249682105337715</v>
      </c>
      <c r="BG127" s="5">
        <f t="shared" si="156"/>
        <v>0.158993481337031</v>
      </c>
      <c r="BI127" s="217">
        <f t="shared" si="236"/>
        <v>0.0218194038040558</v>
      </c>
      <c r="BJ127" s="217">
        <f t="shared" si="237"/>
        <v>0.0233046299734802</v>
      </c>
      <c r="BK127" s="217">
        <f t="shared" si="238"/>
        <v>0.004375</v>
      </c>
      <c r="BL127" s="217">
        <f t="shared" si="239"/>
        <v>0.0086813583472</v>
      </c>
      <c r="BM127">
        <f t="shared" si="240"/>
        <v>0.0029</v>
      </c>
      <c r="BN127">
        <f t="shared" si="241"/>
        <v>4.375e-6</v>
      </c>
      <c r="BO127" s="217">
        <f t="shared" si="242"/>
        <v>0.0712875033380728</v>
      </c>
      <c r="BP127" s="220">
        <f t="shared" si="243"/>
        <v>61.080392124736</v>
      </c>
      <c r="BQ127" s="217">
        <f t="shared" si="244"/>
        <v>0.0721641181961713</v>
      </c>
      <c r="BT127" s="220">
        <f t="shared" si="245"/>
        <v>72.1641181961713</v>
      </c>
      <c r="BU127" s="217">
        <f t="shared" si="246"/>
        <v>0.00255598730276082</v>
      </c>
      <c r="BV127" s="217">
        <f t="shared" si="247"/>
        <v>0.00252789271076688</v>
      </c>
      <c r="BW127" s="217">
        <f t="shared" si="248"/>
        <v>0</v>
      </c>
      <c r="BX127" s="217"/>
      <c r="BY127" s="217">
        <f t="shared" si="249"/>
        <v>0.0050048</v>
      </c>
      <c r="BZ127" s="220">
        <f t="shared" si="250"/>
        <v>10.0886800135277</v>
      </c>
      <c r="CA127" s="5">
        <f t="shared" si="251"/>
        <v>0.143333190334435</v>
      </c>
      <c r="CB127" s="192">
        <f t="shared" si="252"/>
        <v>1.53</v>
      </c>
      <c r="CC127" s="5">
        <f t="shared" si="253"/>
        <v>0.914342707619522</v>
      </c>
      <c r="CD127" s="192">
        <f t="shared" si="254"/>
        <v>91.4342707619522</v>
      </c>
      <c r="CG127" s="227">
        <f t="shared" si="255"/>
        <v>-50</v>
      </c>
      <c r="CH127">
        <f t="shared" si="256"/>
        <v>-50</v>
      </c>
    </row>
    <row r="128" spans="5:86">
      <c r="E128" s="22">
        <v>18</v>
      </c>
      <c r="F128" s="25">
        <f t="shared" si="257"/>
        <v>0.09</v>
      </c>
      <c r="G128" s="25"/>
      <c r="H128" s="25">
        <f t="shared" si="201"/>
        <v>1.62</v>
      </c>
      <c r="I128" s="212">
        <f t="shared" si="202"/>
        <v>10</v>
      </c>
      <c r="J128" s="131">
        <f t="shared" si="203"/>
        <v>12.2728</v>
      </c>
      <c r="K128" s="131">
        <f t="shared" si="204"/>
        <v>22.2728</v>
      </c>
      <c r="L128" s="131"/>
      <c r="M128" s="25">
        <f t="shared" si="205"/>
        <v>0.551021874214288</v>
      </c>
      <c r="N128" s="27">
        <f t="shared" si="206"/>
        <v>3.74915283215402</v>
      </c>
      <c r="O128" s="27">
        <f t="shared" si="173"/>
        <v>1.62</v>
      </c>
      <c r="P128" s="25">
        <f t="shared" si="207"/>
        <v>0.208286268453001</v>
      </c>
      <c r="Q128" s="25">
        <f t="shared" si="208"/>
        <v>18</v>
      </c>
      <c r="R128" s="25"/>
      <c r="S128" s="27">
        <f t="shared" si="209"/>
        <v>60.1066094158267</v>
      </c>
      <c r="T128" s="27">
        <f t="shared" si="210"/>
        <v>18</v>
      </c>
      <c r="U128" s="25">
        <f t="shared" si="211"/>
        <v>0.653331595072029</v>
      </c>
      <c r="V128" s="25">
        <f t="shared" si="212"/>
        <v>1.63332898768007</v>
      </c>
      <c r="W128" s="25">
        <f t="shared" si="213"/>
        <v>1.33085277009327</v>
      </c>
      <c r="X128" s="24">
        <f t="shared" si="214"/>
        <v>350</v>
      </c>
      <c r="Y128" s="131">
        <f t="shared" si="215"/>
        <v>337.361228736252</v>
      </c>
      <c r="AA128" s="25">
        <f t="shared" si="216"/>
        <v>0.62973928481633</v>
      </c>
      <c r="AB128" s="5">
        <f t="shared" si="217"/>
        <v>1.28279464510203</v>
      </c>
      <c r="AC128" s="5">
        <f t="shared" si="218"/>
        <v>0.0942935111374618</v>
      </c>
      <c r="AD128" s="5"/>
      <c r="AE128" s="5">
        <f t="shared" si="219"/>
        <v>0.611107489733394</v>
      </c>
      <c r="AF128" s="216">
        <f t="shared" si="220"/>
        <v>1472</v>
      </c>
      <c r="AG128" s="217">
        <f t="shared" si="221"/>
        <v>0.0213994565217391</v>
      </c>
      <c r="AI128" s="5">
        <f t="shared" si="222"/>
        <v>0.615235146683189</v>
      </c>
      <c r="AJ128" s="5">
        <f t="shared" si="223"/>
        <v>0.615235146683189</v>
      </c>
      <c r="AK128" s="5">
        <f t="shared" si="224"/>
        <v>1.41015676445546</v>
      </c>
      <c r="AM128" s="216">
        <f t="shared" si="225"/>
        <v>90</v>
      </c>
      <c r="AN128" s="220">
        <f t="shared" si="226"/>
        <v>337.361228736252</v>
      </c>
      <c r="AP128" s="220">
        <f t="shared" si="227"/>
        <v>90</v>
      </c>
      <c r="AQ128" s="220">
        <f t="shared" si="228"/>
        <v>337.361228736252</v>
      </c>
      <c r="AS128" s="192">
        <f t="shared" si="175"/>
        <v>2.96418175777335</v>
      </c>
      <c r="AT128" s="192">
        <f t="shared" si="229"/>
        <v>1.53808786670797</v>
      </c>
      <c r="AU128" s="192">
        <f t="shared" si="230"/>
        <v>1.42609389106537</v>
      </c>
      <c r="AV128" s="192"/>
      <c r="AW128" s="5">
        <f t="shared" si="231"/>
        <v>0.518891212616923</v>
      </c>
      <c r="AX128" s="5">
        <f t="shared" si="150"/>
        <v>1.59620055653495</v>
      </c>
      <c r="AY128" s="5">
        <f t="shared" si="151"/>
        <v>0.0987143442979624</v>
      </c>
      <c r="AZ128" s="5">
        <f t="shared" si="178"/>
        <v>16.1698947390759</v>
      </c>
      <c r="BA128" s="220">
        <f t="shared" si="232"/>
        <v>5.22063553448612</v>
      </c>
      <c r="BB128" s="220">
        <f t="shared" si="233"/>
        <v>7.12857130695929</v>
      </c>
      <c r="BC128" s="192">
        <f t="shared" si="258"/>
        <v>0.427828167319612</v>
      </c>
      <c r="BD128" s="220">
        <f t="shared" si="235"/>
        <v>3.10696900391767</v>
      </c>
      <c r="BF128" s="5">
        <f t="shared" si="179"/>
        <v>0.255869587034173</v>
      </c>
      <c r="BG128" s="5">
        <f t="shared" si="156"/>
        <v>0.164334212791343</v>
      </c>
      <c r="BI128" s="217">
        <f t="shared" si="236"/>
        <v>0.0229142359491633</v>
      </c>
      <c r="BJ128" s="217">
        <f t="shared" si="237"/>
        <v>0.0231143204007484</v>
      </c>
      <c r="BK128" s="217">
        <f t="shared" si="238"/>
        <v>0.00421701535920315</v>
      </c>
      <c r="BL128" s="217">
        <f t="shared" si="239"/>
        <v>0.00836786776888889</v>
      </c>
      <c r="BM128">
        <f t="shared" si="240"/>
        <v>0.0029</v>
      </c>
      <c r="BN128">
        <f t="shared" si="241"/>
        <v>4.21701535920315e-6</v>
      </c>
      <c r="BO128" s="217">
        <f t="shared" si="242"/>
        <v>0.0722446725653232</v>
      </c>
      <c r="BP128" s="220">
        <f t="shared" si="243"/>
        <v>61.5134394780037</v>
      </c>
      <c r="BQ128" s="217">
        <f t="shared" si="244"/>
        <v>0.0765612381884594</v>
      </c>
      <c r="BT128" s="220">
        <f t="shared" si="245"/>
        <v>76.5612381884594</v>
      </c>
      <c r="BU128" s="217">
        <f t="shared" si="246"/>
        <v>0.00268423906833056</v>
      </c>
      <c r="BV128" s="217">
        <f t="shared" si="247"/>
        <v>0.00270057334937505</v>
      </c>
      <c r="BW128" s="217">
        <f t="shared" si="248"/>
        <v>0</v>
      </c>
      <c r="BX128" s="217"/>
      <c r="BY128" s="217">
        <f t="shared" si="249"/>
        <v>0.00510784178091185</v>
      </c>
      <c r="BZ128" s="220">
        <f t="shared" si="250"/>
        <v>10.4926541986175</v>
      </c>
      <c r="CA128" s="5">
        <f t="shared" si="251"/>
        <v>0.148567331865081</v>
      </c>
      <c r="CB128" s="192">
        <f t="shared" si="252"/>
        <v>1.62</v>
      </c>
      <c r="CC128" s="5">
        <f t="shared" si="253"/>
        <v>0.915995659770326</v>
      </c>
      <c r="CD128" s="192">
        <f t="shared" si="254"/>
        <v>91.5995659770326</v>
      </c>
      <c r="CG128" s="227">
        <f t="shared" si="255"/>
        <v>-50</v>
      </c>
      <c r="CH128">
        <f t="shared" si="256"/>
        <v>-50</v>
      </c>
    </row>
    <row r="129" spans="5:86">
      <c r="E129" s="22">
        <v>19</v>
      </c>
      <c r="F129" s="25">
        <f t="shared" si="257"/>
        <v>0.095</v>
      </c>
      <c r="G129" s="25"/>
      <c r="H129" s="25">
        <f t="shared" si="201"/>
        <v>1.71</v>
      </c>
      <c r="I129" s="212">
        <f t="shared" si="202"/>
        <v>10</v>
      </c>
      <c r="J129" s="131">
        <f t="shared" si="203"/>
        <v>12.2728</v>
      </c>
      <c r="K129" s="131">
        <f t="shared" si="204"/>
        <v>22.2728</v>
      </c>
      <c r="L129" s="131"/>
      <c r="M129" s="25">
        <f t="shared" si="205"/>
        <v>0.551021874214288</v>
      </c>
      <c r="N129" s="27">
        <f t="shared" si="206"/>
        <v>3.74915283215402</v>
      </c>
      <c r="O129" s="27">
        <f t="shared" si="173"/>
        <v>1.71</v>
      </c>
      <c r="P129" s="25">
        <f t="shared" si="207"/>
        <v>0.208286268453001</v>
      </c>
      <c r="Q129" s="25">
        <f t="shared" si="208"/>
        <v>18</v>
      </c>
      <c r="R129" s="25"/>
      <c r="S129" s="27">
        <f t="shared" si="209"/>
        <v>56.1661453341148</v>
      </c>
      <c r="T129" s="27">
        <f t="shared" si="210"/>
        <v>18</v>
      </c>
      <c r="U129" s="25">
        <f t="shared" si="211"/>
        <v>0.689627794798253</v>
      </c>
      <c r="V129" s="25">
        <f t="shared" si="212"/>
        <v>1.72406948699563</v>
      </c>
      <c r="W129" s="25">
        <f t="shared" si="213"/>
        <v>1.40478903509846</v>
      </c>
      <c r="X129" s="24">
        <f t="shared" si="214"/>
        <v>350</v>
      </c>
      <c r="Y129" s="131">
        <f t="shared" si="215"/>
        <v>319.605374592239</v>
      </c>
      <c r="AA129" s="25">
        <f t="shared" si="216"/>
        <v>0.62973928481633</v>
      </c>
      <c r="AB129" s="5">
        <f t="shared" si="217"/>
        <v>1.28279464510203</v>
      </c>
      <c r="AC129" s="5">
        <f t="shared" si="218"/>
        <v>0.0942935111374618</v>
      </c>
      <c r="AD129" s="5"/>
      <c r="AE129" s="5">
        <f t="shared" si="219"/>
        <v>0.611107489733394</v>
      </c>
      <c r="AF129" s="216">
        <f t="shared" si="220"/>
        <v>1553.77777777778</v>
      </c>
      <c r="AG129" s="217">
        <f t="shared" si="221"/>
        <v>0.0213994565217391</v>
      </c>
      <c r="AI129" s="5">
        <f t="shared" si="222"/>
        <v>0.632094025555421</v>
      </c>
      <c r="AJ129" s="5">
        <f t="shared" si="223"/>
        <v>0.689627794798253</v>
      </c>
      <c r="AK129" s="5">
        <f t="shared" si="224"/>
        <v>1.45975186319884</v>
      </c>
      <c r="AM129" s="216">
        <f t="shared" si="225"/>
        <v>95</v>
      </c>
      <c r="AN129" s="220">
        <f t="shared" si="226"/>
        <v>319.605374592239</v>
      </c>
      <c r="AP129" s="220">
        <f t="shared" si="227"/>
        <v>95</v>
      </c>
      <c r="AQ129" s="220">
        <f t="shared" si="228"/>
        <v>319.605374592239</v>
      </c>
      <c r="AS129" s="192">
        <f t="shared" si="175"/>
        <v>3.12885852209409</v>
      </c>
      <c r="AT129" s="192">
        <f t="shared" si="229"/>
        <v>1.72406948699563</v>
      </c>
      <c r="AU129" s="192">
        <f t="shared" si="230"/>
        <v>1.40478903509846</v>
      </c>
      <c r="AV129" s="192"/>
      <c r="AW129" s="5">
        <f t="shared" si="231"/>
        <v>0.551021874214288</v>
      </c>
      <c r="AX129" s="5">
        <f t="shared" si="150"/>
        <v>1.9</v>
      </c>
      <c r="AY129" s="5">
        <f t="shared" si="151"/>
        <v>0.103260869565217</v>
      </c>
      <c r="AZ129" s="5">
        <f t="shared" si="178"/>
        <v>18.4</v>
      </c>
      <c r="BA129" s="220">
        <f t="shared" si="232"/>
        <v>5.22063553448612</v>
      </c>
      <c r="BB129" s="220">
        <f t="shared" si="233"/>
        <v>7.92680321547008</v>
      </c>
      <c r="BC129" s="192">
        <f t="shared" si="258"/>
        <v>0.444849861114511</v>
      </c>
      <c r="BD129" s="220">
        <f t="shared" si="235"/>
        <v>3.23909916668707</v>
      </c>
      <c r="BF129" s="5">
        <f t="shared" si="179"/>
        <v>0.295555162377142</v>
      </c>
      <c r="BG129" s="5">
        <f t="shared" si="156"/>
        <v>0.177947772050734</v>
      </c>
      <c r="BI129" s="217">
        <f t="shared" si="236"/>
        <v>0.0305734989027226</v>
      </c>
      <c r="BJ129" s="217">
        <f t="shared" si="237"/>
        <v>0.0245456</v>
      </c>
      <c r="BK129" s="217">
        <f t="shared" si="238"/>
        <v>0.00399506718240298</v>
      </c>
      <c r="BL129" s="217">
        <f t="shared" si="239"/>
        <v>0.00792745367578947</v>
      </c>
      <c r="BM129">
        <f t="shared" si="240"/>
        <v>0.0029</v>
      </c>
      <c r="BN129">
        <f t="shared" si="241"/>
        <v>3.99506718240298e-6</v>
      </c>
      <c r="BO129" s="217">
        <f t="shared" si="242"/>
        <v>0.084468439463465</v>
      </c>
      <c r="BP129" s="220">
        <f t="shared" si="243"/>
        <v>69.941619760915</v>
      </c>
      <c r="BQ129" s="217">
        <f t="shared" si="244"/>
        <v>0.0828194106476056</v>
      </c>
      <c r="BT129" s="220">
        <f t="shared" si="245"/>
        <v>82.8194106476056</v>
      </c>
      <c r="BU129" s="217">
        <f t="shared" si="246"/>
        <v>0.00358146701431893</v>
      </c>
      <c r="BV129" s="217">
        <f t="shared" si="247"/>
        <v>0.00316654095778198</v>
      </c>
      <c r="BW129" s="217">
        <f t="shared" si="248"/>
        <v>0</v>
      </c>
      <c r="BX129" s="217"/>
      <c r="BY129" s="217">
        <f t="shared" si="249"/>
        <v>0.00608</v>
      </c>
      <c r="BZ129" s="220">
        <f t="shared" si="250"/>
        <v>12.8280079721009</v>
      </c>
      <c r="CA129" s="5">
        <f t="shared" si="251"/>
        <v>0.165589038380622</v>
      </c>
      <c r="CB129" s="192">
        <f t="shared" si="252"/>
        <v>1.71</v>
      </c>
      <c r="CC129" s="5">
        <f t="shared" si="253"/>
        <v>0.91171358171106</v>
      </c>
      <c r="CD129" s="192">
        <f t="shared" si="254"/>
        <v>91.171358171106</v>
      </c>
      <c r="CG129" s="227">
        <f t="shared" si="255"/>
        <v>-50</v>
      </c>
      <c r="CH129">
        <f t="shared" si="256"/>
        <v>-50</v>
      </c>
    </row>
    <row r="130" spans="5:86">
      <c r="E130" s="22">
        <v>20</v>
      </c>
      <c r="F130" s="25">
        <f t="shared" si="257"/>
        <v>0.1</v>
      </c>
      <c r="G130" s="25"/>
      <c r="H130" s="25">
        <f t="shared" si="201"/>
        <v>1.8</v>
      </c>
      <c r="I130" s="212">
        <f t="shared" si="202"/>
        <v>10</v>
      </c>
      <c r="J130" s="131">
        <f t="shared" si="203"/>
        <v>12.2728</v>
      </c>
      <c r="K130" s="131">
        <f t="shared" si="204"/>
        <v>22.2728</v>
      </c>
      <c r="L130" s="131"/>
      <c r="M130" s="25">
        <f t="shared" si="205"/>
        <v>0.551021874214288</v>
      </c>
      <c r="N130" s="27">
        <f t="shared" si="206"/>
        <v>3.74915283215402</v>
      </c>
      <c r="O130" s="27">
        <f t="shared" si="173"/>
        <v>1.8</v>
      </c>
      <c r="P130" s="25">
        <f t="shared" si="207"/>
        <v>0.208286268453001</v>
      </c>
      <c r="Q130" s="25">
        <f t="shared" si="208"/>
        <v>18</v>
      </c>
      <c r="R130" s="25"/>
      <c r="S130" s="27">
        <f t="shared" si="209"/>
        <v>52.6206032542688</v>
      </c>
      <c r="T130" s="27">
        <f t="shared" si="210"/>
        <v>18</v>
      </c>
      <c r="U130" s="25">
        <f t="shared" si="211"/>
        <v>0.725923994524477</v>
      </c>
      <c r="V130" s="25">
        <f t="shared" si="212"/>
        <v>1.81480998631119</v>
      </c>
      <c r="W130" s="25">
        <f t="shared" si="213"/>
        <v>1.47872530010364</v>
      </c>
      <c r="X130" s="24">
        <f t="shared" si="214"/>
        <v>350</v>
      </c>
      <c r="Y130" s="131">
        <f t="shared" si="215"/>
        <v>303.625105862627</v>
      </c>
      <c r="AA130" s="25">
        <f t="shared" si="216"/>
        <v>0.62973928481633</v>
      </c>
      <c r="AB130" s="5">
        <f t="shared" si="217"/>
        <v>1.28279464510203</v>
      </c>
      <c r="AC130" s="5">
        <f t="shared" si="218"/>
        <v>0.0942935111374618</v>
      </c>
      <c r="AD130" s="5"/>
      <c r="AE130" s="5">
        <f t="shared" si="219"/>
        <v>0.611107489733394</v>
      </c>
      <c r="AF130" s="216">
        <f t="shared" si="220"/>
        <v>1635.55555555556</v>
      </c>
      <c r="AG130" s="217">
        <f t="shared" si="221"/>
        <v>0.0213994565217391</v>
      </c>
      <c r="AI130" s="5">
        <f t="shared" si="222"/>
        <v>0.648514786702222</v>
      </c>
      <c r="AJ130" s="5">
        <f t="shared" si="223"/>
        <v>0.725923994524477</v>
      </c>
      <c r="AK130" s="5">
        <f t="shared" si="224"/>
        <v>1.48394932968298</v>
      </c>
      <c r="AM130" s="216">
        <f t="shared" si="225"/>
        <v>100</v>
      </c>
      <c r="AN130" s="220">
        <f t="shared" si="226"/>
        <v>303.625105862627</v>
      </c>
      <c r="AP130" s="220">
        <f t="shared" si="227"/>
        <v>100</v>
      </c>
      <c r="AQ130" s="220">
        <f t="shared" si="228"/>
        <v>303.625105862627</v>
      </c>
      <c r="AS130" s="192">
        <f t="shared" si="175"/>
        <v>3.29353528641483</v>
      </c>
      <c r="AT130" s="192">
        <f t="shared" si="229"/>
        <v>1.81480998631119</v>
      </c>
      <c r="AU130" s="192">
        <f t="shared" si="230"/>
        <v>1.47872530010364</v>
      </c>
      <c r="AV130" s="192"/>
      <c r="AW130" s="5">
        <f t="shared" si="231"/>
        <v>0.551021874214288</v>
      </c>
      <c r="AX130" s="5">
        <f t="shared" si="150"/>
        <v>2</v>
      </c>
      <c r="AY130" s="5">
        <f t="shared" si="151"/>
        <v>0.108695652173913</v>
      </c>
      <c r="AZ130" s="5">
        <f t="shared" si="178"/>
        <v>18.4</v>
      </c>
      <c r="BA130" s="220">
        <f t="shared" si="232"/>
        <v>5.22063553448612</v>
      </c>
      <c r="BB130" s="220">
        <f t="shared" si="233"/>
        <v>8.76737198390037</v>
      </c>
      <c r="BC130" s="192">
        <f t="shared" si="258"/>
        <v>0.492908433367879</v>
      </c>
      <c r="BD130" s="220">
        <f t="shared" si="235"/>
        <v>3.55745060020728</v>
      </c>
      <c r="BF130" s="5">
        <f t="shared" si="179"/>
        <v>0.311110697239097</v>
      </c>
      <c r="BG130" s="5">
        <f t="shared" si="156"/>
        <v>0.18731344426393</v>
      </c>
      <c r="BI130" s="217">
        <f t="shared" si="236"/>
        <v>0.033876453077809</v>
      </c>
      <c r="BJ130" s="217">
        <f t="shared" si="237"/>
        <v>0.0245456</v>
      </c>
      <c r="BK130" s="217">
        <f t="shared" si="238"/>
        <v>0.00379531382328283</v>
      </c>
      <c r="BL130" s="217">
        <f t="shared" si="239"/>
        <v>0.007531080992</v>
      </c>
      <c r="BM130">
        <f t="shared" si="240"/>
        <v>0.0029</v>
      </c>
      <c r="BN130">
        <f t="shared" si="241"/>
        <v>3.79531382328284e-6</v>
      </c>
      <c r="BO130" s="217">
        <f t="shared" si="242"/>
        <v>0.0888270715917633</v>
      </c>
      <c r="BP130" s="220">
        <f t="shared" si="243"/>
        <v>72.6484478930918</v>
      </c>
      <c r="BQ130" s="217">
        <f t="shared" si="244"/>
        <v>0.0882915284183995</v>
      </c>
      <c r="BT130" s="220">
        <f t="shared" si="245"/>
        <v>88.2915284183995</v>
      </c>
      <c r="BU130" s="217">
        <f t="shared" si="246"/>
        <v>0.00396838450340048</v>
      </c>
      <c r="BV130" s="217">
        <f t="shared" si="247"/>
        <v>0.00350863264020164</v>
      </c>
      <c r="BW130" s="217">
        <f t="shared" si="248"/>
        <v>0</v>
      </c>
      <c r="BX130" s="217"/>
      <c r="BY130" s="217">
        <f t="shared" si="249"/>
        <v>0.0064</v>
      </c>
      <c r="BZ130" s="220">
        <f t="shared" si="250"/>
        <v>13.8770171436021</v>
      </c>
      <c r="CA130" s="5">
        <f t="shared" si="251"/>
        <v>0.174816993455093</v>
      </c>
      <c r="CB130" s="192">
        <f t="shared" si="252"/>
        <v>1.8</v>
      </c>
      <c r="CC130" s="5">
        <f t="shared" si="253"/>
        <v>0.911476863914748</v>
      </c>
      <c r="CD130" s="192">
        <f t="shared" si="254"/>
        <v>91.1476863914748</v>
      </c>
      <c r="CG130" s="227">
        <f t="shared" si="255"/>
        <v>-50</v>
      </c>
      <c r="CH130">
        <f t="shared" si="256"/>
        <v>-50</v>
      </c>
    </row>
    <row r="131" spans="5:86">
      <c r="E131" s="22">
        <v>21</v>
      </c>
      <c r="F131" s="25">
        <f t="shared" si="257"/>
        <v>0.105</v>
      </c>
      <c r="G131" s="25"/>
      <c r="H131" s="25">
        <f t="shared" si="201"/>
        <v>1.89</v>
      </c>
      <c r="I131" s="212">
        <f t="shared" si="202"/>
        <v>10</v>
      </c>
      <c r="J131" s="131">
        <f t="shared" si="203"/>
        <v>12.2728</v>
      </c>
      <c r="K131" s="131">
        <f t="shared" si="204"/>
        <v>22.2728</v>
      </c>
      <c r="L131" s="131"/>
      <c r="M131" s="25">
        <f t="shared" si="205"/>
        <v>0.551021874214288</v>
      </c>
      <c r="N131" s="27">
        <f t="shared" si="206"/>
        <v>3.74915283215402</v>
      </c>
      <c r="O131" s="27">
        <f t="shared" si="173"/>
        <v>1.89</v>
      </c>
      <c r="P131" s="25">
        <f t="shared" si="207"/>
        <v>0.208286268453001</v>
      </c>
      <c r="Q131" s="25">
        <f t="shared" si="208"/>
        <v>18</v>
      </c>
      <c r="R131" s="25"/>
      <c r="S131" s="27">
        <f t="shared" si="209"/>
        <v>49.4135993786689</v>
      </c>
      <c r="T131" s="27">
        <f t="shared" si="210"/>
        <v>18</v>
      </c>
      <c r="U131" s="25">
        <f t="shared" si="211"/>
        <v>0.762220194250701</v>
      </c>
      <c r="V131" s="25">
        <f t="shared" si="212"/>
        <v>1.90555048562675</v>
      </c>
      <c r="W131" s="25">
        <f t="shared" si="213"/>
        <v>1.55266156510882</v>
      </c>
      <c r="X131" s="24">
        <f t="shared" si="214"/>
        <v>350</v>
      </c>
      <c r="Y131" s="131">
        <f t="shared" si="215"/>
        <v>289.166767488216</v>
      </c>
      <c r="AA131" s="25">
        <f t="shared" si="216"/>
        <v>0.62973928481633</v>
      </c>
      <c r="AB131" s="5">
        <f t="shared" si="217"/>
        <v>1.28279464510203</v>
      </c>
      <c r="AC131" s="5">
        <f t="shared" si="218"/>
        <v>0.0942935111374618</v>
      </c>
      <c r="AD131" s="5"/>
      <c r="AE131" s="5">
        <f t="shared" si="219"/>
        <v>0.611107489733394</v>
      </c>
      <c r="AF131" s="216">
        <f t="shared" si="220"/>
        <v>1717.33333333333</v>
      </c>
      <c r="AG131" s="217">
        <f t="shared" si="221"/>
        <v>0.0213994565217391</v>
      </c>
      <c r="AI131" s="5">
        <f t="shared" si="222"/>
        <v>0.664529909033446</v>
      </c>
      <c r="AJ131" s="5">
        <f t="shared" si="223"/>
        <v>0.762220194250701</v>
      </c>
      <c r="AK131" s="5">
        <f t="shared" si="224"/>
        <v>1.50814679616713</v>
      </c>
      <c r="AM131" s="216">
        <f t="shared" si="225"/>
        <v>105</v>
      </c>
      <c r="AN131" s="220">
        <f t="shared" si="226"/>
        <v>289.166767488216</v>
      </c>
      <c r="AP131" s="220">
        <f t="shared" si="227"/>
        <v>105</v>
      </c>
      <c r="AQ131" s="220">
        <f t="shared" si="228"/>
        <v>289.166767488216</v>
      </c>
      <c r="AS131" s="192">
        <f t="shared" si="175"/>
        <v>3.45821205073557</v>
      </c>
      <c r="AT131" s="192">
        <f t="shared" si="229"/>
        <v>1.90555048562675</v>
      </c>
      <c r="AU131" s="192">
        <f t="shared" si="230"/>
        <v>1.55266156510882</v>
      </c>
      <c r="AV131" s="192"/>
      <c r="AW131" s="5">
        <f t="shared" si="231"/>
        <v>0.551021874214288</v>
      </c>
      <c r="AX131" s="5">
        <f t="shared" si="150"/>
        <v>2.1</v>
      </c>
      <c r="AY131" s="5">
        <f t="shared" si="151"/>
        <v>0.114130434782609</v>
      </c>
      <c r="AZ131" s="5">
        <f t="shared" si="178"/>
        <v>18.4</v>
      </c>
      <c r="BA131" s="220">
        <f t="shared" si="232"/>
        <v>5.22063553448612</v>
      </c>
      <c r="BB131" s="220">
        <f t="shared" si="233"/>
        <v>9.65027761225015</v>
      </c>
      <c r="BC131" s="192">
        <f t="shared" si="258"/>
        <v>0.543431547788087</v>
      </c>
      <c r="BD131" s="220">
        <f t="shared" si="235"/>
        <v>3.89058928672852</v>
      </c>
      <c r="BF131" s="5">
        <f t="shared" si="179"/>
        <v>0.326666232101052</v>
      </c>
      <c r="BG131" s="5">
        <f t="shared" si="156"/>
        <v>0.196679116477126</v>
      </c>
      <c r="BI131" s="217">
        <f t="shared" si="236"/>
        <v>0.0373487895182844</v>
      </c>
      <c r="BJ131" s="217">
        <f t="shared" si="237"/>
        <v>0.0245456</v>
      </c>
      <c r="BK131" s="217">
        <f t="shared" si="238"/>
        <v>0.0036145845936027</v>
      </c>
      <c r="BL131" s="217">
        <f t="shared" si="239"/>
        <v>0.00717245808761905</v>
      </c>
      <c r="BM131">
        <f t="shared" si="240"/>
        <v>0.0029</v>
      </c>
      <c r="BN131">
        <f t="shared" si="241"/>
        <v>3.6145845936027e-6</v>
      </c>
      <c r="BO131" s="217">
        <f t="shared" si="242"/>
        <v>0.0935163098505547</v>
      </c>
      <c r="BP131" s="220">
        <f t="shared" si="243"/>
        <v>75.5814321995061</v>
      </c>
      <c r="BQ131" s="217">
        <f t="shared" si="244"/>
        <v>0.0938749663312854</v>
      </c>
      <c r="BT131" s="220">
        <f t="shared" si="245"/>
        <v>93.8749663312854</v>
      </c>
      <c r="BU131" s="217">
        <f t="shared" si="246"/>
        <v>0.00437514391499903</v>
      </c>
      <c r="BV131" s="217">
        <f t="shared" si="247"/>
        <v>0.00386826748582231</v>
      </c>
      <c r="BW131" s="217">
        <f t="shared" si="248"/>
        <v>0</v>
      </c>
      <c r="BX131" s="217"/>
      <c r="BY131" s="217">
        <f t="shared" si="249"/>
        <v>0.00672</v>
      </c>
      <c r="BZ131" s="220">
        <f t="shared" si="250"/>
        <v>14.9634114008213</v>
      </c>
      <c r="CA131" s="5">
        <f t="shared" si="251"/>
        <v>0.184419809931613</v>
      </c>
      <c r="CB131" s="192">
        <f t="shared" si="252"/>
        <v>1.89</v>
      </c>
      <c r="CC131" s="5">
        <f t="shared" si="253"/>
        <v>0.911098125341518</v>
      </c>
      <c r="CD131" s="192">
        <f t="shared" si="254"/>
        <v>91.1098125341518</v>
      </c>
      <c r="CG131" s="227">
        <f t="shared" si="255"/>
        <v>-50</v>
      </c>
      <c r="CH131">
        <f t="shared" si="256"/>
        <v>-50</v>
      </c>
    </row>
    <row r="132" spans="5:86">
      <c r="E132" s="22">
        <v>22</v>
      </c>
      <c r="F132" s="25">
        <f t="shared" si="257"/>
        <v>0.11</v>
      </c>
      <c r="G132" s="25"/>
      <c r="H132" s="25">
        <f t="shared" si="201"/>
        <v>1.98</v>
      </c>
      <c r="I132" s="212">
        <f t="shared" si="202"/>
        <v>10</v>
      </c>
      <c r="J132" s="131">
        <f t="shared" si="203"/>
        <v>12.2728</v>
      </c>
      <c r="K132" s="131">
        <f t="shared" si="204"/>
        <v>22.2728</v>
      </c>
      <c r="L132" s="131"/>
      <c r="M132" s="25">
        <f t="shared" si="205"/>
        <v>0.551021874214288</v>
      </c>
      <c r="N132" s="27">
        <f t="shared" si="206"/>
        <v>3.74915283215402</v>
      </c>
      <c r="O132" s="27">
        <f t="shared" si="173"/>
        <v>1.98</v>
      </c>
      <c r="P132" s="25">
        <f t="shared" si="207"/>
        <v>0.208286268453001</v>
      </c>
      <c r="Q132" s="25">
        <f t="shared" si="208"/>
        <v>18</v>
      </c>
      <c r="R132" s="25"/>
      <c r="S132" s="27">
        <f t="shared" si="209"/>
        <v>46.4990031691259</v>
      </c>
      <c r="T132" s="27">
        <f t="shared" si="210"/>
        <v>18</v>
      </c>
      <c r="U132" s="25">
        <f t="shared" si="211"/>
        <v>0.798516393976925</v>
      </c>
      <c r="V132" s="25">
        <f t="shared" si="212"/>
        <v>1.99629098494231</v>
      </c>
      <c r="W132" s="25">
        <f t="shared" si="213"/>
        <v>1.626597830114</v>
      </c>
      <c r="X132" s="24">
        <f t="shared" si="214"/>
        <v>350</v>
      </c>
      <c r="Y132" s="131">
        <f t="shared" si="215"/>
        <v>276.022823511479</v>
      </c>
      <c r="AA132" s="25">
        <f t="shared" si="216"/>
        <v>0.62973928481633</v>
      </c>
      <c r="AB132" s="5">
        <f t="shared" si="217"/>
        <v>1.28279464510203</v>
      </c>
      <c r="AC132" s="5">
        <f t="shared" si="218"/>
        <v>0.0942935111374618</v>
      </c>
      <c r="AD132" s="5"/>
      <c r="AE132" s="5">
        <f t="shared" si="219"/>
        <v>0.611107489733394</v>
      </c>
      <c r="AF132" s="216">
        <f t="shared" si="220"/>
        <v>1799.11111111111</v>
      </c>
      <c r="AG132" s="217">
        <f t="shared" si="221"/>
        <v>0.0213994565217391</v>
      </c>
      <c r="AI132" s="5">
        <f t="shared" si="222"/>
        <v>0.680168046462469</v>
      </c>
      <c r="AJ132" s="5">
        <f t="shared" si="223"/>
        <v>0.798516393976925</v>
      </c>
      <c r="AK132" s="5">
        <f t="shared" si="224"/>
        <v>1.53234426265128</v>
      </c>
      <c r="AM132" s="216">
        <f t="shared" si="225"/>
        <v>110</v>
      </c>
      <c r="AN132" s="220">
        <f t="shared" si="226"/>
        <v>276.022823511479</v>
      </c>
      <c r="AP132" s="220">
        <f t="shared" si="227"/>
        <v>110</v>
      </c>
      <c r="AQ132" s="220">
        <f t="shared" si="228"/>
        <v>276.022823511479</v>
      </c>
      <c r="AS132" s="192">
        <f t="shared" si="175"/>
        <v>3.62288881505631</v>
      </c>
      <c r="AT132" s="192">
        <f t="shared" si="229"/>
        <v>1.99629098494231</v>
      </c>
      <c r="AU132" s="192">
        <f t="shared" si="230"/>
        <v>1.626597830114</v>
      </c>
      <c r="AV132" s="192"/>
      <c r="AW132" s="5">
        <f t="shared" si="231"/>
        <v>0.551021874214288</v>
      </c>
      <c r="AX132" s="5">
        <f t="shared" si="150"/>
        <v>2.2</v>
      </c>
      <c r="AY132" s="5">
        <f t="shared" si="151"/>
        <v>0.119565217391304</v>
      </c>
      <c r="AZ132" s="5">
        <f t="shared" si="178"/>
        <v>18.4</v>
      </c>
      <c r="BA132" s="220">
        <f t="shared" si="232"/>
        <v>5.22063553448612</v>
      </c>
      <c r="BB132" s="220">
        <f t="shared" si="233"/>
        <v>10.5755201005194</v>
      </c>
      <c r="BC132" s="192">
        <f t="shared" si="258"/>
        <v>0.596419204375134</v>
      </c>
      <c r="BD132" s="220">
        <f t="shared" si="235"/>
        <v>4.2385152262508</v>
      </c>
      <c r="BF132" s="5">
        <f t="shared" si="179"/>
        <v>0.342221766963006</v>
      </c>
      <c r="BG132" s="5">
        <f t="shared" si="156"/>
        <v>0.206044788690323</v>
      </c>
      <c r="BI132" s="217">
        <f t="shared" si="236"/>
        <v>0.0409905082241488</v>
      </c>
      <c r="BJ132" s="217">
        <f t="shared" si="237"/>
        <v>0.0245456</v>
      </c>
      <c r="BK132" s="217">
        <f t="shared" si="238"/>
        <v>0.00345028529389349</v>
      </c>
      <c r="BL132" s="217">
        <f t="shared" si="239"/>
        <v>0.00684643726545454</v>
      </c>
      <c r="BM132">
        <f t="shared" si="240"/>
        <v>0.0029</v>
      </c>
      <c r="BN132">
        <f t="shared" si="241"/>
        <v>3.45028529389349e-6</v>
      </c>
      <c r="BO132" s="217">
        <f t="shared" si="242"/>
        <v>0.0985315818691463</v>
      </c>
      <c r="BP132" s="220">
        <f t="shared" si="243"/>
        <v>78.7328307834969</v>
      </c>
      <c r="BQ132" s="217">
        <f t="shared" si="244"/>
        <v>0.0995697243862634</v>
      </c>
      <c r="BT132" s="220">
        <f t="shared" si="245"/>
        <v>99.5697243862634</v>
      </c>
      <c r="BU132" s="217">
        <f t="shared" si="246"/>
        <v>0.00480174524911458</v>
      </c>
      <c r="BV132" s="217">
        <f t="shared" si="247"/>
        <v>0.00424544549464399</v>
      </c>
      <c r="BW132" s="217">
        <f t="shared" si="248"/>
        <v>0</v>
      </c>
      <c r="BX132" s="217"/>
      <c r="BY132" s="217">
        <f t="shared" si="249"/>
        <v>0.00704</v>
      </c>
      <c r="BZ132" s="220">
        <f t="shared" si="250"/>
        <v>16.0871907437586</v>
      </c>
      <c r="CA132" s="5">
        <f t="shared" si="251"/>
        <v>0.194389745913519</v>
      </c>
      <c r="CB132" s="192">
        <f t="shared" si="252"/>
        <v>1.98</v>
      </c>
      <c r="CC132" s="5">
        <f t="shared" si="253"/>
        <v>0.9106003207204</v>
      </c>
      <c r="CD132" s="192">
        <f t="shared" si="254"/>
        <v>91.06003207204</v>
      </c>
      <c r="CG132" s="227">
        <f t="shared" si="255"/>
        <v>-50</v>
      </c>
      <c r="CH132">
        <f t="shared" si="256"/>
        <v>-50</v>
      </c>
    </row>
    <row r="133" spans="5:86">
      <c r="E133" s="22">
        <v>23</v>
      </c>
      <c r="F133" s="25">
        <f t="shared" si="257"/>
        <v>0.115</v>
      </c>
      <c r="G133" s="25"/>
      <c r="H133" s="25">
        <f t="shared" si="201"/>
        <v>2.07</v>
      </c>
      <c r="I133" s="212">
        <f t="shared" si="202"/>
        <v>10</v>
      </c>
      <c r="J133" s="131">
        <f t="shared" si="203"/>
        <v>12.2728</v>
      </c>
      <c r="K133" s="131">
        <f t="shared" si="204"/>
        <v>22.2728</v>
      </c>
      <c r="L133" s="131"/>
      <c r="M133" s="25">
        <f t="shared" si="205"/>
        <v>0.551021874214288</v>
      </c>
      <c r="N133" s="27">
        <f t="shared" si="206"/>
        <v>3.74915283215402</v>
      </c>
      <c r="O133" s="27">
        <f t="shared" si="173"/>
        <v>2.07</v>
      </c>
      <c r="P133" s="25">
        <f t="shared" si="207"/>
        <v>0.208286268453001</v>
      </c>
      <c r="Q133" s="25">
        <f t="shared" si="208"/>
        <v>18</v>
      </c>
      <c r="R133" s="25"/>
      <c r="S133" s="27">
        <f t="shared" si="209"/>
        <v>43.8387084750285</v>
      </c>
      <c r="T133" s="27">
        <f t="shared" si="210"/>
        <v>18</v>
      </c>
      <c r="U133" s="25">
        <f t="shared" si="211"/>
        <v>0.834812593703149</v>
      </c>
      <c r="V133" s="25">
        <f t="shared" si="212"/>
        <v>2.08703148425787</v>
      </c>
      <c r="W133" s="25">
        <f t="shared" si="213"/>
        <v>1.70053409511918</v>
      </c>
      <c r="X133" s="24">
        <f t="shared" si="214"/>
        <v>350</v>
      </c>
      <c r="Y133" s="131">
        <f t="shared" si="215"/>
        <v>264.021831184893</v>
      </c>
      <c r="AA133" s="25">
        <f t="shared" si="216"/>
        <v>0.62973928481633</v>
      </c>
      <c r="AB133" s="5">
        <f t="shared" si="217"/>
        <v>1.28279464510203</v>
      </c>
      <c r="AC133" s="5">
        <f t="shared" si="218"/>
        <v>0.0942935111374618</v>
      </c>
      <c r="AD133" s="5"/>
      <c r="AE133" s="5">
        <f t="shared" si="219"/>
        <v>0.611107489733394</v>
      </c>
      <c r="AF133" s="216">
        <f t="shared" si="220"/>
        <v>1880.88888888889</v>
      </c>
      <c r="AG133" s="217">
        <f t="shared" si="221"/>
        <v>0.0213994565217391</v>
      </c>
      <c r="AI133" s="5">
        <f t="shared" si="222"/>
        <v>0.695454630336978</v>
      </c>
      <c r="AJ133" s="5">
        <f t="shared" si="223"/>
        <v>0.834812593703149</v>
      </c>
      <c r="AK133" s="5">
        <f t="shared" si="224"/>
        <v>1.55654172913543</v>
      </c>
      <c r="AM133" s="216">
        <f t="shared" si="225"/>
        <v>115</v>
      </c>
      <c r="AN133" s="220">
        <f t="shared" si="226"/>
        <v>264.021831184893</v>
      </c>
      <c r="AP133" s="220">
        <f t="shared" si="227"/>
        <v>115</v>
      </c>
      <c r="AQ133" s="220">
        <f t="shared" si="228"/>
        <v>264.021831184893</v>
      </c>
      <c r="AS133" s="192">
        <f t="shared" si="175"/>
        <v>3.78756557937706</v>
      </c>
      <c r="AT133" s="192">
        <f t="shared" si="229"/>
        <v>2.08703148425787</v>
      </c>
      <c r="AU133" s="192">
        <f t="shared" si="230"/>
        <v>1.70053409511918</v>
      </c>
      <c r="AV133" s="192"/>
      <c r="AW133" s="5">
        <f t="shared" si="231"/>
        <v>0.551021874214288</v>
      </c>
      <c r="AX133" s="5">
        <f t="shared" ref="AX133:AX196" si="259">0.5*L*AJ133^2*AN133*1000</f>
        <v>2.3</v>
      </c>
      <c r="AY133" s="5">
        <f t="shared" ref="AY133:AY196" si="260">AJ133*Nps/2*(1-AW133)</f>
        <v>0.125</v>
      </c>
      <c r="AZ133" s="5">
        <f t="shared" si="178"/>
        <v>18.4</v>
      </c>
      <c r="BA133" s="220">
        <f t="shared" si="232"/>
        <v>5.22063553448612</v>
      </c>
      <c r="BB133" s="220">
        <f t="shared" si="233"/>
        <v>11.5430994487082</v>
      </c>
      <c r="BC133" s="192">
        <f t="shared" si="258"/>
        <v>0.651871403129021</v>
      </c>
      <c r="BD133" s="220">
        <f t="shared" si="235"/>
        <v>4.60122841877412</v>
      </c>
      <c r="BF133" s="5">
        <f t="shared" si="179"/>
        <v>0.357777301824961</v>
      </c>
      <c r="BG133" s="5">
        <f t="shared" ref="BG133:BG196" si="261">AJ133*Nps*SQRT((1-AW133)/3)</f>
        <v>0.21541046090352</v>
      </c>
      <c r="BI133" s="217">
        <f t="shared" si="236"/>
        <v>0.0448016091954023</v>
      </c>
      <c r="BJ133" s="217">
        <f t="shared" si="237"/>
        <v>0.0245456</v>
      </c>
      <c r="BK133" s="217">
        <f t="shared" si="238"/>
        <v>0.00330027288981116</v>
      </c>
      <c r="BL133" s="217">
        <f t="shared" si="239"/>
        <v>0.00654876608</v>
      </c>
      <c r="BM133">
        <f t="shared" si="240"/>
        <v>0.0029</v>
      </c>
      <c r="BN133">
        <f t="shared" si="241"/>
        <v>3.30027288981116e-6</v>
      </c>
      <c r="BO133" s="217">
        <f t="shared" si="242"/>
        <v>0.103869850625012</v>
      </c>
      <c r="BP133" s="220">
        <f t="shared" si="243"/>
        <v>82.0962481652135</v>
      </c>
      <c r="BQ133" s="217">
        <f t="shared" si="244"/>
        <v>0.105375802583333</v>
      </c>
      <c r="BT133" s="220">
        <f t="shared" si="245"/>
        <v>105.375802583333</v>
      </c>
      <c r="BU133" s="217">
        <f t="shared" si="246"/>
        <v>0.00524818850574713</v>
      </c>
      <c r="BV133" s="217">
        <f t="shared" si="247"/>
        <v>0.00464016666666667</v>
      </c>
      <c r="BW133" s="217">
        <f t="shared" si="248"/>
        <v>0</v>
      </c>
      <c r="BX133" s="217"/>
      <c r="BY133" s="217">
        <f t="shared" si="249"/>
        <v>0.00736</v>
      </c>
      <c r="BZ133" s="220">
        <f t="shared" si="250"/>
        <v>17.2483551724138</v>
      </c>
      <c r="CA133" s="5">
        <f t="shared" si="251"/>
        <v>0.204720405920961</v>
      </c>
      <c r="CB133" s="192">
        <f t="shared" si="252"/>
        <v>2.07</v>
      </c>
      <c r="CC133" s="5">
        <f t="shared" si="253"/>
        <v>0.910001947761102</v>
      </c>
      <c r="CD133" s="192">
        <f t="shared" si="254"/>
        <v>91.0001947761102</v>
      </c>
      <c r="CG133" s="227">
        <f t="shared" si="255"/>
        <v>-50</v>
      </c>
      <c r="CH133">
        <f t="shared" si="256"/>
        <v>-50</v>
      </c>
    </row>
    <row r="134" spans="5:86">
      <c r="E134" s="22">
        <v>24</v>
      </c>
      <c r="F134" s="25">
        <f t="shared" si="257"/>
        <v>0.12</v>
      </c>
      <c r="G134" s="25"/>
      <c r="H134" s="25">
        <f t="shared" si="201"/>
        <v>2.16</v>
      </c>
      <c r="I134" s="212">
        <f t="shared" si="202"/>
        <v>10</v>
      </c>
      <c r="J134" s="131">
        <f t="shared" si="203"/>
        <v>12.2728</v>
      </c>
      <c r="K134" s="131">
        <f t="shared" si="204"/>
        <v>22.2728</v>
      </c>
      <c r="L134" s="131"/>
      <c r="M134" s="25">
        <f t="shared" si="205"/>
        <v>0.551021874214288</v>
      </c>
      <c r="N134" s="27">
        <f t="shared" si="206"/>
        <v>3.74915283215402</v>
      </c>
      <c r="O134" s="27">
        <f t="shared" ref="O134:O197" si="262">T134*F134</f>
        <v>2.16</v>
      </c>
      <c r="P134" s="25">
        <f t="shared" si="207"/>
        <v>0.208286268453001</v>
      </c>
      <c r="Q134" s="25">
        <f t="shared" si="208"/>
        <v>18</v>
      </c>
      <c r="R134" s="25"/>
      <c r="S134" s="27">
        <f t="shared" si="209"/>
        <v>41.4009618858856</v>
      </c>
      <c r="T134" s="27">
        <f t="shared" si="210"/>
        <v>18</v>
      </c>
      <c r="U134" s="25">
        <f t="shared" si="211"/>
        <v>0.871108793429373</v>
      </c>
      <c r="V134" s="25">
        <f t="shared" si="212"/>
        <v>2.17777198357343</v>
      </c>
      <c r="W134" s="25">
        <f t="shared" si="213"/>
        <v>1.77447036012437</v>
      </c>
      <c r="X134" s="24">
        <f t="shared" si="214"/>
        <v>350</v>
      </c>
      <c r="Y134" s="131">
        <f t="shared" si="215"/>
        <v>253.020921552189</v>
      </c>
      <c r="AA134" s="25">
        <f t="shared" si="216"/>
        <v>0.62973928481633</v>
      </c>
      <c r="AB134" s="5">
        <f t="shared" si="217"/>
        <v>1.28279464510203</v>
      </c>
      <c r="AC134" s="5">
        <f t="shared" si="218"/>
        <v>0.0942935111374618</v>
      </c>
      <c r="AD134" s="5"/>
      <c r="AE134" s="5">
        <f t="shared" si="219"/>
        <v>0.611107489733394</v>
      </c>
      <c r="AF134" s="216">
        <f t="shared" si="220"/>
        <v>1962.66666666667</v>
      </c>
      <c r="AG134" s="217">
        <f t="shared" si="221"/>
        <v>0.0213994565217391</v>
      </c>
      <c r="AI134" s="5">
        <f t="shared" si="222"/>
        <v>0.710412355104917</v>
      </c>
      <c r="AJ134" s="5">
        <f t="shared" si="223"/>
        <v>0.871108793429373</v>
      </c>
      <c r="AK134" s="5">
        <f t="shared" si="224"/>
        <v>1.58073919561958</v>
      </c>
      <c r="AM134" s="216">
        <f t="shared" si="225"/>
        <v>120</v>
      </c>
      <c r="AN134" s="220">
        <f t="shared" si="226"/>
        <v>253.020921552189</v>
      </c>
      <c r="AP134" s="220">
        <f t="shared" si="227"/>
        <v>120</v>
      </c>
      <c r="AQ134" s="220">
        <f t="shared" si="228"/>
        <v>253.020921552189</v>
      </c>
      <c r="AS134" s="192">
        <f t="shared" ref="AS134:AS197" si="263">1/AN134*1000</f>
        <v>3.9522423436978</v>
      </c>
      <c r="AT134" s="192">
        <f t="shared" si="229"/>
        <v>2.17777198357343</v>
      </c>
      <c r="AU134" s="192">
        <f t="shared" si="230"/>
        <v>1.77447036012436</v>
      </c>
      <c r="AV134" s="192"/>
      <c r="AW134" s="5">
        <f t="shared" si="231"/>
        <v>0.551021874214288</v>
      </c>
      <c r="AX134" s="5">
        <f t="shared" si="259"/>
        <v>2.4</v>
      </c>
      <c r="AY134" s="5">
        <f t="shared" si="260"/>
        <v>0.130434782608696</v>
      </c>
      <c r="AZ134" s="5">
        <f t="shared" ref="AZ134:AZ197" si="264">AX134/AY134</f>
        <v>18.4</v>
      </c>
      <c r="BA134" s="220">
        <f t="shared" si="232"/>
        <v>5.22063553448612</v>
      </c>
      <c r="BB134" s="220">
        <f t="shared" si="233"/>
        <v>12.5530156568165</v>
      </c>
      <c r="BC134" s="192">
        <f t="shared" si="258"/>
        <v>0.709788144049746</v>
      </c>
      <c r="BD134" s="220">
        <f t="shared" si="235"/>
        <v>4.97872886429848</v>
      </c>
      <c r="BF134" s="5">
        <f t="shared" ref="BF134:BF197" si="265">AJ134*SQRT(AW134/3)</f>
        <v>0.373332836686916</v>
      </c>
      <c r="BG134" s="5">
        <f t="shared" si="261"/>
        <v>0.224776133116716</v>
      </c>
      <c r="BI134" s="217">
        <f t="shared" si="236"/>
        <v>0.0487820924320449</v>
      </c>
      <c r="BJ134" s="217">
        <f t="shared" si="237"/>
        <v>0.0245456</v>
      </c>
      <c r="BK134" s="217">
        <f t="shared" si="238"/>
        <v>0.00316276151940236</v>
      </c>
      <c r="BL134" s="217">
        <f t="shared" si="239"/>
        <v>0.00627590082666667</v>
      </c>
      <c r="BM134">
        <f t="shared" si="240"/>
        <v>0.0029</v>
      </c>
      <c r="BN134">
        <f t="shared" si="241"/>
        <v>3.16276151940236e-6</v>
      </c>
      <c r="BO134" s="217">
        <f t="shared" si="242"/>
        <v>0.109529339123475</v>
      </c>
      <c r="BP134" s="220">
        <f t="shared" si="243"/>
        <v>85.6663547781139</v>
      </c>
      <c r="BQ134" s="217">
        <f t="shared" si="244"/>
        <v>0.111293200922495</v>
      </c>
      <c r="BT134" s="220">
        <f t="shared" si="245"/>
        <v>111.293200922495</v>
      </c>
      <c r="BU134" s="217">
        <f t="shared" si="246"/>
        <v>0.00571447368489669</v>
      </c>
      <c r="BV134" s="217">
        <f t="shared" si="247"/>
        <v>0.00505243100189036</v>
      </c>
      <c r="BW134" s="217">
        <f t="shared" si="248"/>
        <v>0</v>
      </c>
      <c r="BX134" s="217"/>
      <c r="BY134" s="217">
        <f t="shared" si="249"/>
        <v>0.00768</v>
      </c>
      <c r="BZ134" s="220">
        <f t="shared" si="250"/>
        <v>18.4469046867871</v>
      </c>
      <c r="CA134" s="5">
        <f t="shared" si="251"/>
        <v>0.215406460387396</v>
      </c>
      <c r="CB134" s="192">
        <f t="shared" si="252"/>
        <v>2.16</v>
      </c>
      <c r="CC134" s="5">
        <f t="shared" si="253"/>
        <v>0.909318062411825</v>
      </c>
      <c r="CD134" s="192">
        <f t="shared" si="254"/>
        <v>90.9318062411825</v>
      </c>
      <c r="CG134" s="227">
        <f t="shared" si="255"/>
        <v>-50</v>
      </c>
      <c r="CH134">
        <f t="shared" si="256"/>
        <v>-50</v>
      </c>
    </row>
    <row r="135" spans="5:86">
      <c r="E135" s="22">
        <v>25</v>
      </c>
      <c r="F135" s="25">
        <f t="shared" si="257"/>
        <v>0.125</v>
      </c>
      <c r="G135" s="25"/>
      <c r="H135" s="25">
        <f t="shared" si="201"/>
        <v>2.25</v>
      </c>
      <c r="I135" s="212">
        <f t="shared" si="202"/>
        <v>10</v>
      </c>
      <c r="J135" s="131">
        <f t="shared" si="203"/>
        <v>12.2728</v>
      </c>
      <c r="K135" s="131">
        <f t="shared" si="204"/>
        <v>22.2728</v>
      </c>
      <c r="L135" s="131"/>
      <c r="M135" s="25">
        <f t="shared" si="205"/>
        <v>0.551021874214288</v>
      </c>
      <c r="N135" s="27">
        <f t="shared" si="206"/>
        <v>3.74915283215402</v>
      </c>
      <c r="O135" s="27">
        <f t="shared" si="262"/>
        <v>2.25</v>
      </c>
      <c r="P135" s="25">
        <f t="shared" si="207"/>
        <v>0.208286268453001</v>
      </c>
      <c r="Q135" s="25">
        <f t="shared" si="208"/>
        <v>18</v>
      </c>
      <c r="R135" s="25"/>
      <c r="S135" s="27">
        <f t="shared" si="209"/>
        <v>39.1590922858759</v>
      </c>
      <c r="T135" s="27">
        <f t="shared" si="210"/>
        <v>18</v>
      </c>
      <c r="U135" s="25">
        <f t="shared" si="211"/>
        <v>0.907404993155597</v>
      </c>
      <c r="V135" s="25">
        <f t="shared" si="212"/>
        <v>2.26851248288899</v>
      </c>
      <c r="W135" s="25">
        <f t="shared" si="213"/>
        <v>1.84840662512955</v>
      </c>
      <c r="X135" s="24">
        <f t="shared" si="214"/>
        <v>350</v>
      </c>
      <c r="Y135" s="131">
        <f t="shared" si="215"/>
        <v>242.900084690101</v>
      </c>
      <c r="AA135" s="25">
        <f t="shared" si="216"/>
        <v>0.62973928481633</v>
      </c>
      <c r="AB135" s="5">
        <f t="shared" si="217"/>
        <v>1.28279464510203</v>
      </c>
      <c r="AC135" s="5">
        <f t="shared" si="218"/>
        <v>0.0942935111374618</v>
      </c>
      <c r="AD135" s="5"/>
      <c r="AE135" s="5">
        <f t="shared" si="219"/>
        <v>0.611107489733394</v>
      </c>
      <c r="AF135" s="216">
        <f t="shared" si="220"/>
        <v>2044.44444444444</v>
      </c>
      <c r="AG135" s="217">
        <f t="shared" si="221"/>
        <v>0.0213994565217391</v>
      </c>
      <c r="AI135" s="5">
        <f t="shared" si="222"/>
        <v>0.725061573739973</v>
      </c>
      <c r="AJ135" s="5">
        <f t="shared" si="223"/>
        <v>0.907404993155597</v>
      </c>
      <c r="AK135" s="5">
        <f t="shared" si="224"/>
        <v>1.60493666210373</v>
      </c>
      <c r="AM135" s="216">
        <f t="shared" si="225"/>
        <v>125</v>
      </c>
      <c r="AN135" s="220">
        <f t="shared" si="226"/>
        <v>242.900084690101</v>
      </c>
      <c r="AP135" s="220">
        <f t="shared" si="227"/>
        <v>125</v>
      </c>
      <c r="AQ135" s="220">
        <f t="shared" si="228"/>
        <v>242.900084690101</v>
      </c>
      <c r="AS135" s="192">
        <f t="shared" si="263"/>
        <v>4.11691910801854</v>
      </c>
      <c r="AT135" s="192">
        <f t="shared" si="229"/>
        <v>2.26851248288899</v>
      </c>
      <c r="AU135" s="192">
        <f t="shared" si="230"/>
        <v>1.84840662512955</v>
      </c>
      <c r="AV135" s="192"/>
      <c r="AW135" s="5">
        <f t="shared" si="231"/>
        <v>0.551021874214288</v>
      </c>
      <c r="AX135" s="5">
        <f t="shared" si="259"/>
        <v>2.5</v>
      </c>
      <c r="AY135" s="5">
        <f t="shared" si="260"/>
        <v>0.135869565217391</v>
      </c>
      <c r="AZ135" s="5">
        <f t="shared" si="264"/>
        <v>18.4</v>
      </c>
      <c r="BA135" s="220">
        <f t="shared" si="232"/>
        <v>5.22063553448612</v>
      </c>
      <c r="BB135" s="220">
        <f t="shared" si="233"/>
        <v>13.6052687248443</v>
      </c>
      <c r="BC135" s="192">
        <f t="shared" si="258"/>
        <v>0.770169427137311</v>
      </c>
      <c r="BD135" s="220">
        <f t="shared" si="235"/>
        <v>5.37101656282387</v>
      </c>
      <c r="BF135" s="5">
        <f t="shared" si="265"/>
        <v>0.388888371548871</v>
      </c>
      <c r="BG135" s="5">
        <f t="shared" si="261"/>
        <v>0.234141805329912</v>
      </c>
      <c r="BI135" s="217">
        <f t="shared" si="236"/>
        <v>0.0529319579340765</v>
      </c>
      <c r="BJ135" s="217">
        <f t="shared" si="237"/>
        <v>0.0245456</v>
      </c>
      <c r="BK135" s="217">
        <f t="shared" si="238"/>
        <v>0.00303625105862627</v>
      </c>
      <c r="BL135" s="217">
        <f t="shared" si="239"/>
        <v>0.0060248647936</v>
      </c>
      <c r="BM135">
        <f t="shared" si="240"/>
        <v>0.0029</v>
      </c>
      <c r="BN135">
        <f t="shared" si="241"/>
        <v>3.03625105862627e-6</v>
      </c>
      <c r="BO135" s="217">
        <f t="shared" si="242"/>
        <v>0.11550932277461</v>
      </c>
      <c r="BP135" s="220">
        <f t="shared" si="243"/>
        <v>89.4386737863028</v>
      </c>
      <c r="BQ135" s="217">
        <f t="shared" si="244"/>
        <v>0.117321919403749</v>
      </c>
      <c r="BT135" s="220">
        <f t="shared" si="245"/>
        <v>117.321919403749</v>
      </c>
      <c r="BU135" s="217">
        <f t="shared" si="246"/>
        <v>0.00620060078656325</v>
      </c>
      <c r="BV135" s="217">
        <f t="shared" si="247"/>
        <v>0.00548223850031506</v>
      </c>
      <c r="BW135" s="217">
        <f t="shared" si="248"/>
        <v>0</v>
      </c>
      <c r="BX135" s="217"/>
      <c r="BY135" s="217">
        <f t="shared" si="249"/>
        <v>0.00800000000000001</v>
      </c>
      <c r="BZ135" s="220">
        <f t="shared" si="250"/>
        <v>19.6828392868783</v>
      </c>
      <c r="CA135" s="5">
        <f t="shared" si="251"/>
        <v>0.22644343247693</v>
      </c>
      <c r="CB135" s="192">
        <f t="shared" si="252"/>
        <v>2.25</v>
      </c>
      <c r="CC135" s="5">
        <f t="shared" si="253"/>
        <v>0.908561031716988</v>
      </c>
      <c r="CD135" s="192">
        <f t="shared" si="254"/>
        <v>90.8561031716988</v>
      </c>
      <c r="CG135" s="227">
        <f t="shared" si="255"/>
        <v>-50</v>
      </c>
      <c r="CH135">
        <f t="shared" si="256"/>
        <v>-50</v>
      </c>
    </row>
    <row r="136" spans="5:86">
      <c r="E136" s="22">
        <v>26</v>
      </c>
      <c r="F136" s="25">
        <f t="shared" si="257"/>
        <v>0.13</v>
      </c>
      <c r="G136" s="25"/>
      <c r="H136" s="25">
        <f t="shared" si="201"/>
        <v>2.34</v>
      </c>
      <c r="I136" s="212">
        <f t="shared" si="202"/>
        <v>10</v>
      </c>
      <c r="J136" s="131">
        <f t="shared" si="203"/>
        <v>12.2728</v>
      </c>
      <c r="K136" s="131">
        <f t="shared" si="204"/>
        <v>22.2728</v>
      </c>
      <c r="L136" s="131"/>
      <c r="M136" s="25">
        <f t="shared" si="205"/>
        <v>0.551021874214288</v>
      </c>
      <c r="N136" s="27">
        <f t="shared" si="206"/>
        <v>3.74915283215402</v>
      </c>
      <c r="O136" s="27">
        <f t="shared" si="262"/>
        <v>2.34</v>
      </c>
      <c r="P136" s="25">
        <f t="shared" si="207"/>
        <v>0.208286268453001</v>
      </c>
      <c r="Q136" s="25">
        <f t="shared" si="208"/>
        <v>18</v>
      </c>
      <c r="R136" s="25"/>
      <c r="S136" s="27">
        <f t="shared" si="209"/>
        <v>37.0905335949345</v>
      </c>
      <c r="T136" s="27">
        <f t="shared" si="210"/>
        <v>18</v>
      </c>
      <c r="U136" s="25">
        <f t="shared" si="211"/>
        <v>0.94370119288182</v>
      </c>
      <c r="V136" s="25">
        <f t="shared" si="212"/>
        <v>2.35925298220455</v>
      </c>
      <c r="W136" s="25">
        <f t="shared" si="213"/>
        <v>1.92234289013473</v>
      </c>
      <c r="X136" s="24">
        <f t="shared" si="214"/>
        <v>350</v>
      </c>
      <c r="Y136" s="131">
        <f t="shared" si="215"/>
        <v>233.557773740482</v>
      </c>
      <c r="AA136" s="25">
        <f t="shared" si="216"/>
        <v>0.62973928481633</v>
      </c>
      <c r="AB136" s="5">
        <f t="shared" si="217"/>
        <v>1.28279464510203</v>
      </c>
      <c r="AC136" s="5">
        <f t="shared" si="218"/>
        <v>0.0942935111374618</v>
      </c>
      <c r="AD136" s="5"/>
      <c r="AE136" s="5">
        <f t="shared" si="219"/>
        <v>0.611107489733394</v>
      </c>
      <c r="AF136" s="216">
        <f t="shared" si="220"/>
        <v>2126.22222222222</v>
      </c>
      <c r="AG136" s="217">
        <f t="shared" si="221"/>
        <v>0.0213994565217391</v>
      </c>
      <c r="AI136" s="5">
        <f t="shared" si="222"/>
        <v>0.739420622611283</v>
      </c>
      <c r="AJ136" s="5">
        <f t="shared" si="223"/>
        <v>0.94370119288182</v>
      </c>
      <c r="AK136" s="5">
        <f t="shared" si="224"/>
        <v>1.62913412858788</v>
      </c>
      <c r="AM136" s="216">
        <f t="shared" si="225"/>
        <v>130</v>
      </c>
      <c r="AN136" s="220">
        <f t="shared" si="226"/>
        <v>233.557773740482</v>
      </c>
      <c r="AP136" s="220">
        <f t="shared" si="227"/>
        <v>130</v>
      </c>
      <c r="AQ136" s="220">
        <f t="shared" si="228"/>
        <v>233.557773740482</v>
      </c>
      <c r="AS136" s="192">
        <f t="shared" si="263"/>
        <v>4.28159587233928</v>
      </c>
      <c r="AT136" s="192">
        <f t="shared" si="229"/>
        <v>2.35925298220455</v>
      </c>
      <c r="AU136" s="192">
        <f t="shared" si="230"/>
        <v>1.92234289013473</v>
      </c>
      <c r="AV136" s="192"/>
      <c r="AW136" s="5">
        <f t="shared" si="231"/>
        <v>0.551021874214288</v>
      </c>
      <c r="AX136" s="5">
        <f t="shared" si="259"/>
        <v>2.6</v>
      </c>
      <c r="AY136" s="5">
        <f t="shared" si="260"/>
        <v>0.141304347826087</v>
      </c>
      <c r="AZ136" s="5">
        <f t="shared" si="264"/>
        <v>18.4</v>
      </c>
      <c r="BA136" s="220">
        <f t="shared" si="232"/>
        <v>5.22063553448612</v>
      </c>
      <c r="BB136" s="220">
        <f t="shared" si="233"/>
        <v>14.6998586527916</v>
      </c>
      <c r="BC136" s="192">
        <f t="shared" si="258"/>
        <v>0.833015252391717</v>
      </c>
      <c r="BD136" s="220">
        <f t="shared" si="235"/>
        <v>5.7780915143503</v>
      </c>
      <c r="BF136" s="5">
        <f t="shared" si="265"/>
        <v>0.404443906410826</v>
      </c>
      <c r="BG136" s="5">
        <f t="shared" si="261"/>
        <v>0.243507477543109</v>
      </c>
      <c r="BI136" s="217">
        <f t="shared" si="236"/>
        <v>0.0572512057014971</v>
      </c>
      <c r="BJ136" s="217">
        <f t="shared" si="237"/>
        <v>0.0245456</v>
      </c>
      <c r="BK136" s="217">
        <f t="shared" si="238"/>
        <v>0.00291947217175603</v>
      </c>
      <c r="BL136" s="217">
        <f t="shared" si="239"/>
        <v>0.00579313922461538</v>
      </c>
      <c r="BM136">
        <f t="shared" si="240"/>
        <v>0.0029</v>
      </c>
      <c r="BN136">
        <f t="shared" si="241"/>
        <v>2.91947217175603e-6</v>
      </c>
      <c r="BO136" s="217">
        <f t="shared" si="242"/>
        <v>0.121809971353562</v>
      </c>
      <c r="BP136" s="220">
        <f t="shared" si="243"/>
        <v>93.4094170978685</v>
      </c>
      <c r="BQ136" s="217">
        <f t="shared" si="244"/>
        <v>0.123461958027095</v>
      </c>
      <c r="BT136" s="220">
        <f t="shared" si="245"/>
        <v>123.461958027095</v>
      </c>
      <c r="BU136" s="217">
        <f t="shared" si="246"/>
        <v>0.00670656981074681</v>
      </c>
      <c r="BV136" s="217">
        <f t="shared" si="247"/>
        <v>0.00592958916194078</v>
      </c>
      <c r="BW136" s="217">
        <f t="shared" si="248"/>
        <v>0</v>
      </c>
      <c r="BX136" s="217"/>
      <c r="BY136" s="217">
        <f t="shared" si="249"/>
        <v>0.00832</v>
      </c>
      <c r="BZ136" s="220">
        <f t="shared" si="250"/>
        <v>20.9561589726876</v>
      </c>
      <c r="CA136" s="5">
        <f t="shared" si="251"/>
        <v>0.237827534097651</v>
      </c>
      <c r="CB136" s="192">
        <f t="shared" si="252"/>
        <v>2.34</v>
      </c>
      <c r="CC136" s="5">
        <f t="shared" si="253"/>
        <v>0.907741099452217</v>
      </c>
      <c r="CD136" s="192">
        <f t="shared" si="254"/>
        <v>90.7741099452217</v>
      </c>
      <c r="CG136" s="227">
        <f t="shared" si="255"/>
        <v>-50</v>
      </c>
      <c r="CH136">
        <f t="shared" si="256"/>
        <v>-50</v>
      </c>
    </row>
    <row r="137" spans="5:86">
      <c r="E137" s="22">
        <v>27</v>
      </c>
      <c r="F137" s="25">
        <f t="shared" si="257"/>
        <v>0.135</v>
      </c>
      <c r="G137" s="25"/>
      <c r="H137" s="25">
        <f t="shared" si="201"/>
        <v>2.43</v>
      </c>
      <c r="I137" s="212">
        <f t="shared" si="202"/>
        <v>10</v>
      </c>
      <c r="J137" s="131">
        <f t="shared" si="203"/>
        <v>12.2728</v>
      </c>
      <c r="K137" s="131">
        <f t="shared" si="204"/>
        <v>22.2728</v>
      </c>
      <c r="L137" s="131"/>
      <c r="M137" s="25">
        <f t="shared" si="205"/>
        <v>0.551021874214288</v>
      </c>
      <c r="N137" s="27">
        <f t="shared" si="206"/>
        <v>3.74915283215402</v>
      </c>
      <c r="O137" s="27">
        <f t="shared" si="262"/>
        <v>2.43</v>
      </c>
      <c r="P137" s="25">
        <f t="shared" si="207"/>
        <v>0.208286268453001</v>
      </c>
      <c r="Q137" s="25">
        <f t="shared" si="208"/>
        <v>18</v>
      </c>
      <c r="R137" s="25"/>
      <c r="S137" s="27">
        <f t="shared" si="209"/>
        <v>35.1760646855179</v>
      </c>
      <c r="T137" s="27">
        <f t="shared" si="210"/>
        <v>18</v>
      </c>
      <c r="U137" s="25">
        <f t="shared" si="211"/>
        <v>0.979997392608044</v>
      </c>
      <c r="V137" s="25">
        <f t="shared" si="212"/>
        <v>2.44999348152011</v>
      </c>
      <c r="W137" s="25">
        <f t="shared" si="213"/>
        <v>1.99627915513991</v>
      </c>
      <c r="X137" s="24">
        <f t="shared" si="214"/>
        <v>350</v>
      </c>
      <c r="Y137" s="131">
        <f t="shared" si="215"/>
        <v>224.907485824168</v>
      </c>
      <c r="AA137" s="25">
        <f t="shared" si="216"/>
        <v>0.62973928481633</v>
      </c>
      <c r="AB137" s="5">
        <f t="shared" si="217"/>
        <v>1.28279464510203</v>
      </c>
      <c r="AC137" s="5">
        <f t="shared" si="218"/>
        <v>0.0942935111374618</v>
      </c>
      <c r="AD137" s="5"/>
      <c r="AE137" s="5">
        <f t="shared" si="219"/>
        <v>0.611107489733394</v>
      </c>
      <c r="AF137" s="216">
        <f t="shared" si="220"/>
        <v>2208</v>
      </c>
      <c r="AG137" s="217">
        <f t="shared" si="221"/>
        <v>0.0213994565217391</v>
      </c>
      <c r="AI137" s="5">
        <f t="shared" si="222"/>
        <v>0.753506090600088</v>
      </c>
      <c r="AJ137" s="5">
        <f t="shared" si="223"/>
        <v>0.979997392608044</v>
      </c>
      <c r="AK137" s="5">
        <f t="shared" si="224"/>
        <v>1.65333159507203</v>
      </c>
      <c r="AM137" s="216">
        <f t="shared" si="225"/>
        <v>135</v>
      </c>
      <c r="AN137" s="220">
        <f t="shared" si="226"/>
        <v>224.907485824168</v>
      </c>
      <c r="AP137" s="220">
        <f t="shared" si="227"/>
        <v>135</v>
      </c>
      <c r="AQ137" s="220">
        <f t="shared" si="228"/>
        <v>224.907485824168</v>
      </c>
      <c r="AS137" s="192">
        <f t="shared" si="263"/>
        <v>4.44627263666002</v>
      </c>
      <c r="AT137" s="192">
        <f t="shared" si="229"/>
        <v>2.44999348152011</v>
      </c>
      <c r="AU137" s="192">
        <f t="shared" si="230"/>
        <v>1.99627915513991</v>
      </c>
      <c r="AV137" s="192"/>
      <c r="AW137" s="5">
        <f t="shared" si="231"/>
        <v>0.551021874214288</v>
      </c>
      <c r="AX137" s="5">
        <f t="shared" si="259"/>
        <v>2.7</v>
      </c>
      <c r="AY137" s="5">
        <f t="shared" si="260"/>
        <v>0.146739130434783</v>
      </c>
      <c r="AZ137" s="5">
        <f t="shared" si="264"/>
        <v>18.4</v>
      </c>
      <c r="BA137" s="220">
        <f t="shared" si="232"/>
        <v>5.22063553448612</v>
      </c>
      <c r="BB137" s="220">
        <f t="shared" si="233"/>
        <v>15.8367854406584</v>
      </c>
      <c r="BC137" s="192">
        <f t="shared" si="258"/>
        <v>0.898325619812961</v>
      </c>
      <c r="BD137" s="220">
        <f t="shared" si="235"/>
        <v>6.19995371887777</v>
      </c>
      <c r="BF137" s="5">
        <f t="shared" si="265"/>
        <v>0.419999441272781</v>
      </c>
      <c r="BG137" s="5">
        <f t="shared" si="261"/>
        <v>0.252873149756306</v>
      </c>
      <c r="BI137" s="217">
        <f t="shared" si="236"/>
        <v>0.0617398357343068</v>
      </c>
      <c r="BJ137" s="217">
        <f t="shared" si="237"/>
        <v>0.0245456</v>
      </c>
      <c r="BK137" s="217">
        <f t="shared" si="238"/>
        <v>0.0028113435728021</v>
      </c>
      <c r="BL137" s="217">
        <f t="shared" si="239"/>
        <v>0.00557857851259259</v>
      </c>
      <c r="BM137">
        <f t="shared" si="240"/>
        <v>0.0029</v>
      </c>
      <c r="BN137">
        <f t="shared" si="241"/>
        <v>2.8113435728021e-6</v>
      </c>
      <c r="BO137" s="217">
        <f t="shared" si="242"/>
        <v>0.12843222780397</v>
      </c>
      <c r="BP137" s="220">
        <f t="shared" si="243"/>
        <v>97.5753578197015</v>
      </c>
      <c r="BQ137" s="217">
        <f t="shared" si="244"/>
        <v>0.129713316792533</v>
      </c>
      <c r="BT137" s="220">
        <f t="shared" si="245"/>
        <v>129.713316792533</v>
      </c>
      <c r="BU137" s="217">
        <f t="shared" si="246"/>
        <v>0.00723238075744737</v>
      </c>
      <c r="BV137" s="217">
        <f t="shared" si="247"/>
        <v>0.0063944829867675</v>
      </c>
      <c r="BW137" s="217">
        <f t="shared" si="248"/>
        <v>0</v>
      </c>
      <c r="BX137" s="217"/>
      <c r="BY137" s="217">
        <f t="shared" si="249"/>
        <v>0.00864</v>
      </c>
      <c r="BZ137" s="220">
        <f t="shared" si="250"/>
        <v>22.2668637442149</v>
      </c>
      <c r="CA137" s="5">
        <f t="shared" si="251"/>
        <v>0.24955553835645</v>
      </c>
      <c r="CB137" s="192">
        <f t="shared" si="252"/>
        <v>2.43</v>
      </c>
      <c r="CC137" s="5">
        <f t="shared" si="253"/>
        <v>0.906866816237174</v>
      </c>
      <c r="CD137" s="192">
        <f t="shared" si="254"/>
        <v>90.6866816237174</v>
      </c>
      <c r="CG137" s="227">
        <f t="shared" si="255"/>
        <v>-50</v>
      </c>
      <c r="CH137">
        <f t="shared" si="256"/>
        <v>-50</v>
      </c>
    </row>
    <row r="138" spans="5:86">
      <c r="E138" s="22">
        <v>28</v>
      </c>
      <c r="F138" s="25">
        <f t="shared" si="257"/>
        <v>0.14</v>
      </c>
      <c r="G138" s="25"/>
      <c r="H138" s="25">
        <f t="shared" si="201"/>
        <v>2.52</v>
      </c>
      <c r="I138" s="212">
        <f t="shared" si="202"/>
        <v>10</v>
      </c>
      <c r="J138" s="131">
        <f t="shared" si="203"/>
        <v>12.2728</v>
      </c>
      <c r="K138" s="131">
        <f t="shared" si="204"/>
        <v>22.2728</v>
      </c>
      <c r="L138" s="131"/>
      <c r="M138" s="25">
        <f t="shared" si="205"/>
        <v>0.551021874214288</v>
      </c>
      <c r="N138" s="27">
        <f t="shared" si="206"/>
        <v>3.74915283215402</v>
      </c>
      <c r="O138" s="27">
        <f t="shared" si="262"/>
        <v>2.52</v>
      </c>
      <c r="P138" s="25">
        <f t="shared" si="207"/>
        <v>0.208286268453001</v>
      </c>
      <c r="Q138" s="25">
        <f t="shared" si="208"/>
        <v>18</v>
      </c>
      <c r="R138" s="25"/>
      <c r="S138" s="27">
        <f t="shared" si="209"/>
        <v>33.3992121816047</v>
      </c>
      <c r="T138" s="27">
        <f t="shared" si="210"/>
        <v>18</v>
      </c>
      <c r="U138" s="25">
        <f t="shared" si="211"/>
        <v>1.01629359233427</v>
      </c>
      <c r="V138" s="25">
        <f t="shared" si="212"/>
        <v>2.54073398083567</v>
      </c>
      <c r="W138" s="25">
        <f t="shared" si="213"/>
        <v>2.07021542014509</v>
      </c>
      <c r="X138" s="24">
        <f t="shared" si="214"/>
        <v>350</v>
      </c>
      <c r="Y138" s="131">
        <f t="shared" si="215"/>
        <v>216.875075616162</v>
      </c>
      <c r="AA138" s="25">
        <f t="shared" si="216"/>
        <v>0.62973928481633</v>
      </c>
      <c r="AB138" s="5">
        <f t="shared" si="217"/>
        <v>1.28279464510203</v>
      </c>
      <c r="AC138" s="5">
        <f t="shared" si="218"/>
        <v>0.0942935111374618</v>
      </c>
      <c r="AD138" s="5"/>
      <c r="AE138" s="5">
        <f t="shared" si="219"/>
        <v>0.611107489733394</v>
      </c>
      <c r="AF138" s="216">
        <f t="shared" si="220"/>
        <v>2289.77777777778</v>
      </c>
      <c r="AG138" s="217">
        <f t="shared" si="221"/>
        <v>0.0213994565217391</v>
      </c>
      <c r="AI138" s="5">
        <f t="shared" si="222"/>
        <v>0.767333043730035</v>
      </c>
      <c r="AJ138" s="5">
        <f t="shared" si="223"/>
        <v>1.01629359233427</v>
      </c>
      <c r="AK138" s="5">
        <f t="shared" si="224"/>
        <v>1.67752906155618</v>
      </c>
      <c r="AM138" s="216">
        <f t="shared" si="225"/>
        <v>140</v>
      </c>
      <c r="AN138" s="220">
        <f t="shared" si="226"/>
        <v>216.875075616162</v>
      </c>
      <c r="AP138" s="220">
        <f t="shared" si="227"/>
        <v>140</v>
      </c>
      <c r="AQ138" s="220">
        <f t="shared" si="228"/>
        <v>216.875075616162</v>
      </c>
      <c r="AS138" s="192">
        <f t="shared" si="263"/>
        <v>4.61094940098076</v>
      </c>
      <c r="AT138" s="192">
        <f t="shared" si="229"/>
        <v>2.54073398083567</v>
      </c>
      <c r="AU138" s="192">
        <f t="shared" si="230"/>
        <v>2.07021542014509</v>
      </c>
      <c r="AV138" s="192"/>
      <c r="AW138" s="5">
        <f t="shared" si="231"/>
        <v>0.551021874214288</v>
      </c>
      <c r="AX138" s="5">
        <f t="shared" si="259"/>
        <v>2.8</v>
      </c>
      <c r="AY138" s="5">
        <f t="shared" si="260"/>
        <v>0.152173913043478</v>
      </c>
      <c r="AZ138" s="5">
        <f t="shared" si="264"/>
        <v>18.4</v>
      </c>
      <c r="BA138" s="220">
        <f t="shared" si="232"/>
        <v>5.22063553448612</v>
      </c>
      <c r="BB138" s="220">
        <f t="shared" si="233"/>
        <v>17.0160490884447</v>
      </c>
      <c r="BC138" s="192">
        <f t="shared" si="258"/>
        <v>0.966100529401044</v>
      </c>
      <c r="BD138" s="220">
        <f t="shared" si="235"/>
        <v>6.63660317640626</v>
      </c>
      <c r="BF138" s="5">
        <f t="shared" si="265"/>
        <v>0.435554976134736</v>
      </c>
      <c r="BG138" s="5">
        <f t="shared" si="261"/>
        <v>0.262238821969502</v>
      </c>
      <c r="BI138" s="217">
        <f t="shared" si="236"/>
        <v>0.0663978480325055</v>
      </c>
      <c r="BJ138" s="217">
        <f t="shared" si="237"/>
        <v>0.0245456</v>
      </c>
      <c r="BK138" s="217">
        <f t="shared" si="238"/>
        <v>0.00271093844520202</v>
      </c>
      <c r="BL138" s="217">
        <f t="shared" si="239"/>
        <v>0.00537934356571428</v>
      </c>
      <c r="BM138">
        <f t="shared" si="240"/>
        <v>0.0029</v>
      </c>
      <c r="BN138">
        <f t="shared" si="241"/>
        <v>2.71093844520202e-6</v>
      </c>
      <c r="BO138" s="217">
        <f t="shared" si="242"/>
        <v>0.135377714790957</v>
      </c>
      <c r="BP138" s="220">
        <f t="shared" si="243"/>
        <v>101.933730043422</v>
      </c>
      <c r="BQ138" s="217">
        <f t="shared" si="244"/>
        <v>0.136075995700063</v>
      </c>
      <c r="BT138" s="220">
        <f t="shared" si="245"/>
        <v>136.075995700063</v>
      </c>
      <c r="BU138" s="217">
        <f t="shared" si="246"/>
        <v>0.00777803362666494</v>
      </c>
      <c r="BV138" s="217">
        <f t="shared" si="247"/>
        <v>0.00687691997479522</v>
      </c>
      <c r="BW138" s="217">
        <f t="shared" si="248"/>
        <v>0</v>
      </c>
      <c r="BX138" s="217"/>
      <c r="BY138" s="217">
        <f t="shared" si="249"/>
        <v>0.00896000000000001</v>
      </c>
      <c r="BZ138" s="220">
        <f t="shared" si="250"/>
        <v>23.6149536014602</v>
      </c>
      <c r="CA138" s="5">
        <f t="shared" si="251"/>
        <v>0.261624679344945</v>
      </c>
      <c r="CB138" s="192">
        <f t="shared" si="252"/>
        <v>2.52</v>
      </c>
      <c r="CC138" s="5">
        <f t="shared" si="253"/>
        <v>0.905945370240763</v>
      </c>
      <c r="CD138" s="192">
        <f t="shared" si="254"/>
        <v>90.5945370240763</v>
      </c>
      <c r="CG138" s="227">
        <f t="shared" si="255"/>
        <v>-50</v>
      </c>
      <c r="CH138">
        <f t="shared" si="256"/>
        <v>-50</v>
      </c>
    </row>
    <row r="139" spans="5:86">
      <c r="E139" s="22">
        <v>29</v>
      </c>
      <c r="F139" s="25">
        <f t="shared" si="257"/>
        <v>0.145</v>
      </c>
      <c r="G139" s="25"/>
      <c r="H139" s="25">
        <f t="shared" si="201"/>
        <v>2.61</v>
      </c>
      <c r="I139" s="212">
        <f t="shared" si="202"/>
        <v>10</v>
      </c>
      <c r="J139" s="131">
        <f t="shared" si="203"/>
        <v>12.2728</v>
      </c>
      <c r="K139" s="131">
        <f t="shared" si="204"/>
        <v>22.2728</v>
      </c>
      <c r="L139" s="131"/>
      <c r="M139" s="25">
        <f t="shared" si="205"/>
        <v>0.551021874214288</v>
      </c>
      <c r="N139" s="27">
        <f t="shared" si="206"/>
        <v>3.74915283215402</v>
      </c>
      <c r="O139" s="27">
        <f t="shared" si="262"/>
        <v>2.61</v>
      </c>
      <c r="P139" s="25">
        <f t="shared" si="207"/>
        <v>0.208286268453001</v>
      </c>
      <c r="Q139" s="25">
        <f t="shared" si="208"/>
        <v>18</v>
      </c>
      <c r="R139" s="25"/>
      <c r="S139" s="27">
        <f t="shared" si="209"/>
        <v>31.7457768240167</v>
      </c>
      <c r="T139" s="27">
        <f t="shared" si="210"/>
        <v>18</v>
      </c>
      <c r="U139" s="25">
        <f t="shared" si="211"/>
        <v>1.05258979206049</v>
      </c>
      <c r="V139" s="25">
        <f t="shared" si="212"/>
        <v>2.63147448015123</v>
      </c>
      <c r="W139" s="25">
        <f t="shared" si="213"/>
        <v>2.14415168515027</v>
      </c>
      <c r="X139" s="24">
        <f t="shared" si="214"/>
        <v>350</v>
      </c>
      <c r="Y139" s="131">
        <f t="shared" si="215"/>
        <v>209.396624732846</v>
      </c>
      <c r="AA139" s="25">
        <f t="shared" si="216"/>
        <v>0.62973928481633</v>
      </c>
      <c r="AB139" s="5">
        <f t="shared" si="217"/>
        <v>1.28279464510203</v>
      </c>
      <c r="AC139" s="5">
        <f t="shared" si="218"/>
        <v>0.0942935111374618</v>
      </c>
      <c r="AD139" s="5"/>
      <c r="AE139" s="5">
        <f t="shared" si="219"/>
        <v>0.611107489733394</v>
      </c>
      <c r="AF139" s="216">
        <f t="shared" si="220"/>
        <v>2371.55555555556</v>
      </c>
      <c r="AG139" s="217">
        <f t="shared" si="221"/>
        <v>0.0213994565217391</v>
      </c>
      <c r="AI139" s="5">
        <f t="shared" si="222"/>
        <v>0.780915213982012</v>
      </c>
      <c r="AJ139" s="5">
        <f t="shared" si="223"/>
        <v>1.05258979206049</v>
      </c>
      <c r="AK139" s="5">
        <f t="shared" si="224"/>
        <v>1.70172652804033</v>
      </c>
      <c r="AM139" s="216">
        <f t="shared" si="225"/>
        <v>145</v>
      </c>
      <c r="AN139" s="220">
        <f t="shared" si="226"/>
        <v>209.396624732846</v>
      </c>
      <c r="AP139" s="220">
        <f t="shared" si="227"/>
        <v>145</v>
      </c>
      <c r="AQ139" s="220">
        <f t="shared" si="228"/>
        <v>209.396624732846</v>
      </c>
      <c r="AS139" s="192">
        <f t="shared" si="263"/>
        <v>4.7756261653015</v>
      </c>
      <c r="AT139" s="192">
        <f t="shared" si="229"/>
        <v>2.63147448015123</v>
      </c>
      <c r="AU139" s="192">
        <f t="shared" si="230"/>
        <v>2.14415168515027</v>
      </c>
      <c r="AV139" s="192"/>
      <c r="AW139" s="5">
        <f t="shared" si="231"/>
        <v>0.551021874214288</v>
      </c>
      <c r="AX139" s="5">
        <f t="shared" si="259"/>
        <v>2.9</v>
      </c>
      <c r="AY139" s="5">
        <f t="shared" si="260"/>
        <v>0.157608695652174</v>
      </c>
      <c r="AZ139" s="5">
        <f t="shared" si="264"/>
        <v>18.4</v>
      </c>
      <c r="BA139" s="220">
        <f t="shared" si="232"/>
        <v>5.22063553448612</v>
      </c>
      <c r="BB139" s="220">
        <f t="shared" si="233"/>
        <v>18.2376495961505</v>
      </c>
      <c r="BC139" s="192">
        <f t="shared" si="258"/>
        <v>1.03633998115597</v>
      </c>
      <c r="BD139" s="220">
        <f t="shared" si="235"/>
        <v>7.08803988693579</v>
      </c>
      <c r="BF139" s="5">
        <f t="shared" si="265"/>
        <v>0.451110510996691</v>
      </c>
      <c r="BG139" s="5">
        <f t="shared" si="261"/>
        <v>0.271604494182698</v>
      </c>
      <c r="BI139" s="217">
        <f t="shared" si="236"/>
        <v>0.0712252425960933</v>
      </c>
      <c r="BJ139" s="217">
        <f t="shared" si="237"/>
        <v>0.0245456</v>
      </c>
      <c r="BK139" s="217">
        <f t="shared" si="238"/>
        <v>0.00261745780916058</v>
      </c>
      <c r="BL139" s="217">
        <f t="shared" si="239"/>
        <v>0.00519384896</v>
      </c>
      <c r="BM139">
        <f t="shared" si="240"/>
        <v>0.0029</v>
      </c>
      <c r="BN139">
        <f t="shared" si="241"/>
        <v>2.61745780916058e-6</v>
      </c>
      <c r="BO139" s="217">
        <f t="shared" si="242"/>
        <v>0.142648662425739</v>
      </c>
      <c r="BP139" s="220">
        <f t="shared" si="243"/>
        <v>106.482149365254</v>
      </c>
      <c r="BQ139" s="217">
        <f t="shared" si="244"/>
        <v>0.142549994749685</v>
      </c>
      <c r="BT139" s="220">
        <f t="shared" si="245"/>
        <v>142.549994749685</v>
      </c>
      <c r="BU139" s="217">
        <f t="shared" si="246"/>
        <v>0.00834352841839951</v>
      </c>
      <c r="BV139" s="217">
        <f t="shared" si="247"/>
        <v>0.00737690012602395</v>
      </c>
      <c r="BW139" s="217">
        <f t="shared" si="248"/>
        <v>0</v>
      </c>
      <c r="BX139" s="217"/>
      <c r="BY139" s="217">
        <f t="shared" si="249"/>
        <v>0.00928</v>
      </c>
      <c r="BZ139" s="220">
        <f t="shared" si="250"/>
        <v>25.0004285444235</v>
      </c>
      <c r="CA139" s="5">
        <f t="shared" si="251"/>
        <v>0.274032572659362</v>
      </c>
      <c r="CB139" s="192">
        <f t="shared" si="252"/>
        <v>2.61</v>
      </c>
      <c r="CC139" s="5">
        <f t="shared" si="253"/>
        <v>0.90498284407146</v>
      </c>
      <c r="CD139" s="192">
        <f t="shared" si="254"/>
        <v>90.498284407146</v>
      </c>
      <c r="CG139" s="227">
        <f t="shared" si="255"/>
        <v>-50</v>
      </c>
      <c r="CH139">
        <f t="shared" si="256"/>
        <v>-50</v>
      </c>
    </row>
    <row r="140" spans="5:86">
      <c r="E140" s="22">
        <v>30</v>
      </c>
      <c r="F140" s="25">
        <f t="shared" si="257"/>
        <v>0.15</v>
      </c>
      <c r="G140" s="25"/>
      <c r="H140" s="25">
        <f t="shared" si="201"/>
        <v>2.7</v>
      </c>
      <c r="I140" s="212">
        <f t="shared" si="202"/>
        <v>10</v>
      </c>
      <c r="J140" s="131">
        <f t="shared" si="203"/>
        <v>12.2728</v>
      </c>
      <c r="K140" s="131">
        <f t="shared" si="204"/>
        <v>22.2728</v>
      </c>
      <c r="L140" s="131"/>
      <c r="M140" s="25">
        <f t="shared" si="205"/>
        <v>0.551021874214288</v>
      </c>
      <c r="N140" s="27">
        <f t="shared" si="206"/>
        <v>3.74915283215402</v>
      </c>
      <c r="O140" s="27">
        <f t="shared" si="262"/>
        <v>2.7</v>
      </c>
      <c r="P140" s="25">
        <f t="shared" si="207"/>
        <v>0.208286268453001</v>
      </c>
      <c r="Q140" s="25">
        <f t="shared" si="208"/>
        <v>18</v>
      </c>
      <c r="R140" s="25"/>
      <c r="S140" s="27">
        <f t="shared" si="209"/>
        <v>30.2034545704179</v>
      </c>
      <c r="T140" s="27">
        <f t="shared" si="210"/>
        <v>18</v>
      </c>
      <c r="U140" s="25">
        <f t="shared" si="211"/>
        <v>1.08888599178672</v>
      </c>
      <c r="V140" s="25">
        <f t="shared" si="212"/>
        <v>2.72221497946679</v>
      </c>
      <c r="W140" s="25">
        <f t="shared" si="213"/>
        <v>2.21808795015546</v>
      </c>
      <c r="X140" s="24">
        <f t="shared" si="214"/>
        <v>350</v>
      </c>
      <c r="Y140" s="131">
        <f t="shared" si="215"/>
        <v>202.416737241751</v>
      </c>
      <c r="AA140" s="25">
        <f t="shared" si="216"/>
        <v>0.62973928481633</v>
      </c>
      <c r="AB140" s="5">
        <f t="shared" si="217"/>
        <v>1.28279464510203</v>
      </c>
      <c r="AC140" s="5">
        <f t="shared" si="218"/>
        <v>0.0942935111374618</v>
      </c>
      <c r="AD140" s="5"/>
      <c r="AE140" s="5">
        <f t="shared" si="219"/>
        <v>0.611107489733394</v>
      </c>
      <c r="AF140" s="216">
        <f t="shared" si="220"/>
        <v>2453.33333333333</v>
      </c>
      <c r="AG140" s="217">
        <f t="shared" si="221"/>
        <v>0.0213994565217391</v>
      </c>
      <c r="AI140" s="5">
        <f t="shared" si="222"/>
        <v>0.794265159035157</v>
      </c>
      <c r="AJ140" s="5">
        <f t="shared" si="223"/>
        <v>1.08888599178672</v>
      </c>
      <c r="AK140" s="5">
        <f t="shared" si="224"/>
        <v>1.72592399452448</v>
      </c>
      <c r="AM140" s="216">
        <f t="shared" si="225"/>
        <v>150</v>
      </c>
      <c r="AN140" s="220">
        <f t="shared" si="226"/>
        <v>202.416737241751</v>
      </c>
      <c r="AP140" s="220">
        <f t="shared" si="227"/>
        <v>150</v>
      </c>
      <c r="AQ140" s="220">
        <f t="shared" si="228"/>
        <v>202.416737241751</v>
      </c>
      <c r="AS140" s="192">
        <f t="shared" si="263"/>
        <v>4.94030292962225</v>
      </c>
      <c r="AT140" s="192">
        <f t="shared" si="229"/>
        <v>2.72221497946679</v>
      </c>
      <c r="AU140" s="192">
        <f t="shared" si="230"/>
        <v>2.21808795015546</v>
      </c>
      <c r="AV140" s="192"/>
      <c r="AW140" s="5">
        <f t="shared" si="231"/>
        <v>0.551021874214288</v>
      </c>
      <c r="AX140" s="5">
        <f t="shared" si="259"/>
        <v>3</v>
      </c>
      <c r="AY140" s="5">
        <f t="shared" si="260"/>
        <v>0.16304347826087</v>
      </c>
      <c r="AZ140" s="5">
        <f t="shared" si="264"/>
        <v>18.4</v>
      </c>
      <c r="BA140" s="220">
        <f t="shared" si="232"/>
        <v>5.22063553448612</v>
      </c>
      <c r="BB140" s="220">
        <f t="shared" si="233"/>
        <v>19.5015869637758</v>
      </c>
      <c r="BC140" s="192">
        <f t="shared" si="258"/>
        <v>1.10904397507773</v>
      </c>
      <c r="BD140" s="220">
        <f t="shared" si="235"/>
        <v>7.55426385046637</v>
      </c>
      <c r="BF140" s="5">
        <f t="shared" si="265"/>
        <v>0.466666045858645</v>
      </c>
      <c r="BG140" s="5">
        <f t="shared" si="261"/>
        <v>0.280970166395895</v>
      </c>
      <c r="BI140" s="217">
        <f t="shared" si="236"/>
        <v>0.0762220194250701</v>
      </c>
      <c r="BJ140" s="217">
        <f t="shared" si="237"/>
        <v>0.0245456</v>
      </c>
      <c r="BK140" s="217">
        <f t="shared" si="238"/>
        <v>0.00253020921552189</v>
      </c>
      <c r="BL140" s="217">
        <f t="shared" si="239"/>
        <v>0.00502072066133333</v>
      </c>
      <c r="BM140">
        <f t="shared" si="240"/>
        <v>0.0029</v>
      </c>
      <c r="BN140">
        <f t="shared" si="241"/>
        <v>2.53020921552189e-6</v>
      </c>
      <c r="BO140" s="217">
        <f t="shared" si="242"/>
        <v>0.150247852345384</v>
      </c>
      <c r="BP140" s="220">
        <f t="shared" si="243"/>
        <v>111.218549301925</v>
      </c>
      <c r="BQ140" s="217">
        <f t="shared" si="244"/>
        <v>0.149135313941399</v>
      </c>
      <c r="BT140" s="220">
        <f t="shared" si="245"/>
        <v>149.135313941399</v>
      </c>
      <c r="BU140" s="217">
        <f t="shared" si="246"/>
        <v>0.00892886513265107</v>
      </c>
      <c r="BV140" s="217">
        <f t="shared" si="247"/>
        <v>0.00789442344045369</v>
      </c>
      <c r="BW140" s="217">
        <f t="shared" si="248"/>
        <v>0</v>
      </c>
      <c r="BX140" s="217"/>
      <c r="BY140" s="217">
        <f t="shared" si="249"/>
        <v>0.0096</v>
      </c>
      <c r="BZ140" s="220">
        <f t="shared" si="250"/>
        <v>26.4232885731048</v>
      </c>
      <c r="CA140" s="5">
        <f t="shared" si="251"/>
        <v>0.286777151816429</v>
      </c>
      <c r="CB140" s="192">
        <f t="shared" si="252"/>
        <v>2.7</v>
      </c>
      <c r="CC140" s="5">
        <f t="shared" si="253"/>
        <v>0.90398441623205</v>
      </c>
      <c r="CD140" s="192">
        <f t="shared" si="254"/>
        <v>90.398441623205</v>
      </c>
      <c r="CG140" s="227">
        <f t="shared" si="255"/>
        <v>-50</v>
      </c>
      <c r="CH140">
        <f t="shared" si="256"/>
        <v>-50</v>
      </c>
    </row>
    <row r="141" spans="5:86">
      <c r="E141" s="22">
        <v>31</v>
      </c>
      <c r="F141" s="25">
        <f t="shared" si="257"/>
        <v>0.155</v>
      </c>
      <c r="G141" s="25"/>
      <c r="H141" s="25">
        <f t="shared" si="201"/>
        <v>2.79</v>
      </c>
      <c r="I141" s="212">
        <f t="shared" si="202"/>
        <v>10</v>
      </c>
      <c r="J141" s="131">
        <f t="shared" si="203"/>
        <v>12.2728</v>
      </c>
      <c r="K141" s="131">
        <f t="shared" si="204"/>
        <v>22.2728</v>
      </c>
      <c r="L141" s="131"/>
      <c r="M141" s="25">
        <f t="shared" si="205"/>
        <v>0.551021874214288</v>
      </c>
      <c r="N141" s="27">
        <f t="shared" si="206"/>
        <v>3.74915283215402</v>
      </c>
      <c r="O141" s="27">
        <f t="shared" si="262"/>
        <v>2.79</v>
      </c>
      <c r="P141" s="25">
        <f t="shared" si="207"/>
        <v>0.208286268453001</v>
      </c>
      <c r="Q141" s="25">
        <f t="shared" si="208"/>
        <v>18</v>
      </c>
      <c r="R141" s="25"/>
      <c r="S141" s="27">
        <f t="shared" si="209"/>
        <v>28.7615310387943</v>
      </c>
      <c r="T141" s="27">
        <f t="shared" si="210"/>
        <v>18</v>
      </c>
      <c r="U141" s="25">
        <f t="shared" si="211"/>
        <v>1.12518219151294</v>
      </c>
      <c r="V141" s="25">
        <f t="shared" si="212"/>
        <v>2.81295547878235</v>
      </c>
      <c r="W141" s="25">
        <f t="shared" si="213"/>
        <v>2.29202421516064</v>
      </c>
      <c r="X141" s="24">
        <f t="shared" si="214"/>
        <v>350</v>
      </c>
      <c r="Y141" s="131">
        <f t="shared" si="215"/>
        <v>195.887165072662</v>
      </c>
      <c r="AA141" s="25">
        <f t="shared" si="216"/>
        <v>0.62973928481633</v>
      </c>
      <c r="AB141" s="5">
        <f t="shared" si="217"/>
        <v>1.28279464510203</v>
      </c>
      <c r="AC141" s="5">
        <f t="shared" si="218"/>
        <v>0.0942935111374618</v>
      </c>
      <c r="AD141" s="5"/>
      <c r="AE141" s="5">
        <f t="shared" si="219"/>
        <v>0.611107489733394</v>
      </c>
      <c r="AF141" s="216">
        <f t="shared" si="220"/>
        <v>2535.11111111111</v>
      </c>
      <c r="AG141" s="217">
        <f t="shared" si="221"/>
        <v>0.0213994565217391</v>
      </c>
      <c r="AI141" s="5">
        <f t="shared" si="222"/>
        <v>0.807394398225374</v>
      </c>
      <c r="AJ141" s="5">
        <f t="shared" si="223"/>
        <v>1.12518219151294</v>
      </c>
      <c r="AK141" s="5">
        <f t="shared" si="224"/>
        <v>1.75012146100863</v>
      </c>
      <c r="AM141" s="216">
        <f t="shared" si="225"/>
        <v>155</v>
      </c>
      <c r="AN141" s="220">
        <f t="shared" si="226"/>
        <v>195.887165072662</v>
      </c>
      <c r="AP141" s="220">
        <f t="shared" si="227"/>
        <v>155</v>
      </c>
      <c r="AQ141" s="220">
        <f t="shared" si="228"/>
        <v>195.887165072662</v>
      </c>
      <c r="AS141" s="192">
        <f t="shared" si="263"/>
        <v>5.10497969394299</v>
      </c>
      <c r="AT141" s="192">
        <f t="shared" si="229"/>
        <v>2.81295547878235</v>
      </c>
      <c r="AU141" s="192">
        <f t="shared" si="230"/>
        <v>2.29202421516064</v>
      </c>
      <c r="AV141" s="192"/>
      <c r="AW141" s="5">
        <f t="shared" si="231"/>
        <v>0.551021874214288</v>
      </c>
      <c r="AX141" s="5">
        <f t="shared" si="259"/>
        <v>3.1</v>
      </c>
      <c r="AY141" s="5">
        <f t="shared" si="260"/>
        <v>0.168478260869565</v>
      </c>
      <c r="AZ141" s="5">
        <f t="shared" si="264"/>
        <v>18.4</v>
      </c>
      <c r="BA141" s="220">
        <f t="shared" si="232"/>
        <v>5.22063553448612</v>
      </c>
      <c r="BB141" s="220">
        <f t="shared" si="233"/>
        <v>20.8078611913206</v>
      </c>
      <c r="BC141" s="192">
        <f t="shared" si="258"/>
        <v>1.18421251116633</v>
      </c>
      <c r="BD141" s="220">
        <f t="shared" si="235"/>
        <v>8.03527506699798</v>
      </c>
      <c r="BF141" s="5">
        <f t="shared" si="265"/>
        <v>0.4822215807206</v>
      </c>
      <c r="BG141" s="5">
        <f t="shared" si="261"/>
        <v>0.290335838609092</v>
      </c>
      <c r="BI141" s="217">
        <f t="shared" si="236"/>
        <v>0.081388178519436</v>
      </c>
      <c r="BJ141" s="217">
        <f t="shared" si="237"/>
        <v>0.0245456</v>
      </c>
      <c r="BK141" s="217">
        <f t="shared" si="238"/>
        <v>0.00244858956340828</v>
      </c>
      <c r="BL141" s="217">
        <f t="shared" si="239"/>
        <v>0.00485876193032258</v>
      </c>
      <c r="BM141">
        <f t="shared" si="240"/>
        <v>0.0029</v>
      </c>
      <c r="BN141">
        <f t="shared" si="241"/>
        <v>2.44858956340828e-6</v>
      </c>
      <c r="BO141" s="217">
        <f t="shared" si="242"/>
        <v>0.158178574581928</v>
      </c>
      <c r="BP141" s="220">
        <f t="shared" si="243"/>
        <v>116.141130013167</v>
      </c>
      <c r="BQ141" s="217">
        <f t="shared" si="244"/>
        <v>0.155831953275205</v>
      </c>
      <c r="BT141" s="220">
        <f t="shared" si="245"/>
        <v>155.831953275205</v>
      </c>
      <c r="BU141" s="217">
        <f t="shared" si="246"/>
        <v>0.00953404376941965</v>
      </c>
      <c r="BV141" s="217">
        <f t="shared" si="247"/>
        <v>0.00842948991808444</v>
      </c>
      <c r="BW141" s="217">
        <f t="shared" si="248"/>
        <v>0</v>
      </c>
      <c r="BX141" s="217"/>
      <c r="BY141" s="217">
        <f t="shared" si="249"/>
        <v>0.00992</v>
      </c>
      <c r="BZ141" s="220">
        <f t="shared" si="250"/>
        <v>27.8835336875041</v>
      </c>
      <c r="CA141" s="5">
        <f t="shared" si="251"/>
        <v>0.299856616975876</v>
      </c>
      <c r="CB141" s="192">
        <f t="shared" si="252"/>
        <v>2.79</v>
      </c>
      <c r="CC141" s="5">
        <f t="shared" si="253"/>
        <v>0.902954520501552</v>
      </c>
      <c r="CD141" s="192">
        <f t="shared" si="254"/>
        <v>90.2954520501552</v>
      </c>
      <c r="CG141" s="227">
        <f t="shared" si="255"/>
        <v>-50</v>
      </c>
      <c r="CH141">
        <f t="shared" si="256"/>
        <v>-50</v>
      </c>
    </row>
    <row r="142" spans="5:86">
      <c r="E142" s="22">
        <v>32</v>
      </c>
      <c r="F142" s="25">
        <f t="shared" si="257"/>
        <v>0.16</v>
      </c>
      <c r="G142" s="25"/>
      <c r="H142" s="25">
        <f t="shared" ref="H142:H173" si="266">F142*Vout</f>
        <v>2.88</v>
      </c>
      <c r="I142" s="212">
        <f t="shared" ref="I142:I173" si="267">VIN_min</f>
        <v>10</v>
      </c>
      <c r="J142" s="131">
        <f t="shared" ref="J142:J173" si="268">(T142+Vfwd1)*Nps</f>
        <v>12.2728</v>
      </c>
      <c r="K142" s="131">
        <f t="shared" ref="K142:K173" si="269">(Vout+Vfwd1)*Nps+I142</f>
        <v>22.2728</v>
      </c>
      <c r="L142" s="131"/>
      <c r="M142" s="25">
        <f t="shared" ref="M142:M173" si="270">(Vout+Vfwd1)*Nps/((Vout+Vfwd1)*Nps+I142)</f>
        <v>0.551021874214288</v>
      </c>
      <c r="N142" s="27">
        <f t="shared" ref="N142:N173" si="271">M142*I142*(Isw_max+VIN_min/Lmag*ILIM_delay)*0.5*Efficiency</f>
        <v>3.74915283215402</v>
      </c>
      <c r="O142" s="27">
        <f t="shared" si="262"/>
        <v>2.88</v>
      </c>
      <c r="P142" s="25">
        <f t="shared" ref="P142:P173" si="272">N142/Vout</f>
        <v>0.208286268453001</v>
      </c>
      <c r="Q142" s="25">
        <f t="shared" ref="Q142:Q173" si="273">MIN(Vout,N142/F142)</f>
        <v>18</v>
      </c>
      <c r="R142" s="25"/>
      <c r="S142" s="27">
        <f t="shared" ref="S142:S173" si="274">(SQRT(Isw_max^2*Nps^2*I142^2+4*Isw_max*F142/Efficiency*(Nps^2*Vfwd1*I142-Nps*I142^2)+4*(F142/Efficiency)^2*Nps^2*Vfwd1^2+8*(F142/Efficiency)^2*Nps*Vfwd1*I142+4*(F142/Efficiency)^2*I142^2)-2*F142/Efficiency*I142-2*F142/Efficiency*Nps*Vfwd1+Isw_max*Nps*I142)/(4*F142/Efficiency*Nps)</f>
        <v>27.4106332510433</v>
      </c>
      <c r="T142" s="27">
        <f t="shared" ref="T142:T173" si="275">MIN(Vout,S142)</f>
        <v>18</v>
      </c>
      <c r="U142" s="25">
        <f t="shared" ref="U142:U173" si="276">MIN(2*Vout*F142/(Efficiency*I142*M142),Isw_max)</f>
        <v>1.16147839123916</v>
      </c>
      <c r="V142" s="25">
        <f t="shared" ref="V142:V173" si="277">L*U142/I142*1000000</f>
        <v>2.90369597809791</v>
      </c>
      <c r="W142" s="25">
        <f t="shared" ref="W142:W173" si="278">L*U142/J142*1000000</f>
        <v>2.36596048016582</v>
      </c>
      <c r="X142" s="24">
        <f t="shared" ref="X142:X173" si="279">IF(1/((350000*L)*(1/I142+1/J142))&gt;Isw_min,350,0.001/((Isw_min*L)*(1/I142+1/J142)))</f>
        <v>350</v>
      </c>
      <c r="Y142" s="131">
        <f t="shared" si="215"/>
        <v>189.765691164142</v>
      </c>
      <c r="AA142" s="25">
        <f t="shared" ref="AA142:AA173" si="280">1/((X142*1000*L)*(1/I142+1/J142))</f>
        <v>0.62973928481633</v>
      </c>
      <c r="AB142" s="5">
        <f t="shared" ref="AB142:AB173" si="281">L*AA142/J142*1000000</f>
        <v>1.28279464510203</v>
      </c>
      <c r="AC142" s="5">
        <f t="shared" ref="AC142:AC173" si="282">0.5*AB142*AA142*Nps*X142/1000</f>
        <v>0.0942935111374618</v>
      </c>
      <c r="AD142" s="5"/>
      <c r="AE142" s="5">
        <f t="shared" ref="AE142:AE173" si="283">L*Isw_min/J142*1000000</f>
        <v>0.611107489733394</v>
      </c>
      <c r="AF142" s="216">
        <f t="shared" ref="AF142:AF173" si="284">MAX(12000,F142/(0.5*AE142/1000000*Isw_min*Nps))/1000</f>
        <v>2616.88888888889</v>
      </c>
      <c r="AG142" s="217">
        <f t="shared" ref="AG142:AG173" si="285">0.5*AE142/1000000*Isw_min*Nps*X142*1000</f>
        <v>0.0213994565217391</v>
      </c>
      <c r="AI142" s="5">
        <f t="shared" ref="AI142:AI173" si="286">SQRT(F142/(0.5*L/J142*Fsw_DCM*Nps))</f>
        <v>0.820313528910919</v>
      </c>
      <c r="AJ142" s="5">
        <f t="shared" ref="AJ142:AJ173" si="287">MAX(IF(F142&gt;AC142,U142,AI142),Isw_min)</f>
        <v>1.16147839123916</v>
      </c>
      <c r="AK142" s="5">
        <f t="shared" ref="AK142:AK173" si="288">IF(F142&gt;AG142,(AJ142-Isw_min)/1.2*0.8+1.2,AF142*0.2/350+1)</f>
        <v>1.77431892749278</v>
      </c>
      <c r="AM142" s="216">
        <f t="shared" ref="AM142:AM173" si="289">F142*1000</f>
        <v>160</v>
      </c>
      <c r="AN142" s="220">
        <f t="shared" ref="AN142:AN173" si="290">IF(F142&gt;AG142,Y142,AF142)</f>
        <v>189.765691164142</v>
      </c>
      <c r="AP142" s="220">
        <f t="shared" ref="AP142:AP173" si="291">IF(H142&gt;N142,"",AM142)</f>
        <v>160</v>
      </c>
      <c r="AQ142" s="220">
        <f t="shared" ref="AQ142:AQ173" si="292">IF(H142&gt;N142,"",AN142)</f>
        <v>189.765691164142</v>
      </c>
      <c r="AS142" s="192">
        <f t="shared" si="263"/>
        <v>5.26965645826373</v>
      </c>
      <c r="AT142" s="192">
        <f t="shared" ref="AT142:AT173" si="293">L*AJ142/I142*1000000</f>
        <v>2.90369597809791</v>
      </c>
      <c r="AU142" s="192">
        <f t="shared" si="230"/>
        <v>2.36596048016582</v>
      </c>
      <c r="AV142" s="192"/>
      <c r="AW142" s="5">
        <f t="shared" si="231"/>
        <v>0.551021874214288</v>
      </c>
      <c r="AX142" s="5">
        <f t="shared" si="259"/>
        <v>3.2</v>
      </c>
      <c r="AY142" s="5">
        <f t="shared" si="260"/>
        <v>0.173913043478261</v>
      </c>
      <c r="AZ142" s="5">
        <f t="shared" si="264"/>
        <v>18.4</v>
      </c>
      <c r="BA142" s="220">
        <f t="shared" ref="BA142:BA173" si="294">L*Isw_max^2/(2*Vout_ripple*Vout)*1000000000*((1+M142)/2)^2</f>
        <v>5.22063553448612</v>
      </c>
      <c r="BB142" s="220">
        <f t="shared" ref="BB142:BB173" si="295">L*F142^2/(2*Cout*Vout*Nps^2)*1000000000*((1+M142)/(1-M142))^2+F142*RCoutEsr</f>
        <v>22.1564722787849</v>
      </c>
      <c r="BC142" s="192">
        <f t="shared" si="258"/>
        <v>1.26184558942177</v>
      </c>
      <c r="BD142" s="220">
        <f t="shared" ref="BD142:BD173" si="296">((CB142/I142/Efficiency)*AU142/Cin+(CB142/I142/Efficiency)*RCinEsr)*1000</f>
        <v>8.53107353653063</v>
      </c>
      <c r="BF142" s="5">
        <f t="shared" si="265"/>
        <v>0.497777115582555</v>
      </c>
      <c r="BG142" s="5">
        <f t="shared" si="261"/>
        <v>0.299701510822288</v>
      </c>
      <c r="BI142" s="217">
        <f t="shared" si="236"/>
        <v>0.0867237198791909</v>
      </c>
      <c r="BJ142" s="217">
        <f t="shared" si="237"/>
        <v>0.0245456</v>
      </c>
      <c r="BK142" s="217">
        <f t="shared" si="238"/>
        <v>0.00237207113955177</v>
      </c>
      <c r="BL142" s="217">
        <f t="shared" si="239"/>
        <v>0.00470692562</v>
      </c>
      <c r="BM142">
        <f t="shared" si="240"/>
        <v>0.0029</v>
      </c>
      <c r="BN142">
        <f t="shared" ref="BN142:BN173" si="297">(I142-Vdd)*Qg*AN142</f>
        <v>2.37207113955177e-6</v>
      </c>
      <c r="BO142" s="217">
        <f t="shared" ref="BO142:BO173" si="298">(BJ142+BK142+BL142+BM142+BN142+BI142*(1+RdsonTC*(Ta-25)))/(1-BI142*RdsonTC*ThetaJA)</f>
        <v>0.166444594554614</v>
      </c>
      <c r="BP142" s="220">
        <f t="shared" si="243"/>
        <v>121.248316638743</v>
      </c>
      <c r="BQ142" s="217">
        <f t="shared" ref="BQ142:BQ173" si="299">(Vfwd2*F142+BG142^2*Rdiode)*(1+Diode_TC/1000*(Ta-25))</f>
        <v>0.162639912751103</v>
      </c>
      <c r="BT142" s="220">
        <f t="shared" si="245"/>
        <v>162.639912751103</v>
      </c>
      <c r="BU142" s="217">
        <f t="shared" si="246"/>
        <v>0.0101590643287052</v>
      </c>
      <c r="BV142" s="217">
        <f t="shared" si="247"/>
        <v>0.00898209955891621</v>
      </c>
      <c r="BW142" s="217">
        <f t="shared" si="248"/>
        <v>0</v>
      </c>
      <c r="BX142" s="217"/>
      <c r="BY142" s="217">
        <f t="shared" si="249"/>
        <v>0.01024</v>
      </c>
      <c r="BZ142" s="220">
        <f t="shared" si="250"/>
        <v>29.3811638876214</v>
      </c>
      <c r="CA142" s="5">
        <f t="shared" si="251"/>
        <v>0.313269393277467</v>
      </c>
      <c r="CB142" s="192">
        <f t="shared" si="252"/>
        <v>2.88</v>
      </c>
      <c r="CC142" s="5">
        <f t="shared" si="253"/>
        <v>0.901896973071872</v>
      </c>
      <c r="CD142" s="192">
        <f t="shared" si="254"/>
        <v>90.1896973071872</v>
      </c>
      <c r="CG142" s="227">
        <f t="shared" ref="CG142:CG173" si="300">IF(ABS(F142-Ioutmax_Vinmin)&lt;Iout/200,AN142,-50)</f>
        <v>-50</v>
      </c>
      <c r="CH142">
        <f t="shared" ref="CH142:CH173" si="301">IF(ABS(F142-Ioutmax_Vinmin)&lt;Iout/200,N142*CC142,-50)</f>
        <v>-50</v>
      </c>
    </row>
    <row r="143" spans="5:86">
      <c r="E143" s="22">
        <v>33</v>
      </c>
      <c r="F143" s="25">
        <f t="shared" ref="F143:F174" si="302">IF(PLOT_TYPE=1,E143/100*Iout_max,min_I*EXP(N143*rr/100))</f>
        <v>0.165</v>
      </c>
      <c r="G143" s="25"/>
      <c r="H143" s="25">
        <f t="shared" si="266"/>
        <v>2.97</v>
      </c>
      <c r="I143" s="212">
        <f t="shared" si="267"/>
        <v>10</v>
      </c>
      <c r="J143" s="131">
        <f t="shared" si="268"/>
        <v>12.2728</v>
      </c>
      <c r="K143" s="131">
        <f t="shared" si="269"/>
        <v>22.2728</v>
      </c>
      <c r="L143" s="131"/>
      <c r="M143" s="25">
        <f t="shared" si="270"/>
        <v>0.551021874214288</v>
      </c>
      <c r="N143" s="27">
        <f t="shared" si="271"/>
        <v>3.74915283215402</v>
      </c>
      <c r="O143" s="27">
        <f t="shared" si="262"/>
        <v>2.97</v>
      </c>
      <c r="P143" s="25">
        <f t="shared" si="272"/>
        <v>0.208286268453001</v>
      </c>
      <c r="Q143" s="25">
        <f t="shared" si="273"/>
        <v>18</v>
      </c>
      <c r="R143" s="25"/>
      <c r="S143" s="27">
        <f t="shared" si="274"/>
        <v>26.1425265226207</v>
      </c>
      <c r="T143" s="27">
        <f t="shared" si="275"/>
        <v>18</v>
      </c>
      <c r="U143" s="25">
        <f t="shared" si="276"/>
        <v>1.19777459096539</v>
      </c>
      <c r="V143" s="25">
        <f t="shared" si="277"/>
        <v>2.99443647741347</v>
      </c>
      <c r="W143" s="25">
        <f t="shared" si="278"/>
        <v>2.439896745171</v>
      </c>
      <c r="X143" s="24">
        <f t="shared" si="279"/>
        <v>350</v>
      </c>
      <c r="Y143" s="131">
        <f t="shared" si="215"/>
        <v>184.015215674319</v>
      </c>
      <c r="AA143" s="25">
        <f t="shared" si="280"/>
        <v>0.62973928481633</v>
      </c>
      <c r="AB143" s="5">
        <f t="shared" si="281"/>
        <v>1.28279464510203</v>
      </c>
      <c r="AC143" s="5">
        <f t="shared" si="282"/>
        <v>0.0942935111374618</v>
      </c>
      <c r="AD143" s="5"/>
      <c r="AE143" s="5">
        <f t="shared" si="283"/>
        <v>0.611107489733394</v>
      </c>
      <c r="AF143" s="216">
        <f t="shared" si="284"/>
        <v>2698.66666666667</v>
      </c>
      <c r="AG143" s="217">
        <f t="shared" si="285"/>
        <v>0.0213994565217391</v>
      </c>
      <c r="AI143" s="5">
        <f t="shared" si="286"/>
        <v>0.833032326589345</v>
      </c>
      <c r="AJ143" s="5">
        <f t="shared" si="287"/>
        <v>1.19777459096539</v>
      </c>
      <c r="AK143" s="5">
        <f t="shared" si="288"/>
        <v>1.79851639397692</v>
      </c>
      <c r="AM143" s="216">
        <f t="shared" si="289"/>
        <v>165</v>
      </c>
      <c r="AN143" s="220">
        <f t="shared" si="290"/>
        <v>184.015215674319</v>
      </c>
      <c r="AP143" s="220">
        <f t="shared" si="291"/>
        <v>165</v>
      </c>
      <c r="AQ143" s="220">
        <f t="shared" si="292"/>
        <v>184.015215674319</v>
      </c>
      <c r="AS143" s="192">
        <f t="shared" si="263"/>
        <v>5.43433322258447</v>
      </c>
      <c r="AT143" s="192">
        <f t="shared" si="293"/>
        <v>2.99443647741347</v>
      </c>
      <c r="AU143" s="192">
        <f t="shared" si="230"/>
        <v>2.439896745171</v>
      </c>
      <c r="AV143" s="192"/>
      <c r="AW143" s="5">
        <f t="shared" si="231"/>
        <v>0.551021874214288</v>
      </c>
      <c r="AX143" s="5">
        <f t="shared" si="259"/>
        <v>3.3</v>
      </c>
      <c r="AY143" s="5">
        <f t="shared" si="260"/>
        <v>0.179347826086957</v>
      </c>
      <c r="AZ143" s="5">
        <f t="shared" si="264"/>
        <v>18.4</v>
      </c>
      <c r="BA143" s="220">
        <f t="shared" si="294"/>
        <v>5.22063553448612</v>
      </c>
      <c r="BB143" s="220">
        <f t="shared" si="295"/>
        <v>23.5474202261687</v>
      </c>
      <c r="BC143" s="192">
        <f t="shared" si="258"/>
        <v>1.34194320984405</v>
      </c>
      <c r="BD143" s="220">
        <f t="shared" si="296"/>
        <v>9.04165925906431</v>
      </c>
      <c r="BF143" s="5">
        <f t="shared" si="265"/>
        <v>0.51333265044451</v>
      </c>
      <c r="BG143" s="5">
        <f t="shared" si="261"/>
        <v>0.309067183035485</v>
      </c>
      <c r="BI143" s="217">
        <f t="shared" si="236"/>
        <v>0.0922286435043349</v>
      </c>
      <c r="BJ143" s="217">
        <f t="shared" si="237"/>
        <v>0.0245456</v>
      </c>
      <c r="BK143" s="217">
        <f t="shared" si="238"/>
        <v>0.00230019019592899</v>
      </c>
      <c r="BL143" s="217">
        <f t="shared" si="239"/>
        <v>0.00456429151030303</v>
      </c>
      <c r="BM143">
        <f t="shared" si="240"/>
        <v>0.0029</v>
      </c>
      <c r="BN143">
        <f t="shared" si="297"/>
        <v>2.30019019592899e-6</v>
      </c>
      <c r="BO143" s="217">
        <f t="shared" si="298"/>
        <v>0.175050128173907</v>
      </c>
      <c r="BP143" s="220">
        <f t="shared" si="243"/>
        <v>126.538725210567</v>
      </c>
      <c r="BQ143" s="217">
        <f t="shared" si="299"/>
        <v>0.169559192369093</v>
      </c>
      <c r="BT143" s="220">
        <f t="shared" si="245"/>
        <v>169.559192369093</v>
      </c>
      <c r="BU143" s="217">
        <f t="shared" si="246"/>
        <v>0.0108039268105078</v>
      </c>
      <c r="BV143" s="217">
        <f t="shared" si="247"/>
        <v>0.00955225236294897</v>
      </c>
      <c r="BW143" s="217">
        <f t="shared" si="248"/>
        <v>0</v>
      </c>
      <c r="BX143" s="217"/>
      <c r="BY143" s="217">
        <f t="shared" si="249"/>
        <v>0.01056</v>
      </c>
      <c r="BZ143" s="220">
        <f t="shared" si="250"/>
        <v>30.9161791734568</v>
      </c>
      <c r="CA143" s="5">
        <f t="shared" si="251"/>
        <v>0.327014096753116</v>
      </c>
      <c r="CB143" s="192">
        <f t="shared" si="252"/>
        <v>2.97</v>
      </c>
      <c r="CC143" s="5">
        <f t="shared" si="253"/>
        <v>0.9008150747444</v>
      </c>
      <c r="CD143" s="192">
        <f t="shared" si="254"/>
        <v>90.08150747444</v>
      </c>
      <c r="CG143" s="227">
        <f t="shared" si="300"/>
        <v>-50</v>
      </c>
      <c r="CH143">
        <f t="shared" si="301"/>
        <v>-50</v>
      </c>
    </row>
    <row r="144" spans="5:86">
      <c r="E144" s="22">
        <v>34</v>
      </c>
      <c r="F144" s="25">
        <f t="shared" si="302"/>
        <v>0.17</v>
      </c>
      <c r="G144" s="25"/>
      <c r="H144" s="25">
        <f t="shared" si="266"/>
        <v>3.06</v>
      </c>
      <c r="I144" s="212">
        <f t="shared" si="267"/>
        <v>10</v>
      </c>
      <c r="J144" s="131">
        <f t="shared" si="268"/>
        <v>12.2728</v>
      </c>
      <c r="K144" s="131">
        <f t="shared" si="269"/>
        <v>22.2728</v>
      </c>
      <c r="L144" s="131"/>
      <c r="M144" s="25">
        <f t="shared" si="270"/>
        <v>0.551021874214288</v>
      </c>
      <c r="N144" s="27">
        <f t="shared" si="271"/>
        <v>3.74915283215402</v>
      </c>
      <c r="O144" s="27">
        <f t="shared" si="262"/>
        <v>3.06</v>
      </c>
      <c r="P144" s="25">
        <f t="shared" si="272"/>
        <v>0.208286268453001</v>
      </c>
      <c r="Q144" s="25">
        <f t="shared" si="273"/>
        <v>18</v>
      </c>
      <c r="R144" s="25"/>
      <c r="S144" s="27">
        <f t="shared" si="274"/>
        <v>24.9499472039919</v>
      </c>
      <c r="T144" s="27">
        <f t="shared" si="275"/>
        <v>18</v>
      </c>
      <c r="U144" s="25">
        <f t="shared" si="276"/>
        <v>1.23407079069161</v>
      </c>
      <c r="V144" s="25">
        <f t="shared" si="277"/>
        <v>3.08517697672903</v>
      </c>
      <c r="W144" s="25">
        <f t="shared" si="278"/>
        <v>2.51383301017618</v>
      </c>
      <c r="X144" s="24">
        <f t="shared" si="279"/>
        <v>350</v>
      </c>
      <c r="Y144" s="131">
        <f t="shared" si="215"/>
        <v>178.603003448604</v>
      </c>
      <c r="AA144" s="25">
        <f t="shared" si="280"/>
        <v>0.62973928481633</v>
      </c>
      <c r="AB144" s="5">
        <f t="shared" si="281"/>
        <v>1.28279464510203</v>
      </c>
      <c r="AC144" s="5">
        <f t="shared" si="282"/>
        <v>0.0942935111374618</v>
      </c>
      <c r="AD144" s="5"/>
      <c r="AE144" s="5">
        <f t="shared" si="283"/>
        <v>0.611107489733394</v>
      </c>
      <c r="AF144" s="216">
        <f t="shared" si="284"/>
        <v>2780.44444444444</v>
      </c>
      <c r="AG144" s="217">
        <f t="shared" si="285"/>
        <v>0.0213994565217391</v>
      </c>
      <c r="AI144" s="5">
        <f t="shared" si="286"/>
        <v>0.845559831455722</v>
      </c>
      <c r="AJ144" s="5">
        <f t="shared" si="287"/>
        <v>1.23407079069161</v>
      </c>
      <c r="AK144" s="5">
        <f t="shared" si="288"/>
        <v>1.82271386046107</v>
      </c>
      <c r="AM144" s="216">
        <f t="shared" si="289"/>
        <v>170</v>
      </c>
      <c r="AN144" s="220">
        <f t="shared" si="290"/>
        <v>178.603003448604</v>
      </c>
      <c r="AP144" s="220">
        <f t="shared" si="291"/>
        <v>170</v>
      </c>
      <c r="AQ144" s="220">
        <f t="shared" si="292"/>
        <v>178.603003448604</v>
      </c>
      <c r="AS144" s="192">
        <f t="shared" si="263"/>
        <v>5.59900998690521</v>
      </c>
      <c r="AT144" s="192">
        <f t="shared" si="293"/>
        <v>3.08517697672903</v>
      </c>
      <c r="AU144" s="192">
        <f t="shared" si="230"/>
        <v>2.51383301017618</v>
      </c>
      <c r="AV144" s="192"/>
      <c r="AW144" s="5">
        <f t="shared" si="231"/>
        <v>0.551021874214288</v>
      </c>
      <c r="AX144" s="5">
        <f t="shared" si="259"/>
        <v>3.4</v>
      </c>
      <c r="AY144" s="5">
        <f t="shared" si="260"/>
        <v>0.184782608695652</v>
      </c>
      <c r="AZ144" s="5">
        <f t="shared" si="264"/>
        <v>18.4</v>
      </c>
      <c r="BA144" s="220">
        <f t="shared" si="294"/>
        <v>5.22063553448612</v>
      </c>
      <c r="BB144" s="220">
        <f t="shared" si="295"/>
        <v>24.9807050334721</v>
      </c>
      <c r="BC144" s="192">
        <f t="shared" si="258"/>
        <v>1.42450537243317</v>
      </c>
      <c r="BD144" s="220">
        <f t="shared" si="296"/>
        <v>9.56703223459903</v>
      </c>
      <c r="BF144" s="5">
        <f t="shared" si="265"/>
        <v>0.528888185306465</v>
      </c>
      <c r="BG144" s="5">
        <f t="shared" si="261"/>
        <v>0.318432855248681</v>
      </c>
      <c r="BI144" s="217">
        <f t="shared" si="236"/>
        <v>0.0979029493948678</v>
      </c>
      <c r="BJ144" s="217">
        <f t="shared" si="237"/>
        <v>0.0245456</v>
      </c>
      <c r="BK144" s="217">
        <f t="shared" si="238"/>
        <v>0.00223253754310755</v>
      </c>
      <c r="BL144" s="217">
        <f t="shared" si="239"/>
        <v>0.00443004764235294</v>
      </c>
      <c r="BM144">
        <f t="shared" si="240"/>
        <v>0.0029</v>
      </c>
      <c r="BN144">
        <f t="shared" si="297"/>
        <v>2.23253754310755e-6</v>
      </c>
      <c r="BO144" s="217">
        <f t="shared" si="298"/>
        <v>0.18399982352817</v>
      </c>
      <c r="BP144" s="220">
        <f t="shared" si="243"/>
        <v>132.011134580328</v>
      </c>
      <c r="BQ144" s="217">
        <f t="shared" si="299"/>
        <v>0.176589792129175</v>
      </c>
      <c r="BT144" s="220">
        <f t="shared" si="245"/>
        <v>176.589792129175</v>
      </c>
      <c r="BU144" s="217">
        <f t="shared" si="246"/>
        <v>0.0114686312148274</v>
      </c>
      <c r="BV144" s="217">
        <f t="shared" si="247"/>
        <v>0.0101399483301827</v>
      </c>
      <c r="BW144" s="217">
        <f t="shared" si="248"/>
        <v>0</v>
      </c>
      <c r="BX144" s="217"/>
      <c r="BY144" s="217">
        <f t="shared" si="249"/>
        <v>0.01088</v>
      </c>
      <c r="BZ144" s="220">
        <f t="shared" si="250"/>
        <v>32.4885795450101</v>
      </c>
      <c r="CA144" s="5">
        <f t="shared" si="251"/>
        <v>0.341089506254513</v>
      </c>
      <c r="CB144" s="192">
        <f t="shared" si="252"/>
        <v>3.06</v>
      </c>
      <c r="CC144" s="5">
        <f t="shared" si="253"/>
        <v>0.89971169367132</v>
      </c>
      <c r="CD144" s="192">
        <f t="shared" si="254"/>
        <v>89.9711693671319</v>
      </c>
      <c r="CG144" s="227">
        <f t="shared" si="300"/>
        <v>-50</v>
      </c>
      <c r="CH144">
        <f t="shared" si="301"/>
        <v>-50</v>
      </c>
    </row>
    <row r="145" spans="5:86">
      <c r="E145" s="22">
        <v>35</v>
      </c>
      <c r="F145" s="25">
        <f t="shared" si="302"/>
        <v>0.175</v>
      </c>
      <c r="G145" s="25"/>
      <c r="H145" s="25">
        <f t="shared" si="266"/>
        <v>3.15</v>
      </c>
      <c r="I145" s="212">
        <f t="shared" si="267"/>
        <v>10</v>
      </c>
      <c r="J145" s="131">
        <f t="shared" si="268"/>
        <v>12.2728</v>
      </c>
      <c r="K145" s="131">
        <f t="shared" si="269"/>
        <v>22.2728</v>
      </c>
      <c r="L145" s="131"/>
      <c r="M145" s="25">
        <f t="shared" si="270"/>
        <v>0.551021874214288</v>
      </c>
      <c r="N145" s="27">
        <f t="shared" si="271"/>
        <v>3.74915283215402</v>
      </c>
      <c r="O145" s="27">
        <f t="shared" si="262"/>
        <v>3.15</v>
      </c>
      <c r="P145" s="25">
        <f t="shared" si="272"/>
        <v>0.208286268453001</v>
      </c>
      <c r="Q145" s="25">
        <f t="shared" si="273"/>
        <v>18</v>
      </c>
      <c r="R145" s="25"/>
      <c r="S145" s="27">
        <f t="shared" si="274"/>
        <v>23.8264641040452</v>
      </c>
      <c r="T145" s="27">
        <f t="shared" si="275"/>
        <v>18</v>
      </c>
      <c r="U145" s="25">
        <f t="shared" si="276"/>
        <v>1.27036699041783</v>
      </c>
      <c r="V145" s="25">
        <f t="shared" si="277"/>
        <v>3.17591747604459</v>
      </c>
      <c r="W145" s="25">
        <f t="shared" si="278"/>
        <v>2.58776927518137</v>
      </c>
      <c r="X145" s="24">
        <f t="shared" si="279"/>
        <v>350</v>
      </c>
      <c r="Y145" s="131">
        <f t="shared" si="215"/>
        <v>173.50006049293</v>
      </c>
      <c r="AA145" s="25">
        <f t="shared" si="280"/>
        <v>0.62973928481633</v>
      </c>
      <c r="AB145" s="5">
        <f t="shared" si="281"/>
        <v>1.28279464510203</v>
      </c>
      <c r="AC145" s="5">
        <f t="shared" si="282"/>
        <v>0.0942935111374618</v>
      </c>
      <c r="AD145" s="5"/>
      <c r="AE145" s="5">
        <f t="shared" si="283"/>
        <v>0.611107489733394</v>
      </c>
      <c r="AF145" s="216">
        <f t="shared" si="284"/>
        <v>2862.22222222222</v>
      </c>
      <c r="AG145" s="217">
        <f t="shared" si="285"/>
        <v>0.0213994565217391</v>
      </c>
      <c r="AI145" s="5">
        <f t="shared" si="286"/>
        <v>0.857904423581089</v>
      </c>
      <c r="AJ145" s="5">
        <f t="shared" si="287"/>
        <v>1.27036699041783</v>
      </c>
      <c r="AK145" s="5">
        <f t="shared" si="288"/>
        <v>1.84691132694522</v>
      </c>
      <c r="AM145" s="216">
        <f t="shared" si="289"/>
        <v>175</v>
      </c>
      <c r="AN145" s="220">
        <f t="shared" si="290"/>
        <v>173.50006049293</v>
      </c>
      <c r="AP145" s="220">
        <f t="shared" si="291"/>
        <v>175</v>
      </c>
      <c r="AQ145" s="220">
        <f t="shared" si="292"/>
        <v>173.50006049293</v>
      </c>
      <c r="AS145" s="192">
        <f t="shared" si="263"/>
        <v>5.76368675122595</v>
      </c>
      <c r="AT145" s="192">
        <f t="shared" si="293"/>
        <v>3.17591747604459</v>
      </c>
      <c r="AU145" s="192">
        <f t="shared" si="230"/>
        <v>2.58776927518137</v>
      </c>
      <c r="AV145" s="192"/>
      <c r="AW145" s="5">
        <f t="shared" si="231"/>
        <v>0.551021874214288</v>
      </c>
      <c r="AX145" s="5">
        <f t="shared" si="259"/>
        <v>3.5</v>
      </c>
      <c r="AY145" s="5">
        <f t="shared" si="260"/>
        <v>0.190217391304348</v>
      </c>
      <c r="AZ145" s="5">
        <f t="shared" si="264"/>
        <v>18.4</v>
      </c>
      <c r="BA145" s="220">
        <f t="shared" si="294"/>
        <v>5.22063553448612</v>
      </c>
      <c r="BB145" s="220">
        <f t="shared" si="295"/>
        <v>26.4563267006949</v>
      </c>
      <c r="BC145" s="192">
        <f t="shared" si="258"/>
        <v>1.50953207718913</v>
      </c>
      <c r="BD145" s="220">
        <f t="shared" si="296"/>
        <v>10.1071924631348</v>
      </c>
      <c r="BF145" s="5">
        <f t="shared" si="265"/>
        <v>0.544443720168419</v>
      </c>
      <c r="BG145" s="5">
        <f t="shared" si="261"/>
        <v>0.327798527461877</v>
      </c>
      <c r="BI145" s="217">
        <f t="shared" si="236"/>
        <v>0.10374663755079</v>
      </c>
      <c r="BJ145" s="217">
        <f t="shared" si="237"/>
        <v>0.0245456</v>
      </c>
      <c r="BK145" s="217">
        <f t="shared" si="238"/>
        <v>0.00216875075616162</v>
      </c>
      <c r="BL145" s="217">
        <f t="shared" si="239"/>
        <v>0.00430347485257143</v>
      </c>
      <c r="BM145">
        <f t="shared" si="240"/>
        <v>0.0029</v>
      </c>
      <c r="BN145">
        <f t="shared" si="297"/>
        <v>2.16875075616162e-6</v>
      </c>
      <c r="BO145" s="217">
        <f t="shared" si="298"/>
        <v>0.193298747982867</v>
      </c>
      <c r="BP145" s="220">
        <f t="shared" si="243"/>
        <v>137.664463159523</v>
      </c>
      <c r="BQ145" s="217">
        <f t="shared" si="299"/>
        <v>0.183731712031348</v>
      </c>
      <c r="BT145" s="220">
        <f t="shared" si="245"/>
        <v>183.731712031348</v>
      </c>
      <c r="BU145" s="217">
        <f t="shared" si="246"/>
        <v>0.012153177541664</v>
      </c>
      <c r="BV145" s="217">
        <f t="shared" si="247"/>
        <v>0.0107451874606175</v>
      </c>
      <c r="BW145" s="217">
        <f t="shared" si="248"/>
        <v>0</v>
      </c>
      <c r="BX145" s="217"/>
      <c r="BY145" s="217">
        <f t="shared" si="249"/>
        <v>0.0112</v>
      </c>
      <c r="BZ145" s="220">
        <f t="shared" si="250"/>
        <v>34.0983650022815</v>
      </c>
      <c r="CA145" s="5">
        <f t="shared" si="251"/>
        <v>0.355494540193153</v>
      </c>
      <c r="CB145" s="192">
        <f t="shared" si="252"/>
        <v>3.15</v>
      </c>
      <c r="CC145" s="5">
        <f t="shared" si="253"/>
        <v>0.898589332798229</v>
      </c>
      <c r="CD145" s="192">
        <f t="shared" si="254"/>
        <v>89.8589332798229</v>
      </c>
      <c r="CG145" s="227">
        <f t="shared" si="300"/>
        <v>-50</v>
      </c>
      <c r="CH145">
        <f t="shared" si="301"/>
        <v>-50</v>
      </c>
    </row>
    <row r="146" spans="5:86">
      <c r="E146" s="22">
        <v>36</v>
      </c>
      <c r="F146" s="25">
        <f t="shared" si="302"/>
        <v>0.18</v>
      </c>
      <c r="G146" s="25"/>
      <c r="H146" s="25">
        <f t="shared" si="266"/>
        <v>3.24</v>
      </c>
      <c r="I146" s="212">
        <f t="shared" si="267"/>
        <v>10</v>
      </c>
      <c r="J146" s="131">
        <f t="shared" si="268"/>
        <v>12.2728</v>
      </c>
      <c r="K146" s="131">
        <f t="shared" si="269"/>
        <v>22.2728</v>
      </c>
      <c r="L146" s="131"/>
      <c r="M146" s="25">
        <f t="shared" si="270"/>
        <v>0.551021874214288</v>
      </c>
      <c r="N146" s="27">
        <f t="shared" si="271"/>
        <v>3.74915283215402</v>
      </c>
      <c r="O146" s="27">
        <f t="shared" si="262"/>
        <v>3.24</v>
      </c>
      <c r="P146" s="25">
        <f t="shared" si="272"/>
        <v>0.208286268453001</v>
      </c>
      <c r="Q146" s="25">
        <f t="shared" si="273"/>
        <v>18</v>
      </c>
      <c r="R146" s="25"/>
      <c r="S146" s="27">
        <f t="shared" si="274"/>
        <v>22.7663630189341</v>
      </c>
      <c r="T146" s="27">
        <f t="shared" si="275"/>
        <v>18</v>
      </c>
      <c r="U146" s="25">
        <f t="shared" si="276"/>
        <v>1.30666319014406</v>
      </c>
      <c r="V146" s="25">
        <f t="shared" si="277"/>
        <v>3.26665797536015</v>
      </c>
      <c r="W146" s="25">
        <f t="shared" si="278"/>
        <v>2.66170554018655</v>
      </c>
      <c r="X146" s="24">
        <f t="shared" si="279"/>
        <v>350</v>
      </c>
      <c r="Y146" s="131">
        <f t="shared" si="215"/>
        <v>168.680614368126</v>
      </c>
      <c r="AA146" s="25">
        <f t="shared" si="280"/>
        <v>0.62973928481633</v>
      </c>
      <c r="AB146" s="5">
        <f t="shared" si="281"/>
        <v>1.28279464510203</v>
      </c>
      <c r="AC146" s="5">
        <f t="shared" si="282"/>
        <v>0.0942935111374618</v>
      </c>
      <c r="AD146" s="5"/>
      <c r="AE146" s="5">
        <f t="shared" si="283"/>
        <v>0.611107489733394</v>
      </c>
      <c r="AF146" s="216">
        <f t="shared" si="284"/>
        <v>2944</v>
      </c>
      <c r="AG146" s="217">
        <f t="shared" si="285"/>
        <v>0.0213994565217391</v>
      </c>
      <c r="AI146" s="5">
        <f t="shared" si="286"/>
        <v>0.870073888487967</v>
      </c>
      <c r="AJ146" s="5">
        <f t="shared" si="287"/>
        <v>1.30666319014406</v>
      </c>
      <c r="AK146" s="5">
        <f t="shared" si="288"/>
        <v>1.87110879342937</v>
      </c>
      <c r="AM146" s="216">
        <f t="shared" si="289"/>
        <v>180</v>
      </c>
      <c r="AN146" s="220">
        <f t="shared" si="290"/>
        <v>168.680614368126</v>
      </c>
      <c r="AP146" s="220">
        <f t="shared" si="291"/>
        <v>180</v>
      </c>
      <c r="AQ146" s="220">
        <f t="shared" si="292"/>
        <v>168.680614368126</v>
      </c>
      <c r="AS146" s="192">
        <f t="shared" si="263"/>
        <v>5.9283635155467</v>
      </c>
      <c r="AT146" s="192">
        <f t="shared" si="293"/>
        <v>3.26665797536015</v>
      </c>
      <c r="AU146" s="192">
        <f t="shared" si="230"/>
        <v>2.66170554018655</v>
      </c>
      <c r="AV146" s="192"/>
      <c r="AW146" s="5">
        <f t="shared" si="231"/>
        <v>0.551021874214288</v>
      </c>
      <c r="AX146" s="5">
        <f t="shared" si="259"/>
        <v>3.6</v>
      </c>
      <c r="AY146" s="5">
        <f t="shared" si="260"/>
        <v>0.195652173913043</v>
      </c>
      <c r="AZ146" s="5">
        <f t="shared" si="264"/>
        <v>18.4</v>
      </c>
      <c r="BA146" s="220">
        <f t="shared" si="294"/>
        <v>5.22063553448612</v>
      </c>
      <c r="BB146" s="220">
        <f t="shared" si="295"/>
        <v>27.9742852278372</v>
      </c>
      <c r="BC146" s="192">
        <f t="shared" si="258"/>
        <v>1.59702332411193</v>
      </c>
      <c r="BD146" s="220">
        <f t="shared" si="296"/>
        <v>10.6621399446716</v>
      </c>
      <c r="BF146" s="5">
        <f t="shared" si="265"/>
        <v>0.559999255030374</v>
      </c>
      <c r="BG146" s="5">
        <f t="shared" si="261"/>
        <v>0.337164199675074</v>
      </c>
      <c r="BI146" s="217">
        <f t="shared" si="236"/>
        <v>0.109759707972101</v>
      </c>
      <c r="BJ146" s="217">
        <f t="shared" si="237"/>
        <v>0.0245456</v>
      </c>
      <c r="BK146" s="217">
        <f t="shared" si="238"/>
        <v>0.00210850767960158</v>
      </c>
      <c r="BL146" s="217">
        <f t="shared" si="239"/>
        <v>0.00418393388444444</v>
      </c>
      <c r="BM146">
        <f t="shared" si="240"/>
        <v>0.0029</v>
      </c>
      <c r="BN146">
        <f t="shared" si="297"/>
        <v>2.10850767960157e-6</v>
      </c>
      <c r="BO146" s="217">
        <f t="shared" si="298"/>
        <v>0.202952379792154</v>
      </c>
      <c r="BP146" s="220">
        <f t="shared" si="243"/>
        <v>143.497749536147</v>
      </c>
      <c r="BQ146" s="217">
        <f t="shared" si="299"/>
        <v>0.190984952075614</v>
      </c>
      <c r="BT146" s="220">
        <f t="shared" si="245"/>
        <v>190.984952075614</v>
      </c>
      <c r="BU146" s="217">
        <f t="shared" si="246"/>
        <v>0.0128575657910175</v>
      </c>
      <c r="BV146" s="217">
        <f t="shared" si="247"/>
        <v>0.0113679697542533</v>
      </c>
      <c r="BW146" s="217">
        <f t="shared" si="248"/>
        <v>0</v>
      </c>
      <c r="BX146" s="217"/>
      <c r="BY146" s="217">
        <f t="shared" si="249"/>
        <v>0.01152</v>
      </c>
      <c r="BZ146" s="220">
        <f t="shared" si="250"/>
        <v>35.7455355452709</v>
      </c>
      <c r="CA146" s="5">
        <f t="shared" si="251"/>
        <v>0.370228237157032</v>
      </c>
      <c r="CB146" s="192">
        <f t="shared" si="252"/>
        <v>3.24</v>
      </c>
      <c r="CC146" s="5">
        <f t="shared" si="253"/>
        <v>0.897450185185916</v>
      </c>
      <c r="CD146" s="192">
        <f t="shared" si="254"/>
        <v>89.7450185185916</v>
      </c>
      <c r="CG146" s="227">
        <f t="shared" si="300"/>
        <v>-50</v>
      </c>
      <c r="CH146">
        <f t="shared" si="301"/>
        <v>-50</v>
      </c>
    </row>
    <row r="147" spans="5:86">
      <c r="E147" s="22">
        <v>37</v>
      </c>
      <c r="F147" s="25">
        <f t="shared" si="302"/>
        <v>0.185</v>
      </c>
      <c r="G147" s="25"/>
      <c r="H147" s="25">
        <f t="shared" si="266"/>
        <v>3.33</v>
      </c>
      <c r="I147" s="212">
        <f t="shared" si="267"/>
        <v>10</v>
      </c>
      <c r="J147" s="131">
        <f t="shared" si="268"/>
        <v>12.2728</v>
      </c>
      <c r="K147" s="131">
        <f t="shared" si="269"/>
        <v>22.2728</v>
      </c>
      <c r="L147" s="131"/>
      <c r="M147" s="25">
        <f t="shared" si="270"/>
        <v>0.551021874214288</v>
      </c>
      <c r="N147" s="27">
        <f t="shared" si="271"/>
        <v>3.74915283215402</v>
      </c>
      <c r="O147" s="27">
        <f t="shared" si="262"/>
        <v>3.33</v>
      </c>
      <c r="P147" s="25">
        <f t="shared" si="272"/>
        <v>0.208286268453001</v>
      </c>
      <c r="Q147" s="25">
        <f t="shared" si="273"/>
        <v>18</v>
      </c>
      <c r="R147" s="25"/>
      <c r="S147" s="27">
        <f t="shared" si="274"/>
        <v>21.7645499955552</v>
      </c>
      <c r="T147" s="27">
        <f t="shared" si="275"/>
        <v>18</v>
      </c>
      <c r="U147" s="25">
        <f t="shared" si="276"/>
        <v>1.34295938987028</v>
      </c>
      <c r="V147" s="25">
        <f t="shared" si="277"/>
        <v>3.35739847467571</v>
      </c>
      <c r="W147" s="25">
        <f t="shared" si="278"/>
        <v>2.73564180519173</v>
      </c>
      <c r="X147" s="24">
        <f t="shared" si="279"/>
        <v>350</v>
      </c>
      <c r="Y147" s="131">
        <f t="shared" si="215"/>
        <v>164.121678844663</v>
      </c>
      <c r="AA147" s="25">
        <f t="shared" si="280"/>
        <v>0.62973928481633</v>
      </c>
      <c r="AB147" s="5">
        <f t="shared" si="281"/>
        <v>1.28279464510203</v>
      </c>
      <c r="AC147" s="5">
        <f t="shared" si="282"/>
        <v>0.0942935111374618</v>
      </c>
      <c r="AD147" s="5"/>
      <c r="AE147" s="5">
        <f t="shared" si="283"/>
        <v>0.611107489733394</v>
      </c>
      <c r="AF147" s="216">
        <f t="shared" si="284"/>
        <v>3025.77777777778</v>
      </c>
      <c r="AG147" s="217">
        <f t="shared" si="285"/>
        <v>0.0213994565217391</v>
      </c>
      <c r="AI147" s="5">
        <f t="shared" si="286"/>
        <v>0.882075474580913</v>
      </c>
      <c r="AJ147" s="5">
        <f t="shared" si="287"/>
        <v>1.34295938987028</v>
      </c>
      <c r="AK147" s="5">
        <f t="shared" si="288"/>
        <v>1.89530625991352</v>
      </c>
      <c r="AM147" s="216">
        <f t="shared" si="289"/>
        <v>185</v>
      </c>
      <c r="AN147" s="220">
        <f t="shared" si="290"/>
        <v>164.121678844663</v>
      </c>
      <c r="AP147" s="220">
        <f t="shared" si="291"/>
        <v>185</v>
      </c>
      <c r="AQ147" s="220">
        <f t="shared" si="292"/>
        <v>164.121678844663</v>
      </c>
      <c r="AS147" s="192">
        <f t="shared" si="263"/>
        <v>6.09304027986744</v>
      </c>
      <c r="AT147" s="192">
        <f t="shared" si="293"/>
        <v>3.35739847467571</v>
      </c>
      <c r="AU147" s="192">
        <f t="shared" si="230"/>
        <v>2.73564180519173</v>
      </c>
      <c r="AV147" s="192"/>
      <c r="AW147" s="5">
        <f t="shared" si="231"/>
        <v>0.551021874214288</v>
      </c>
      <c r="AX147" s="5">
        <f t="shared" si="259"/>
        <v>3.7</v>
      </c>
      <c r="AY147" s="5">
        <f t="shared" si="260"/>
        <v>0.201086956521739</v>
      </c>
      <c r="AZ147" s="5">
        <f t="shared" si="264"/>
        <v>18.4</v>
      </c>
      <c r="BA147" s="220">
        <f t="shared" si="294"/>
        <v>5.22063553448612</v>
      </c>
      <c r="BB147" s="220">
        <f t="shared" si="295"/>
        <v>29.534580614899</v>
      </c>
      <c r="BC147" s="192">
        <f t="shared" si="258"/>
        <v>1.68697911320157</v>
      </c>
      <c r="BD147" s="220">
        <f t="shared" si="296"/>
        <v>11.2318746792094</v>
      </c>
      <c r="BF147" s="5">
        <f t="shared" si="265"/>
        <v>0.575554789892329</v>
      </c>
      <c r="BG147" s="5">
        <f t="shared" si="261"/>
        <v>0.346529871888271</v>
      </c>
      <c r="BI147" s="217">
        <f t="shared" si="236"/>
        <v>0.115942160658801</v>
      </c>
      <c r="BJ147" s="217">
        <f t="shared" si="237"/>
        <v>0.0245456</v>
      </c>
      <c r="BK147" s="217">
        <f t="shared" si="238"/>
        <v>0.00205152098555829</v>
      </c>
      <c r="BL147" s="217">
        <f t="shared" si="239"/>
        <v>0.00407085459027027</v>
      </c>
      <c r="BM147">
        <f t="shared" si="240"/>
        <v>0.0029</v>
      </c>
      <c r="BN147">
        <f t="shared" si="297"/>
        <v>2.05152098555829e-6</v>
      </c>
      <c r="BO147" s="217">
        <f t="shared" si="298"/>
        <v>0.212966603527924</v>
      </c>
      <c r="BP147" s="220">
        <f t="shared" si="243"/>
        <v>149.51013623463</v>
      </c>
      <c r="BQ147" s="217">
        <f t="shared" si="299"/>
        <v>0.198349512261972</v>
      </c>
      <c r="BT147" s="220">
        <f t="shared" si="245"/>
        <v>198.349512261972</v>
      </c>
      <c r="BU147" s="217">
        <f t="shared" si="246"/>
        <v>0.0135817959628881</v>
      </c>
      <c r="BV147" s="217">
        <f t="shared" si="247"/>
        <v>0.0120082952110901</v>
      </c>
      <c r="BW147" s="217">
        <f t="shared" si="248"/>
        <v>0</v>
      </c>
      <c r="BX147" s="217"/>
      <c r="BY147" s="217">
        <f t="shared" si="249"/>
        <v>0.01184</v>
      </c>
      <c r="BZ147" s="220">
        <f t="shared" si="250"/>
        <v>37.4300911739782</v>
      </c>
      <c r="CA147" s="5">
        <f t="shared" si="251"/>
        <v>0.38528973967058</v>
      </c>
      <c r="CB147" s="192">
        <f t="shared" si="252"/>
        <v>3.33</v>
      </c>
      <c r="CC147" s="5">
        <f t="shared" si="253"/>
        <v>0.896296179660878</v>
      </c>
      <c r="CD147" s="192">
        <f t="shared" si="254"/>
        <v>89.6296179660878</v>
      </c>
      <c r="CG147" s="227">
        <f t="shared" si="300"/>
        <v>-50</v>
      </c>
      <c r="CH147">
        <f t="shared" si="301"/>
        <v>-50</v>
      </c>
    </row>
    <row r="148" spans="5:86">
      <c r="E148" s="22">
        <v>38</v>
      </c>
      <c r="F148" s="25">
        <f t="shared" si="302"/>
        <v>0.19</v>
      </c>
      <c r="G148" s="25"/>
      <c r="H148" s="25">
        <f t="shared" si="266"/>
        <v>3.42</v>
      </c>
      <c r="I148" s="212">
        <f t="shared" si="267"/>
        <v>10</v>
      </c>
      <c r="J148" s="131">
        <f t="shared" si="268"/>
        <v>12.2728</v>
      </c>
      <c r="K148" s="131">
        <f t="shared" si="269"/>
        <v>22.2728</v>
      </c>
      <c r="L148" s="131"/>
      <c r="M148" s="25">
        <f t="shared" si="270"/>
        <v>0.551021874214288</v>
      </c>
      <c r="N148" s="27">
        <f t="shared" si="271"/>
        <v>3.74915283215402</v>
      </c>
      <c r="O148" s="27">
        <f t="shared" si="262"/>
        <v>3.42</v>
      </c>
      <c r="P148" s="25">
        <f t="shared" si="272"/>
        <v>0.208286268453001</v>
      </c>
      <c r="Q148" s="25">
        <f t="shared" si="273"/>
        <v>18</v>
      </c>
      <c r="R148" s="25"/>
      <c r="S148" s="27">
        <f t="shared" si="274"/>
        <v>20.8164698790297</v>
      </c>
      <c r="T148" s="27">
        <f t="shared" si="275"/>
        <v>18</v>
      </c>
      <c r="U148" s="25">
        <f t="shared" si="276"/>
        <v>1.37925558959651</v>
      </c>
      <c r="V148" s="25">
        <f t="shared" si="277"/>
        <v>3.44813897399127</v>
      </c>
      <c r="W148" s="25">
        <f t="shared" si="278"/>
        <v>2.80957807019691</v>
      </c>
      <c r="X148" s="24">
        <f t="shared" si="279"/>
        <v>350</v>
      </c>
      <c r="Y148" s="131">
        <f t="shared" si="215"/>
        <v>159.802687296119</v>
      </c>
      <c r="AA148" s="25">
        <f t="shared" si="280"/>
        <v>0.62973928481633</v>
      </c>
      <c r="AB148" s="5">
        <f t="shared" si="281"/>
        <v>1.28279464510203</v>
      </c>
      <c r="AC148" s="5">
        <f t="shared" si="282"/>
        <v>0.0942935111374618</v>
      </c>
      <c r="AD148" s="5"/>
      <c r="AE148" s="5">
        <f t="shared" si="283"/>
        <v>0.611107489733394</v>
      </c>
      <c r="AF148" s="216">
        <f t="shared" si="284"/>
        <v>3107.55555555556</v>
      </c>
      <c r="AG148" s="217">
        <f t="shared" si="285"/>
        <v>0.0213994565217391</v>
      </c>
      <c r="AI148" s="5">
        <f t="shared" si="286"/>
        <v>0.893915943635482</v>
      </c>
      <c r="AJ148" s="5">
        <f t="shared" si="287"/>
        <v>1.37925558959651</v>
      </c>
      <c r="AK148" s="5">
        <f t="shared" si="288"/>
        <v>1.91950372639767</v>
      </c>
      <c r="AM148" s="216">
        <f t="shared" si="289"/>
        <v>190</v>
      </c>
      <c r="AN148" s="220">
        <f t="shared" si="290"/>
        <v>159.802687296119</v>
      </c>
      <c r="AP148" s="220">
        <f t="shared" si="291"/>
        <v>190</v>
      </c>
      <c r="AQ148" s="220">
        <f t="shared" si="292"/>
        <v>159.802687296119</v>
      </c>
      <c r="AS148" s="192">
        <f t="shared" si="263"/>
        <v>6.25771704418818</v>
      </c>
      <c r="AT148" s="192">
        <f t="shared" si="293"/>
        <v>3.44813897399127</v>
      </c>
      <c r="AU148" s="192">
        <f t="shared" si="230"/>
        <v>2.80957807019691</v>
      </c>
      <c r="AV148" s="192"/>
      <c r="AW148" s="5">
        <f t="shared" si="231"/>
        <v>0.551021874214288</v>
      </c>
      <c r="AX148" s="5">
        <f t="shared" si="259"/>
        <v>3.8</v>
      </c>
      <c r="AY148" s="5">
        <f t="shared" si="260"/>
        <v>0.206521739130435</v>
      </c>
      <c r="AZ148" s="5">
        <f t="shared" si="264"/>
        <v>18.4</v>
      </c>
      <c r="BA148" s="220">
        <f t="shared" si="294"/>
        <v>5.22063553448612</v>
      </c>
      <c r="BB148" s="220">
        <f t="shared" si="295"/>
        <v>31.1372128618803</v>
      </c>
      <c r="BC148" s="192">
        <f t="shared" si="258"/>
        <v>1.77939944445804</v>
      </c>
      <c r="BD148" s="220">
        <f t="shared" si="296"/>
        <v>11.8163966667483</v>
      </c>
      <c r="BF148" s="5">
        <f t="shared" si="265"/>
        <v>0.591110324754284</v>
      </c>
      <c r="BG148" s="5">
        <f t="shared" si="261"/>
        <v>0.355895544101467</v>
      </c>
      <c r="BI148" s="217">
        <f t="shared" si="236"/>
        <v>0.12229399561089</v>
      </c>
      <c r="BJ148" s="217">
        <f t="shared" si="237"/>
        <v>0.0245456</v>
      </c>
      <c r="BK148" s="217">
        <f t="shared" si="238"/>
        <v>0.00199753359120149</v>
      </c>
      <c r="BL148" s="217">
        <f t="shared" si="239"/>
        <v>0.00396372683789474</v>
      </c>
      <c r="BM148">
        <f t="shared" si="240"/>
        <v>0.0029</v>
      </c>
      <c r="BN148">
        <f t="shared" si="297"/>
        <v>1.99753359120149e-6</v>
      </c>
      <c r="BO148" s="217">
        <f t="shared" si="298"/>
        <v>0.223347708788787</v>
      </c>
      <c r="BP148" s="220">
        <f t="shared" si="243"/>
        <v>155.700856039987</v>
      </c>
      <c r="BQ148" s="217">
        <f t="shared" si="299"/>
        <v>0.205825392590422</v>
      </c>
      <c r="BT148" s="220">
        <f t="shared" si="245"/>
        <v>205.825392590422</v>
      </c>
      <c r="BU148" s="217">
        <f t="shared" si="246"/>
        <v>0.0143258680572757</v>
      </c>
      <c r="BV148" s="217">
        <f t="shared" si="247"/>
        <v>0.0126661638311279</v>
      </c>
      <c r="BW148" s="217">
        <f t="shared" si="248"/>
        <v>0</v>
      </c>
      <c r="BX148" s="217"/>
      <c r="BY148" s="217">
        <f t="shared" si="249"/>
        <v>0.01216</v>
      </c>
      <c r="BZ148" s="220">
        <f t="shared" si="250"/>
        <v>39.1520318884036</v>
      </c>
      <c r="CA148" s="5">
        <f t="shared" si="251"/>
        <v>0.400678280518812</v>
      </c>
      <c r="CB148" s="192">
        <f t="shared" si="252"/>
        <v>3.42</v>
      </c>
      <c r="CC148" s="5">
        <f t="shared" si="253"/>
        <v>0.89512901869759</v>
      </c>
      <c r="CD148" s="192">
        <f t="shared" si="254"/>
        <v>89.512901869759</v>
      </c>
      <c r="CG148" s="227">
        <f t="shared" si="300"/>
        <v>-50</v>
      </c>
      <c r="CH148">
        <f t="shared" si="301"/>
        <v>-50</v>
      </c>
    </row>
    <row r="149" spans="5:86">
      <c r="E149" s="22">
        <v>39</v>
      </c>
      <c r="F149" s="25">
        <f t="shared" si="302"/>
        <v>0.195</v>
      </c>
      <c r="G149" s="25"/>
      <c r="H149" s="25">
        <f t="shared" si="266"/>
        <v>3.51</v>
      </c>
      <c r="I149" s="212">
        <f t="shared" si="267"/>
        <v>10</v>
      </c>
      <c r="J149" s="131">
        <f t="shared" si="268"/>
        <v>12.2728</v>
      </c>
      <c r="K149" s="131">
        <f t="shared" si="269"/>
        <v>22.2728</v>
      </c>
      <c r="L149" s="131"/>
      <c r="M149" s="25">
        <f t="shared" si="270"/>
        <v>0.551021874214288</v>
      </c>
      <c r="N149" s="27">
        <f t="shared" si="271"/>
        <v>3.74915283215402</v>
      </c>
      <c r="O149" s="27">
        <f t="shared" si="262"/>
        <v>3.51</v>
      </c>
      <c r="P149" s="25">
        <f t="shared" si="272"/>
        <v>0.208286268453001</v>
      </c>
      <c r="Q149" s="25">
        <f t="shared" si="273"/>
        <v>18</v>
      </c>
      <c r="R149" s="25"/>
      <c r="S149" s="27">
        <f t="shared" si="274"/>
        <v>19.918037401366</v>
      </c>
      <c r="T149" s="27">
        <f t="shared" si="275"/>
        <v>18</v>
      </c>
      <c r="U149" s="25">
        <f t="shared" si="276"/>
        <v>1.41555178932273</v>
      </c>
      <c r="V149" s="25">
        <f t="shared" si="277"/>
        <v>3.53887947330683</v>
      </c>
      <c r="W149" s="25">
        <f t="shared" si="278"/>
        <v>2.88351433520209</v>
      </c>
      <c r="X149" s="24">
        <f t="shared" si="279"/>
        <v>350</v>
      </c>
      <c r="Y149" s="131">
        <f t="shared" si="215"/>
        <v>155.705182493655</v>
      </c>
      <c r="AA149" s="25">
        <f t="shared" si="280"/>
        <v>0.62973928481633</v>
      </c>
      <c r="AB149" s="5">
        <f t="shared" si="281"/>
        <v>1.28279464510203</v>
      </c>
      <c r="AC149" s="5">
        <f t="shared" si="282"/>
        <v>0.0942935111374618</v>
      </c>
      <c r="AD149" s="5"/>
      <c r="AE149" s="5">
        <f t="shared" si="283"/>
        <v>0.611107489733394</v>
      </c>
      <c r="AF149" s="216">
        <f t="shared" si="284"/>
        <v>3189.33333333333</v>
      </c>
      <c r="AG149" s="217">
        <f t="shared" si="285"/>
        <v>0.0213994565217391</v>
      </c>
      <c r="AI149" s="5">
        <f t="shared" si="286"/>
        <v>0.905601615344344</v>
      </c>
      <c r="AJ149" s="5">
        <f t="shared" si="287"/>
        <v>1.41555178932273</v>
      </c>
      <c r="AK149" s="5">
        <f t="shared" si="288"/>
        <v>1.94370119288182</v>
      </c>
      <c r="AM149" s="216">
        <f t="shared" si="289"/>
        <v>195</v>
      </c>
      <c r="AN149" s="220">
        <f t="shared" si="290"/>
        <v>155.705182493655</v>
      </c>
      <c r="AP149" s="220">
        <f t="shared" si="291"/>
        <v>195</v>
      </c>
      <c r="AQ149" s="220">
        <f t="shared" si="292"/>
        <v>155.705182493655</v>
      </c>
      <c r="AS149" s="192">
        <f t="shared" si="263"/>
        <v>6.42239380850892</v>
      </c>
      <c r="AT149" s="192">
        <f t="shared" si="293"/>
        <v>3.53887947330683</v>
      </c>
      <c r="AU149" s="192">
        <f t="shared" si="230"/>
        <v>2.88351433520209</v>
      </c>
      <c r="AV149" s="192"/>
      <c r="AW149" s="5">
        <f t="shared" si="231"/>
        <v>0.551021874214288</v>
      </c>
      <c r="AX149" s="5">
        <f t="shared" si="259"/>
        <v>3.9</v>
      </c>
      <c r="AY149" s="5">
        <f t="shared" si="260"/>
        <v>0.211956521739131</v>
      </c>
      <c r="AZ149" s="5">
        <f t="shared" si="264"/>
        <v>18.4</v>
      </c>
      <c r="BA149" s="220">
        <f t="shared" si="294"/>
        <v>5.22063553448612</v>
      </c>
      <c r="BB149" s="220">
        <f t="shared" si="295"/>
        <v>32.7821819687811</v>
      </c>
      <c r="BC149" s="192">
        <f t="shared" si="258"/>
        <v>1.87428431788136</v>
      </c>
      <c r="BD149" s="220">
        <f t="shared" si="296"/>
        <v>12.4157059072882</v>
      </c>
      <c r="BF149" s="5">
        <f t="shared" si="265"/>
        <v>0.606665859616239</v>
      </c>
      <c r="BG149" s="5">
        <f t="shared" si="261"/>
        <v>0.365261216314664</v>
      </c>
      <c r="BI149" s="217">
        <f t="shared" si="236"/>
        <v>0.128815212828369</v>
      </c>
      <c r="BJ149" s="217">
        <f t="shared" si="237"/>
        <v>0.0245456</v>
      </c>
      <c r="BK149" s="217">
        <f t="shared" si="238"/>
        <v>0.00194631478117068</v>
      </c>
      <c r="BL149" s="217">
        <f t="shared" si="239"/>
        <v>0.00386209281641026</v>
      </c>
      <c r="BM149">
        <f t="shared" si="240"/>
        <v>0.0029</v>
      </c>
      <c r="BN149">
        <f t="shared" si="297"/>
        <v>1.94631478117068e-6</v>
      </c>
      <c r="BO149" s="217">
        <f t="shared" si="298"/>
        <v>0.234102391773576</v>
      </c>
      <c r="BP149" s="220">
        <f t="shared" si="243"/>
        <v>162.069220425949</v>
      </c>
      <c r="BQ149" s="217">
        <f t="shared" si="299"/>
        <v>0.213412593060964</v>
      </c>
      <c r="BT149" s="220">
        <f t="shared" si="245"/>
        <v>213.412593060964</v>
      </c>
      <c r="BU149" s="217">
        <f t="shared" si="246"/>
        <v>0.0150897820741803</v>
      </c>
      <c r="BV149" s="217">
        <f t="shared" si="247"/>
        <v>0.0133415756143667</v>
      </c>
      <c r="BW149" s="217">
        <f t="shared" si="248"/>
        <v>0</v>
      </c>
      <c r="BX149" s="217"/>
      <c r="BY149" s="217">
        <f t="shared" si="249"/>
        <v>0.01248</v>
      </c>
      <c r="BZ149" s="220">
        <f t="shared" si="250"/>
        <v>40.9113576885471</v>
      </c>
      <c r="CA149" s="5">
        <f t="shared" si="251"/>
        <v>0.416393171175461</v>
      </c>
      <c r="CB149" s="192">
        <f t="shared" si="252"/>
        <v>3.51</v>
      </c>
      <c r="CC149" s="5">
        <f t="shared" si="253"/>
        <v>0.893950210021682</v>
      </c>
      <c r="CD149" s="192">
        <f t="shared" si="254"/>
        <v>89.3950210021682</v>
      </c>
      <c r="CG149" s="227">
        <f t="shared" si="300"/>
        <v>-50</v>
      </c>
      <c r="CH149">
        <f t="shared" si="301"/>
        <v>-50</v>
      </c>
    </row>
    <row r="150" spans="5:86">
      <c r="E150" s="22">
        <v>40</v>
      </c>
      <c r="F150" s="25">
        <f t="shared" si="302"/>
        <v>0.2</v>
      </c>
      <c r="G150" s="25"/>
      <c r="H150" s="25">
        <f t="shared" si="266"/>
        <v>3.6</v>
      </c>
      <c r="I150" s="212">
        <f t="shared" si="267"/>
        <v>10</v>
      </c>
      <c r="J150" s="131">
        <f t="shared" si="268"/>
        <v>12.2728</v>
      </c>
      <c r="K150" s="131">
        <f t="shared" si="269"/>
        <v>22.2728</v>
      </c>
      <c r="L150" s="131"/>
      <c r="M150" s="25">
        <f t="shared" si="270"/>
        <v>0.551021874214288</v>
      </c>
      <c r="N150" s="27">
        <f t="shared" si="271"/>
        <v>3.74915283215402</v>
      </c>
      <c r="O150" s="27">
        <f t="shared" si="262"/>
        <v>3.6</v>
      </c>
      <c r="P150" s="25">
        <f t="shared" si="272"/>
        <v>0.208286268453001</v>
      </c>
      <c r="Q150" s="25">
        <f t="shared" si="273"/>
        <v>18</v>
      </c>
      <c r="R150" s="25"/>
      <c r="S150" s="27">
        <f t="shared" si="274"/>
        <v>19.0655786170192</v>
      </c>
      <c r="T150" s="27">
        <f t="shared" si="275"/>
        <v>18</v>
      </c>
      <c r="U150" s="25">
        <f t="shared" si="276"/>
        <v>1.45184798904895</v>
      </c>
      <c r="V150" s="25">
        <f t="shared" si="277"/>
        <v>3.62961997262239</v>
      </c>
      <c r="W150" s="25">
        <f t="shared" si="278"/>
        <v>2.95745060020728</v>
      </c>
      <c r="X150" s="24">
        <f t="shared" si="279"/>
        <v>350</v>
      </c>
      <c r="Y150" s="131">
        <f t="shared" si="215"/>
        <v>151.812552931313</v>
      </c>
      <c r="AA150" s="25">
        <f t="shared" si="280"/>
        <v>0.62973928481633</v>
      </c>
      <c r="AB150" s="5">
        <f t="shared" si="281"/>
        <v>1.28279464510203</v>
      </c>
      <c r="AC150" s="5">
        <f t="shared" si="282"/>
        <v>0.0942935111374618</v>
      </c>
      <c r="AD150" s="5"/>
      <c r="AE150" s="5">
        <f t="shared" si="283"/>
        <v>0.611107489733394</v>
      </c>
      <c r="AF150" s="216">
        <f t="shared" si="284"/>
        <v>3271.11111111111</v>
      </c>
      <c r="AG150" s="217">
        <f t="shared" si="285"/>
        <v>0.0213994565217391</v>
      </c>
      <c r="AI150" s="5">
        <f t="shared" si="286"/>
        <v>0.917138406753777</v>
      </c>
      <c r="AJ150" s="5">
        <f t="shared" si="287"/>
        <v>1.45184798904895</v>
      </c>
      <c r="AK150" s="5">
        <f t="shared" si="288"/>
        <v>1.96789865936597</v>
      </c>
      <c r="AM150" s="216">
        <f t="shared" si="289"/>
        <v>200</v>
      </c>
      <c r="AN150" s="220">
        <f t="shared" si="290"/>
        <v>151.812552931313</v>
      </c>
      <c r="AP150" s="220">
        <f t="shared" si="291"/>
        <v>200</v>
      </c>
      <c r="AQ150" s="220">
        <f t="shared" si="292"/>
        <v>151.812552931313</v>
      </c>
      <c r="AS150" s="192">
        <f t="shared" si="263"/>
        <v>6.58707057282966</v>
      </c>
      <c r="AT150" s="192">
        <f t="shared" si="293"/>
        <v>3.62961997262239</v>
      </c>
      <c r="AU150" s="192">
        <f t="shared" si="230"/>
        <v>2.95745060020728</v>
      </c>
      <c r="AV150" s="192"/>
      <c r="AW150" s="5">
        <f t="shared" si="231"/>
        <v>0.551021874214288</v>
      </c>
      <c r="AX150" s="5">
        <f t="shared" si="259"/>
        <v>4</v>
      </c>
      <c r="AY150" s="5">
        <f t="shared" si="260"/>
        <v>0.217391304347826</v>
      </c>
      <c r="AZ150" s="5">
        <f t="shared" si="264"/>
        <v>18.4</v>
      </c>
      <c r="BA150" s="220">
        <f t="shared" si="294"/>
        <v>5.22063553448612</v>
      </c>
      <c r="BB150" s="220">
        <f t="shared" si="295"/>
        <v>34.4694879356015</v>
      </c>
      <c r="BC150" s="192">
        <f t="shared" si="258"/>
        <v>1.97163373347152</v>
      </c>
      <c r="BD150" s="220">
        <f t="shared" si="296"/>
        <v>13.0298024008291</v>
      </c>
      <c r="BF150" s="5">
        <f t="shared" si="265"/>
        <v>0.622221394478194</v>
      </c>
      <c r="BG150" s="5">
        <f t="shared" si="261"/>
        <v>0.37462688852786</v>
      </c>
      <c r="BI150" s="217">
        <f t="shared" si="236"/>
        <v>0.135505812311236</v>
      </c>
      <c r="BJ150" s="217">
        <f t="shared" si="237"/>
        <v>0.0245456</v>
      </c>
      <c r="BK150" s="217">
        <f t="shared" si="238"/>
        <v>0.00189765691164142</v>
      </c>
      <c r="BL150" s="217">
        <f t="shared" si="239"/>
        <v>0.003765540496</v>
      </c>
      <c r="BM150">
        <f t="shared" si="240"/>
        <v>0.0029</v>
      </c>
      <c r="BN150">
        <f t="shared" si="297"/>
        <v>1.89765691164142e-6</v>
      </c>
      <c r="BO150" s="217">
        <f t="shared" si="298"/>
        <v>0.245237759399556</v>
      </c>
      <c r="BP150" s="220">
        <f t="shared" si="243"/>
        <v>168.614609718877</v>
      </c>
      <c r="BQ150" s="217">
        <f t="shared" si="299"/>
        <v>0.221111113673598</v>
      </c>
      <c r="BT150" s="220">
        <f t="shared" si="245"/>
        <v>221.111113673598</v>
      </c>
      <c r="BU150" s="217">
        <f t="shared" si="246"/>
        <v>0.0158735380136019</v>
      </c>
      <c r="BV150" s="217">
        <f t="shared" si="247"/>
        <v>0.0140345305608066</v>
      </c>
      <c r="BW150" s="217">
        <f t="shared" si="248"/>
        <v>0</v>
      </c>
      <c r="BX150" s="217"/>
      <c r="BY150" s="217">
        <f t="shared" si="249"/>
        <v>0.0128</v>
      </c>
      <c r="BZ150" s="220">
        <f t="shared" si="250"/>
        <v>42.7080685744085</v>
      </c>
      <c r="CA150" s="5">
        <f t="shared" si="251"/>
        <v>0.432433791966884</v>
      </c>
      <c r="CB150" s="192">
        <f t="shared" si="252"/>
        <v>3.6</v>
      </c>
      <c r="CC150" s="5">
        <f t="shared" si="253"/>
        <v>0.892761093107506</v>
      </c>
      <c r="CD150" s="192">
        <f t="shared" si="254"/>
        <v>89.2761093107506</v>
      </c>
      <c r="CG150" s="227">
        <f t="shared" si="300"/>
        <v>-50</v>
      </c>
      <c r="CH150">
        <f t="shared" si="301"/>
        <v>-50</v>
      </c>
    </row>
    <row r="151" spans="5:86">
      <c r="E151" s="22">
        <v>41</v>
      </c>
      <c r="F151" s="25">
        <f t="shared" si="302"/>
        <v>0.205</v>
      </c>
      <c r="G151" s="25"/>
      <c r="H151" s="25">
        <f t="shared" si="266"/>
        <v>3.69</v>
      </c>
      <c r="I151" s="212">
        <f t="shared" si="267"/>
        <v>10</v>
      </c>
      <c r="J151" s="131">
        <f t="shared" si="268"/>
        <v>12.2728</v>
      </c>
      <c r="K151" s="131">
        <f t="shared" si="269"/>
        <v>22.2728</v>
      </c>
      <c r="L151" s="131"/>
      <c r="M151" s="25">
        <f t="shared" si="270"/>
        <v>0.551021874214288</v>
      </c>
      <c r="N151" s="27">
        <f t="shared" si="271"/>
        <v>3.74915283215402</v>
      </c>
      <c r="O151" s="27">
        <f t="shared" si="262"/>
        <v>3.69</v>
      </c>
      <c r="P151" s="25">
        <f t="shared" si="272"/>
        <v>0.208286268453001</v>
      </c>
      <c r="Q151" s="25">
        <f t="shared" si="273"/>
        <v>18</v>
      </c>
      <c r="R151" s="25"/>
      <c r="S151" s="27">
        <f t="shared" si="274"/>
        <v>18.2557809191785</v>
      </c>
      <c r="T151" s="27">
        <f t="shared" si="275"/>
        <v>18</v>
      </c>
      <c r="U151" s="25">
        <f t="shared" si="276"/>
        <v>1.48814418877518</v>
      </c>
      <c r="V151" s="25">
        <f t="shared" si="277"/>
        <v>3.72036047193795</v>
      </c>
      <c r="W151" s="25">
        <f t="shared" si="278"/>
        <v>3.03138686521246</v>
      </c>
      <c r="X151" s="24">
        <f t="shared" si="279"/>
        <v>350</v>
      </c>
      <c r="Y151" s="131">
        <f t="shared" si="215"/>
        <v>148.109807737867</v>
      </c>
      <c r="AA151" s="25">
        <f t="shared" si="280"/>
        <v>0.62973928481633</v>
      </c>
      <c r="AB151" s="5">
        <f t="shared" si="281"/>
        <v>1.28279464510203</v>
      </c>
      <c r="AC151" s="5">
        <f t="shared" si="282"/>
        <v>0.0942935111374618</v>
      </c>
      <c r="AD151" s="5"/>
      <c r="AE151" s="5">
        <f t="shared" si="283"/>
        <v>0.611107489733394</v>
      </c>
      <c r="AF151" s="216">
        <f t="shared" si="284"/>
        <v>3352.88888888889</v>
      </c>
      <c r="AG151" s="217">
        <f t="shared" si="285"/>
        <v>0.0213994565217391</v>
      </c>
      <c r="AI151" s="5">
        <f t="shared" si="286"/>
        <v>0.928531867289125</v>
      </c>
      <c r="AJ151" s="5">
        <f t="shared" si="287"/>
        <v>1.48814418877518</v>
      </c>
      <c r="AK151" s="5">
        <f t="shared" si="288"/>
        <v>1.99209612585012</v>
      </c>
      <c r="AM151" s="216">
        <f t="shared" si="289"/>
        <v>205</v>
      </c>
      <c r="AN151" s="220">
        <f t="shared" si="290"/>
        <v>148.109807737867</v>
      </c>
      <c r="AP151" s="220">
        <f t="shared" si="291"/>
        <v>205</v>
      </c>
      <c r="AQ151" s="220">
        <f t="shared" si="292"/>
        <v>148.109807737867</v>
      </c>
      <c r="AS151" s="192">
        <f t="shared" si="263"/>
        <v>6.7517473371504</v>
      </c>
      <c r="AT151" s="192">
        <f t="shared" si="293"/>
        <v>3.72036047193795</v>
      </c>
      <c r="AU151" s="192">
        <f t="shared" si="230"/>
        <v>3.03138686521246</v>
      </c>
      <c r="AV151" s="192"/>
      <c r="AW151" s="5">
        <f t="shared" si="231"/>
        <v>0.551021874214288</v>
      </c>
      <c r="AX151" s="5">
        <f t="shared" si="259"/>
        <v>4.1</v>
      </c>
      <c r="AY151" s="5">
        <f t="shared" si="260"/>
        <v>0.222826086956522</v>
      </c>
      <c r="AZ151" s="5">
        <f t="shared" si="264"/>
        <v>18.4</v>
      </c>
      <c r="BA151" s="220">
        <f t="shared" si="294"/>
        <v>5.22063553448612</v>
      </c>
      <c r="BB151" s="220">
        <f t="shared" si="295"/>
        <v>36.1991307623413</v>
      </c>
      <c r="BC151" s="192">
        <f t="shared" si="258"/>
        <v>2.07144769122851</v>
      </c>
      <c r="BD151" s="220">
        <f t="shared" si="296"/>
        <v>13.6586861473711</v>
      </c>
      <c r="BF151" s="5">
        <f t="shared" si="265"/>
        <v>0.637776929340149</v>
      </c>
      <c r="BG151" s="5">
        <f t="shared" si="261"/>
        <v>0.383992560741056</v>
      </c>
      <c r="BI151" s="217">
        <f t="shared" si="236"/>
        <v>0.142365794059492</v>
      </c>
      <c r="BJ151" s="217">
        <f t="shared" si="237"/>
        <v>0.0245456</v>
      </c>
      <c r="BK151" s="217">
        <f t="shared" si="238"/>
        <v>0.00185137259672333</v>
      </c>
      <c r="BL151" s="217">
        <f t="shared" si="239"/>
        <v>0.00367369804487805</v>
      </c>
      <c r="BM151">
        <f t="shared" si="240"/>
        <v>0.0029</v>
      </c>
      <c r="BN151">
        <f t="shared" si="297"/>
        <v>1.85137259672333e-6</v>
      </c>
      <c r="BO151" s="217">
        <f t="shared" si="298"/>
        <v>0.25676133572122</v>
      </c>
      <c r="BP151" s="220">
        <f t="shared" si="243"/>
        <v>175.336464701094</v>
      </c>
      <c r="BQ151" s="217">
        <f t="shared" si="299"/>
        <v>0.228920954428324</v>
      </c>
      <c r="BT151" s="220">
        <f t="shared" si="245"/>
        <v>228.920954428324</v>
      </c>
      <c r="BU151" s="217">
        <f t="shared" si="246"/>
        <v>0.0166771358755405</v>
      </c>
      <c r="BV151" s="217">
        <f t="shared" si="247"/>
        <v>0.0147450286704474</v>
      </c>
      <c r="BW151" s="217">
        <f t="shared" si="248"/>
        <v>0</v>
      </c>
      <c r="BX151" s="217"/>
      <c r="BY151" s="217">
        <f t="shared" si="249"/>
        <v>0.01312</v>
      </c>
      <c r="BZ151" s="220">
        <f t="shared" si="250"/>
        <v>44.5421645459879</v>
      </c>
      <c r="CA151" s="5">
        <f t="shared" si="251"/>
        <v>0.448799583675405</v>
      </c>
      <c r="CB151" s="192">
        <f t="shared" si="252"/>
        <v>3.69</v>
      </c>
      <c r="CC151" s="5">
        <f t="shared" si="253"/>
        <v>0.891562861500809</v>
      </c>
      <c r="CD151" s="192">
        <f t="shared" si="254"/>
        <v>89.1562861500809</v>
      </c>
      <c r="CG151" s="227">
        <f t="shared" si="300"/>
        <v>-50</v>
      </c>
      <c r="CH151">
        <f t="shared" si="301"/>
        <v>-50</v>
      </c>
    </row>
    <row r="152" spans="5:86">
      <c r="E152" s="22">
        <v>42</v>
      </c>
      <c r="F152" s="25">
        <f t="shared" si="302"/>
        <v>0.21</v>
      </c>
      <c r="G152" s="25"/>
      <c r="H152" s="25">
        <f t="shared" si="266"/>
        <v>3.78</v>
      </c>
      <c r="I152" s="212">
        <f t="shared" si="267"/>
        <v>10</v>
      </c>
      <c r="J152" s="131">
        <f t="shared" si="268"/>
        <v>11.9297286880503</v>
      </c>
      <c r="K152" s="131">
        <f t="shared" si="269"/>
        <v>22.2728</v>
      </c>
      <c r="L152" s="131"/>
      <c r="M152" s="25">
        <f t="shared" si="270"/>
        <v>0.551021874214288</v>
      </c>
      <c r="N152" s="27">
        <f t="shared" si="271"/>
        <v>3.74915283215402</v>
      </c>
      <c r="O152" s="27">
        <f t="shared" si="262"/>
        <v>3.67198654346411</v>
      </c>
      <c r="P152" s="25">
        <f t="shared" si="272"/>
        <v>0.208286268453001</v>
      </c>
      <c r="Q152" s="25">
        <f t="shared" si="273"/>
        <v>17.8531087245429</v>
      </c>
      <c r="R152" s="25"/>
      <c r="S152" s="27">
        <f t="shared" si="274"/>
        <v>17.4856502069719</v>
      </c>
      <c r="T152" s="27">
        <f t="shared" si="275"/>
        <v>17.4856502069719</v>
      </c>
      <c r="U152" s="25">
        <f t="shared" si="276"/>
        <v>1.5</v>
      </c>
      <c r="V152" s="25">
        <f t="shared" si="277"/>
        <v>3.75</v>
      </c>
      <c r="W152" s="25">
        <f t="shared" si="278"/>
        <v>3.14340761475681</v>
      </c>
      <c r="X152" s="24">
        <f t="shared" si="279"/>
        <v>350</v>
      </c>
      <c r="Y152" s="131">
        <f t="shared" si="215"/>
        <v>145.066135050434</v>
      </c>
      <c r="AA152" s="25">
        <f t="shared" si="280"/>
        <v>0.621712007359002</v>
      </c>
      <c r="AB152" s="5">
        <f t="shared" si="281"/>
        <v>1.30286283874535</v>
      </c>
      <c r="AC152" s="5">
        <f t="shared" si="282"/>
        <v>0.0945478885779418</v>
      </c>
      <c r="AD152" s="5"/>
      <c r="AE152" s="5">
        <f t="shared" si="283"/>
        <v>0.628681522951361</v>
      </c>
      <c r="AF152" s="216">
        <f t="shared" si="284"/>
        <v>3338.65470530143</v>
      </c>
      <c r="AG152" s="217">
        <f t="shared" si="285"/>
        <v>0.0220148552299493</v>
      </c>
      <c r="AI152" s="5">
        <f t="shared" si="286"/>
        <v>0.926558800041667</v>
      </c>
      <c r="AJ152" s="5">
        <f t="shared" si="287"/>
        <v>1.5</v>
      </c>
      <c r="AK152" s="5">
        <f t="shared" si="288"/>
        <v>2</v>
      </c>
      <c r="AM152" s="216">
        <f t="shared" si="289"/>
        <v>210</v>
      </c>
      <c r="AN152" s="220">
        <f t="shared" si="290"/>
        <v>145.066135050434</v>
      </c>
      <c r="AP152" s="220" t="str">
        <f t="shared" si="291"/>
        <v/>
      </c>
      <c r="AQ152" s="220" t="str">
        <f t="shared" si="292"/>
        <v/>
      </c>
      <c r="AS152" s="192">
        <f t="shared" si="263"/>
        <v>6.89340761475681</v>
      </c>
      <c r="AT152" s="192">
        <f t="shared" si="293"/>
        <v>3.75</v>
      </c>
      <c r="AU152" s="192">
        <f t="shared" si="230"/>
        <v>3.14340761475681</v>
      </c>
      <c r="AV152" s="192"/>
      <c r="AW152" s="5">
        <f t="shared" si="231"/>
        <v>0.543998006439127</v>
      </c>
      <c r="AX152" s="5">
        <f t="shared" si="259"/>
        <v>4.07998504829345</v>
      </c>
      <c r="AY152" s="5">
        <f t="shared" si="260"/>
        <v>0.228114997278827</v>
      </c>
      <c r="AZ152" s="5">
        <f t="shared" si="264"/>
        <v>17.8856502069719</v>
      </c>
      <c r="BA152" s="220">
        <f t="shared" si="294"/>
        <v>5.22063553448612</v>
      </c>
      <c r="BB152" s="220">
        <f t="shared" si="295"/>
        <v>37.9711104490006</v>
      </c>
      <c r="BC152" s="192">
        <f t="shared" si="258"/>
        <v>2.20038533032976</v>
      </c>
      <c r="BD152" s="220">
        <f t="shared" si="296"/>
        <v>14.0490515833876</v>
      </c>
      <c r="BF152" s="5">
        <f t="shared" si="265"/>
        <v>0.638747606515551</v>
      </c>
      <c r="BG152" s="5">
        <f t="shared" si="261"/>
        <v>0.390067562333729</v>
      </c>
      <c r="BI152" s="217">
        <f t="shared" si="236"/>
        <v>0.142799476690271</v>
      </c>
      <c r="BJ152" s="217">
        <f t="shared" si="237"/>
        <v>0.0242327175956348</v>
      </c>
      <c r="BK152" s="217">
        <f t="shared" si="238"/>
        <v>0.00181332668813042</v>
      </c>
      <c r="BL152" s="217">
        <f t="shared" si="239"/>
        <v>0.00359820314976036</v>
      </c>
      <c r="BM152">
        <f t="shared" si="240"/>
        <v>0.0029</v>
      </c>
      <c r="BN152">
        <f t="shared" si="297"/>
        <v>1.81332668813042e-6</v>
      </c>
      <c r="BO152" s="217">
        <f t="shared" si="298"/>
        <v>0.257038886642744</v>
      </c>
      <c r="BP152" s="220">
        <f t="shared" si="243"/>
        <v>175.343724123796</v>
      </c>
      <c r="BQ152" s="217">
        <f t="shared" si="299"/>
        <v>0.235206247806027</v>
      </c>
      <c r="BT152" s="220">
        <f t="shared" si="245"/>
        <v>235.206247806027</v>
      </c>
      <c r="BU152" s="217">
        <f t="shared" si="246"/>
        <v>0.0167279386980032</v>
      </c>
      <c r="BV152" s="217">
        <f t="shared" si="247"/>
        <v>0.0152152703184977</v>
      </c>
      <c r="BW152" s="217">
        <f t="shared" si="248"/>
        <v>0</v>
      </c>
      <c r="BX152" s="217"/>
      <c r="BY152" s="217">
        <f t="shared" si="249"/>
        <v>0.013055952154539</v>
      </c>
      <c r="BZ152" s="220">
        <f t="shared" si="250"/>
        <v>44.99916117104</v>
      </c>
      <c r="CA152" s="5">
        <f t="shared" si="251"/>
        <v>0.455549133100864</v>
      </c>
      <c r="CB152" s="192">
        <f t="shared" si="252"/>
        <v>3.67198654346411</v>
      </c>
      <c r="CC152" s="5">
        <f t="shared" si="253"/>
        <v>0.889631690965787</v>
      </c>
      <c r="CD152" s="192">
        <f t="shared" si="254"/>
        <v>88.9631690965787</v>
      </c>
      <c r="CG152" s="227">
        <f t="shared" si="300"/>
        <v>145.066135050434</v>
      </c>
      <c r="CH152">
        <f t="shared" si="301"/>
        <v>3.33536517375834</v>
      </c>
    </row>
    <row r="153" spans="5:86">
      <c r="E153" s="22">
        <v>43</v>
      </c>
      <c r="F153" s="25">
        <f t="shared" si="302"/>
        <v>0.215</v>
      </c>
      <c r="G153" s="25"/>
      <c r="H153" s="25">
        <f t="shared" si="266"/>
        <v>3.87</v>
      </c>
      <c r="I153" s="212">
        <f t="shared" si="267"/>
        <v>10</v>
      </c>
      <c r="J153" s="131">
        <f t="shared" si="268"/>
        <v>11.4407001844902</v>
      </c>
      <c r="K153" s="131">
        <f t="shared" si="269"/>
        <v>22.2728</v>
      </c>
      <c r="L153" s="131"/>
      <c r="M153" s="25">
        <f t="shared" si="270"/>
        <v>0.551021874214288</v>
      </c>
      <c r="N153" s="27">
        <f t="shared" si="271"/>
        <v>3.74915283215402</v>
      </c>
      <c r="O153" s="27">
        <f t="shared" si="262"/>
        <v>3.60178191853883</v>
      </c>
      <c r="P153" s="25">
        <f t="shared" si="272"/>
        <v>0.208286268453001</v>
      </c>
      <c r="Q153" s="25">
        <f t="shared" si="273"/>
        <v>17.4379201495536</v>
      </c>
      <c r="R153" s="25"/>
      <c r="S153" s="27">
        <f t="shared" si="274"/>
        <v>16.7524740397155</v>
      </c>
      <c r="T153" s="27">
        <f t="shared" si="275"/>
        <v>16.7524740397155</v>
      </c>
      <c r="U153" s="25">
        <f t="shared" si="276"/>
        <v>1.5</v>
      </c>
      <c r="V153" s="25">
        <f t="shared" si="277"/>
        <v>3.75</v>
      </c>
      <c r="W153" s="25">
        <f t="shared" si="278"/>
        <v>3.27777141217611</v>
      </c>
      <c r="X153" s="24">
        <f t="shared" si="279"/>
        <v>350</v>
      </c>
      <c r="Y153" s="131">
        <f t="shared" si="215"/>
        <v>142.292619004003</v>
      </c>
      <c r="AA153" s="25">
        <f t="shared" si="280"/>
        <v>0.609825510017156</v>
      </c>
      <c r="AB153" s="5">
        <f t="shared" si="281"/>
        <v>1.33257908209997</v>
      </c>
      <c r="AC153" s="5">
        <f t="shared" si="282"/>
        <v>0.0948554878528828</v>
      </c>
      <c r="AD153" s="5"/>
      <c r="AE153" s="5">
        <f t="shared" si="283"/>
        <v>0.655554282435222</v>
      </c>
      <c r="AF153" s="216">
        <f t="shared" si="284"/>
        <v>3278.02837203451</v>
      </c>
      <c r="AG153" s="217">
        <f t="shared" si="285"/>
        <v>0.0229558720851754</v>
      </c>
      <c r="AI153" s="5">
        <f t="shared" si="286"/>
        <v>0.918107608823881</v>
      </c>
      <c r="AJ153" s="5">
        <f t="shared" si="287"/>
        <v>1.5</v>
      </c>
      <c r="AK153" s="5">
        <f t="shared" si="288"/>
        <v>2</v>
      </c>
      <c r="AM153" s="216">
        <f t="shared" si="289"/>
        <v>215</v>
      </c>
      <c r="AN153" s="220">
        <f t="shared" si="290"/>
        <v>142.292619004003</v>
      </c>
      <c r="AP153" s="220" t="str">
        <f t="shared" si="291"/>
        <v/>
      </c>
      <c r="AQ153" s="220" t="str">
        <f t="shared" si="292"/>
        <v/>
      </c>
      <c r="AS153" s="192">
        <f t="shared" si="263"/>
        <v>7.02777141217611</v>
      </c>
      <c r="AT153" s="192">
        <f t="shared" si="293"/>
        <v>3.75</v>
      </c>
      <c r="AU153" s="192">
        <f t="shared" si="230"/>
        <v>3.27777141217611</v>
      </c>
      <c r="AV153" s="192"/>
      <c r="AW153" s="5">
        <f t="shared" si="231"/>
        <v>0.533597321265012</v>
      </c>
      <c r="AX153" s="5">
        <f t="shared" si="259"/>
        <v>4.00197990948759</v>
      </c>
      <c r="AY153" s="5">
        <f t="shared" si="260"/>
        <v>0.233317940037178</v>
      </c>
      <c r="AZ153" s="5">
        <f t="shared" si="264"/>
        <v>17.1524740397155</v>
      </c>
      <c r="BA153" s="220">
        <f t="shared" si="294"/>
        <v>5.22063553448612</v>
      </c>
      <c r="BB153" s="220">
        <f t="shared" si="295"/>
        <v>39.7854269955794</v>
      </c>
      <c r="BC153" s="192">
        <f t="shared" si="258"/>
        <v>2.34906951205954</v>
      </c>
      <c r="BD153" s="220">
        <f t="shared" si="296"/>
        <v>14.3181693122678</v>
      </c>
      <c r="BF153" s="5">
        <f t="shared" si="265"/>
        <v>0.632612038257856</v>
      </c>
      <c r="BG153" s="5">
        <f t="shared" si="261"/>
        <v>0.394490894704552</v>
      </c>
      <c r="BI153" s="217">
        <f t="shared" si="236"/>
        <v>0.140069296832066</v>
      </c>
      <c r="BJ153" s="217">
        <f t="shared" si="237"/>
        <v>0.0237694128341427</v>
      </c>
      <c r="BK153" s="217">
        <f t="shared" si="238"/>
        <v>0.00177865773755004</v>
      </c>
      <c r="BL153" s="217">
        <f t="shared" si="239"/>
        <v>0.00352940918781529</v>
      </c>
      <c r="BM153">
        <f t="shared" si="240"/>
        <v>0.0029</v>
      </c>
      <c r="BN153">
        <f t="shared" si="297"/>
        <v>1.77865773755004e-6</v>
      </c>
      <c r="BO153" s="217">
        <f t="shared" si="298"/>
        <v>0.251764443190323</v>
      </c>
      <c r="BP153" s="220">
        <f t="shared" si="243"/>
        <v>172.046776591574</v>
      </c>
      <c r="BQ153" s="217">
        <f t="shared" si="299"/>
        <v>0.240709741533344</v>
      </c>
      <c r="BT153" s="220">
        <f t="shared" si="245"/>
        <v>240.709741533344</v>
      </c>
      <c r="BU153" s="217">
        <f t="shared" si="246"/>
        <v>0.0164081176288991</v>
      </c>
      <c r="BV153" s="217">
        <f t="shared" si="247"/>
        <v>0.0155623066004798</v>
      </c>
      <c r="BW153" s="217">
        <f t="shared" si="248"/>
        <v>0</v>
      </c>
      <c r="BX153" s="217"/>
      <c r="BY153" s="217">
        <f t="shared" si="249"/>
        <v>0.0128063357103603</v>
      </c>
      <c r="BZ153" s="220">
        <f t="shared" si="250"/>
        <v>44.7767599397392</v>
      </c>
      <c r="CA153" s="5">
        <f t="shared" si="251"/>
        <v>0.457533278064657</v>
      </c>
      <c r="CB153" s="192">
        <f t="shared" si="252"/>
        <v>3.60178191853883</v>
      </c>
      <c r="CC153" s="5">
        <f t="shared" si="253"/>
        <v>0.887288063157184</v>
      </c>
      <c r="CD153" s="192">
        <f t="shared" si="254"/>
        <v>88.7288063157184</v>
      </c>
      <c r="CG153" s="227">
        <f t="shared" si="300"/>
        <v>-50</v>
      </c>
      <c r="CH153">
        <f t="shared" si="301"/>
        <v>-50</v>
      </c>
    </row>
    <row r="154" spans="5:86">
      <c r="E154" s="22">
        <v>44</v>
      </c>
      <c r="F154" s="25">
        <f t="shared" si="302"/>
        <v>0.22</v>
      </c>
      <c r="G154" s="25"/>
      <c r="H154" s="25">
        <f t="shared" si="266"/>
        <v>3.96</v>
      </c>
      <c r="I154" s="212">
        <f t="shared" si="267"/>
        <v>10</v>
      </c>
      <c r="J154" s="131">
        <f t="shared" si="268"/>
        <v>10.9746778138417</v>
      </c>
      <c r="K154" s="131">
        <f t="shared" si="269"/>
        <v>22.2728</v>
      </c>
      <c r="L154" s="131"/>
      <c r="M154" s="25">
        <f t="shared" si="270"/>
        <v>0.551021874214288</v>
      </c>
      <c r="N154" s="27">
        <f t="shared" si="271"/>
        <v>3.74915283215402</v>
      </c>
      <c r="O154" s="27">
        <f t="shared" si="262"/>
        <v>3.5318337616869</v>
      </c>
      <c r="P154" s="25">
        <f t="shared" si="272"/>
        <v>0.208286268453001</v>
      </c>
      <c r="Q154" s="25">
        <f t="shared" si="273"/>
        <v>17.0416037825183</v>
      </c>
      <c r="R154" s="25"/>
      <c r="S154" s="27">
        <f t="shared" si="274"/>
        <v>16.0537898258496</v>
      </c>
      <c r="T154" s="27">
        <f t="shared" si="275"/>
        <v>16.0537898258496</v>
      </c>
      <c r="U154" s="25">
        <f t="shared" si="276"/>
        <v>1.5</v>
      </c>
      <c r="V154" s="25">
        <f t="shared" si="277"/>
        <v>3.75</v>
      </c>
      <c r="W154" s="25">
        <f t="shared" si="278"/>
        <v>3.41695680147473</v>
      </c>
      <c r="X154" s="24">
        <f t="shared" si="279"/>
        <v>350</v>
      </c>
      <c r="Y154" s="131">
        <f t="shared" si="215"/>
        <v>139.529235029606</v>
      </c>
      <c r="AA154" s="25">
        <f t="shared" si="280"/>
        <v>0.597982435841169</v>
      </c>
      <c r="AB154" s="5">
        <f t="shared" si="281"/>
        <v>1.36218676753994</v>
      </c>
      <c r="AC154" s="5">
        <f t="shared" si="282"/>
        <v>0.0950799550405601</v>
      </c>
      <c r="AD154" s="5"/>
      <c r="AE154" s="5">
        <f t="shared" si="283"/>
        <v>0.683391360294945</v>
      </c>
      <c r="AF154" s="216">
        <f t="shared" si="284"/>
        <v>3217.63001038836</v>
      </c>
      <c r="AG154" s="217">
        <f t="shared" si="285"/>
        <v>0.0239306569591282</v>
      </c>
      <c r="AI154" s="5">
        <f t="shared" si="286"/>
        <v>0.909610122030237</v>
      </c>
      <c r="AJ154" s="5">
        <f t="shared" si="287"/>
        <v>1.5</v>
      </c>
      <c r="AK154" s="5">
        <f t="shared" si="288"/>
        <v>2</v>
      </c>
      <c r="AM154" s="216">
        <f t="shared" si="289"/>
        <v>220</v>
      </c>
      <c r="AN154" s="220">
        <f t="shared" si="290"/>
        <v>139.529235029606</v>
      </c>
      <c r="AP154" s="220" t="str">
        <f t="shared" si="291"/>
        <v/>
      </c>
      <c r="AQ154" s="220" t="str">
        <f t="shared" si="292"/>
        <v/>
      </c>
      <c r="AS154" s="192">
        <f t="shared" si="263"/>
        <v>7.16695680147473</v>
      </c>
      <c r="AT154" s="192">
        <f t="shared" si="293"/>
        <v>3.75</v>
      </c>
      <c r="AU154" s="192">
        <f t="shared" si="230"/>
        <v>3.41695680147473</v>
      </c>
      <c r="AV154" s="192"/>
      <c r="AW154" s="5">
        <f t="shared" si="231"/>
        <v>0.523234631361022</v>
      </c>
      <c r="AX154" s="5">
        <f t="shared" si="259"/>
        <v>3.92425973520767</v>
      </c>
      <c r="AY154" s="5">
        <f t="shared" si="260"/>
        <v>0.238501875661649</v>
      </c>
      <c r="AZ154" s="5">
        <f t="shared" si="264"/>
        <v>16.4537898258495</v>
      </c>
      <c r="BA154" s="220">
        <f t="shared" si="294"/>
        <v>5.22063553448612</v>
      </c>
      <c r="BB154" s="220">
        <f t="shared" si="295"/>
        <v>41.6420804020778</v>
      </c>
      <c r="BC154" s="192">
        <f t="shared" si="258"/>
        <v>2.50576832108147</v>
      </c>
      <c r="BD154" s="220">
        <f t="shared" si="296"/>
        <v>14.5863039135335</v>
      </c>
      <c r="BF154" s="5">
        <f t="shared" si="265"/>
        <v>0.626439121959003</v>
      </c>
      <c r="BG154" s="5">
        <f t="shared" si="261"/>
        <v>0.398849283647745</v>
      </c>
      <c r="BI154" s="217">
        <f t="shared" si="236"/>
        <v>0.137349090732268</v>
      </c>
      <c r="BJ154" s="217">
        <f t="shared" si="237"/>
        <v>0.0233078005947556</v>
      </c>
      <c r="BK154" s="217">
        <f t="shared" si="238"/>
        <v>0.00174411543787007</v>
      </c>
      <c r="BL154" s="217">
        <f t="shared" si="239"/>
        <v>0.00346086654057914</v>
      </c>
      <c r="BM154">
        <f t="shared" si="240"/>
        <v>0.0029</v>
      </c>
      <c r="BN154">
        <f t="shared" si="297"/>
        <v>1.74411543787007e-6</v>
      </c>
      <c r="BO154" s="217">
        <f t="shared" si="298"/>
        <v>0.246526728591397</v>
      </c>
      <c r="BP154" s="220">
        <f t="shared" si="243"/>
        <v>168.761873305473</v>
      </c>
      <c r="BQ154" s="217">
        <f t="shared" si="299"/>
        <v>0.246205190589133</v>
      </c>
      <c r="BT154" s="220">
        <f t="shared" si="245"/>
        <v>246.205190589133</v>
      </c>
      <c r="BU154" s="217">
        <f t="shared" si="246"/>
        <v>0.0160894649143514</v>
      </c>
      <c r="BV154" s="217">
        <f t="shared" si="247"/>
        <v>0.015908075106632</v>
      </c>
      <c r="BW154" s="217">
        <f t="shared" si="248"/>
        <v>0</v>
      </c>
      <c r="BX154" s="217"/>
      <c r="BY154" s="217">
        <f t="shared" si="249"/>
        <v>0.0125576311526645</v>
      </c>
      <c r="BZ154" s="220">
        <f t="shared" si="250"/>
        <v>44.5551711736479</v>
      </c>
      <c r="CA154" s="5">
        <f t="shared" si="251"/>
        <v>0.459522235068254</v>
      </c>
      <c r="CB154" s="192">
        <f t="shared" si="252"/>
        <v>3.5318337616869</v>
      </c>
      <c r="CC154" s="5">
        <f t="shared" si="253"/>
        <v>0.88487064660686</v>
      </c>
      <c r="CD154" s="192">
        <f t="shared" si="254"/>
        <v>88.487064660686</v>
      </c>
      <c r="CG154" s="227">
        <f t="shared" si="300"/>
        <v>-50</v>
      </c>
      <c r="CH154">
        <f t="shared" si="301"/>
        <v>-50</v>
      </c>
    </row>
    <row r="155" spans="5:86">
      <c r="E155" s="22">
        <v>45</v>
      </c>
      <c r="F155" s="25">
        <f t="shared" si="302"/>
        <v>0.225</v>
      </c>
      <c r="G155" s="25"/>
      <c r="H155" s="25">
        <f t="shared" si="266"/>
        <v>4.05</v>
      </c>
      <c r="I155" s="212">
        <f t="shared" si="267"/>
        <v>10</v>
      </c>
      <c r="J155" s="131">
        <f t="shared" si="268"/>
        <v>10.5301672946818</v>
      </c>
      <c r="K155" s="131">
        <f t="shared" si="269"/>
        <v>22.2728</v>
      </c>
      <c r="L155" s="131"/>
      <c r="M155" s="25">
        <f t="shared" si="270"/>
        <v>0.551021874214288</v>
      </c>
      <c r="N155" s="27">
        <f t="shared" si="271"/>
        <v>3.74915283215402</v>
      </c>
      <c r="O155" s="27">
        <f t="shared" si="262"/>
        <v>3.46215538426297</v>
      </c>
      <c r="P155" s="25">
        <f t="shared" si="272"/>
        <v>0.208286268453001</v>
      </c>
      <c r="Q155" s="25">
        <f t="shared" si="273"/>
        <v>16.6629014762401</v>
      </c>
      <c r="R155" s="25"/>
      <c r="S155" s="27">
        <f t="shared" si="274"/>
        <v>15.387357263391</v>
      </c>
      <c r="T155" s="27">
        <f t="shared" si="275"/>
        <v>15.387357263391</v>
      </c>
      <c r="U155" s="25">
        <f t="shared" si="276"/>
        <v>1.5</v>
      </c>
      <c r="V155" s="25">
        <f t="shared" si="277"/>
        <v>3.75</v>
      </c>
      <c r="W155" s="25">
        <f t="shared" si="278"/>
        <v>3.56119698297094</v>
      </c>
      <c r="X155" s="24">
        <f t="shared" si="279"/>
        <v>350</v>
      </c>
      <c r="Y155" s="131">
        <f t="shared" si="215"/>
        <v>136.77650900792</v>
      </c>
      <c r="AA155" s="25">
        <f t="shared" si="280"/>
        <v>0.58618503860537</v>
      </c>
      <c r="AB155" s="5">
        <f t="shared" si="281"/>
        <v>1.39168026062943</v>
      </c>
      <c r="AC155" s="5">
        <f t="shared" si="282"/>
        <v>0.0952221711439888</v>
      </c>
      <c r="AD155" s="5"/>
      <c r="AE155" s="5">
        <f t="shared" si="283"/>
        <v>0.712239396594188</v>
      </c>
      <c r="AF155" s="216">
        <f t="shared" si="284"/>
        <v>3157.47145267819</v>
      </c>
      <c r="AG155" s="217">
        <f t="shared" si="285"/>
        <v>0.024940843070237</v>
      </c>
      <c r="AI155" s="5">
        <f t="shared" si="286"/>
        <v>0.901066718222729</v>
      </c>
      <c r="AJ155" s="5">
        <f t="shared" si="287"/>
        <v>1.5</v>
      </c>
      <c r="AK155" s="5">
        <f t="shared" si="288"/>
        <v>2</v>
      </c>
      <c r="AM155" s="216">
        <f t="shared" si="289"/>
        <v>225</v>
      </c>
      <c r="AN155" s="220">
        <f t="shared" si="290"/>
        <v>136.77650900792</v>
      </c>
      <c r="AP155" s="220" t="str">
        <f t="shared" si="291"/>
        <v/>
      </c>
      <c r="AQ155" s="220" t="str">
        <f t="shared" si="292"/>
        <v/>
      </c>
      <c r="AS155" s="192">
        <f t="shared" si="263"/>
        <v>7.31119698297094</v>
      </c>
      <c r="AT155" s="192">
        <f t="shared" si="293"/>
        <v>3.75</v>
      </c>
      <c r="AU155" s="192">
        <f t="shared" si="230"/>
        <v>3.56119698297094</v>
      </c>
      <c r="AV155" s="192"/>
      <c r="AW155" s="5">
        <f t="shared" si="231"/>
        <v>0.512911908779699</v>
      </c>
      <c r="AX155" s="5">
        <f t="shared" si="259"/>
        <v>3.84683931584774</v>
      </c>
      <c r="AY155" s="5">
        <f t="shared" si="260"/>
        <v>0.243665817632956</v>
      </c>
      <c r="AZ155" s="5">
        <f t="shared" si="264"/>
        <v>15.787357263391</v>
      </c>
      <c r="BA155" s="220">
        <f t="shared" si="294"/>
        <v>5.22063553448612</v>
      </c>
      <c r="BB155" s="220">
        <f t="shared" si="295"/>
        <v>43.5410706684956</v>
      </c>
      <c r="BC155" s="192">
        <f t="shared" si="258"/>
        <v>2.6708977372282</v>
      </c>
      <c r="BD155" s="220">
        <f t="shared" si="296"/>
        <v>14.8534043603253</v>
      </c>
      <c r="BF155" s="5">
        <f t="shared" si="265"/>
        <v>0.620228934817438</v>
      </c>
      <c r="BG155" s="5">
        <f t="shared" si="261"/>
        <v>0.403144019379156</v>
      </c>
      <c r="BI155" s="217">
        <f t="shared" si="236"/>
        <v>0.134639376054671</v>
      </c>
      <c r="BJ155" s="217">
        <f t="shared" si="237"/>
        <v>0.022847968723737</v>
      </c>
      <c r="BK155" s="217">
        <f t="shared" si="238"/>
        <v>0.001709706362599</v>
      </c>
      <c r="BL155" s="217">
        <f t="shared" si="239"/>
        <v>0.00339258825193366</v>
      </c>
      <c r="BM155">
        <f t="shared" si="240"/>
        <v>0.0029</v>
      </c>
      <c r="BN155">
        <f t="shared" si="297"/>
        <v>1.709706362599e-6</v>
      </c>
      <c r="BO155" s="217">
        <f t="shared" si="298"/>
        <v>0.241326456876015</v>
      </c>
      <c r="BP155" s="220">
        <f t="shared" si="243"/>
        <v>165.489639392941</v>
      </c>
      <c r="BQ155" s="217">
        <f t="shared" si="299"/>
        <v>0.251692177434188</v>
      </c>
      <c r="BT155" s="220">
        <f t="shared" si="245"/>
        <v>251.692177434188</v>
      </c>
      <c r="BU155" s="217">
        <f t="shared" si="246"/>
        <v>0.0157720411949757</v>
      </c>
      <c r="BV155" s="217">
        <f t="shared" si="247"/>
        <v>0.0162525100361181</v>
      </c>
      <c r="BW155" s="217">
        <f t="shared" si="248"/>
        <v>0</v>
      </c>
      <c r="BX155" s="217"/>
      <c r="BY155" s="217">
        <f t="shared" si="249"/>
        <v>0.0123098858107128</v>
      </c>
      <c r="BZ155" s="220">
        <f t="shared" si="250"/>
        <v>44.3344370418067</v>
      </c>
      <c r="CA155" s="5">
        <f t="shared" si="251"/>
        <v>0.461516253868935</v>
      </c>
      <c r="CB155" s="192">
        <f t="shared" si="252"/>
        <v>3.46215538426297</v>
      </c>
      <c r="CC155" s="5">
        <f t="shared" si="253"/>
        <v>0.88237643298595</v>
      </c>
      <c r="CD155" s="192">
        <f t="shared" si="254"/>
        <v>88.237643298595</v>
      </c>
      <c r="CG155" s="227">
        <f t="shared" si="300"/>
        <v>-50</v>
      </c>
      <c r="CH155">
        <f t="shared" si="301"/>
        <v>-50</v>
      </c>
    </row>
    <row r="156" s="2" customFormat="1" spans="5:86">
      <c r="E156" s="37">
        <v>46</v>
      </c>
      <c r="F156" s="181">
        <f t="shared" si="302"/>
        <v>0.23</v>
      </c>
      <c r="G156" s="181"/>
      <c r="H156" s="181">
        <f t="shared" si="266"/>
        <v>4.14</v>
      </c>
      <c r="I156" s="212">
        <f t="shared" si="267"/>
        <v>10</v>
      </c>
      <c r="J156" s="131">
        <f t="shared" si="268"/>
        <v>10.1058066346464</v>
      </c>
      <c r="K156" s="194">
        <f t="shared" si="269"/>
        <v>22.2728</v>
      </c>
      <c r="L156" s="194"/>
      <c r="M156" s="181">
        <f t="shared" si="270"/>
        <v>0.551021874214288</v>
      </c>
      <c r="N156" s="27">
        <f t="shared" si="271"/>
        <v>3.74915283215402</v>
      </c>
      <c r="O156" s="27">
        <f t="shared" si="262"/>
        <v>3.39276090849875</v>
      </c>
      <c r="P156" s="181">
        <f t="shared" si="272"/>
        <v>0.208286268453001</v>
      </c>
      <c r="Q156" s="181">
        <f t="shared" si="273"/>
        <v>16.3006644876262</v>
      </c>
      <c r="R156" s="181"/>
      <c r="S156" s="27">
        <f t="shared" si="274"/>
        <v>14.7511343847772</v>
      </c>
      <c r="T156" s="27">
        <f t="shared" si="275"/>
        <v>14.7511343847772</v>
      </c>
      <c r="U156" s="25">
        <f t="shared" si="276"/>
        <v>1.5</v>
      </c>
      <c r="V156" s="181">
        <f t="shared" si="277"/>
        <v>3.75</v>
      </c>
      <c r="W156" s="181">
        <f t="shared" si="278"/>
        <v>3.71073793074928</v>
      </c>
      <c r="X156" s="201">
        <f t="shared" si="279"/>
        <v>350</v>
      </c>
      <c r="Y156" s="194">
        <f t="shared" si="215"/>
        <v>134.034998854272</v>
      </c>
      <c r="AA156" s="181">
        <f t="shared" si="280"/>
        <v>0.57443570937545</v>
      </c>
      <c r="AB156" s="202">
        <f t="shared" si="281"/>
        <v>1.42105358370423</v>
      </c>
      <c r="AC156" s="202">
        <f t="shared" si="282"/>
        <v>0.0952830754606936</v>
      </c>
      <c r="AD156" s="202"/>
      <c r="AE156" s="202">
        <f t="shared" si="283"/>
        <v>0.742147586149855</v>
      </c>
      <c r="AF156" s="216">
        <f t="shared" si="284"/>
        <v>3097.56525199889</v>
      </c>
      <c r="AG156" s="234">
        <f t="shared" si="285"/>
        <v>0.0259881530980026</v>
      </c>
      <c r="AI156" s="202">
        <f t="shared" si="286"/>
        <v>0.89247788716888</v>
      </c>
      <c r="AJ156" s="202">
        <f t="shared" si="287"/>
        <v>1.5</v>
      </c>
      <c r="AK156" s="5">
        <f t="shared" si="288"/>
        <v>2</v>
      </c>
      <c r="AM156" s="230">
        <f t="shared" si="289"/>
        <v>230</v>
      </c>
      <c r="AN156" s="231">
        <f t="shared" si="290"/>
        <v>134.034998854272</v>
      </c>
      <c r="AP156" s="2" t="str">
        <f t="shared" si="291"/>
        <v/>
      </c>
      <c r="AQ156" s="2" t="str">
        <f t="shared" si="292"/>
        <v/>
      </c>
      <c r="AS156" s="193">
        <f t="shared" si="263"/>
        <v>7.46073793074928</v>
      </c>
      <c r="AT156" s="192">
        <f t="shared" si="293"/>
        <v>3.75</v>
      </c>
      <c r="AU156" s="192">
        <f t="shared" si="230"/>
        <v>3.71073793074928</v>
      </c>
      <c r="AV156" s="192"/>
      <c r="AW156" s="5">
        <f t="shared" si="231"/>
        <v>0.502631245703519</v>
      </c>
      <c r="AX156" s="5">
        <f t="shared" si="259"/>
        <v>3.76973434277639</v>
      </c>
      <c r="AY156" s="5">
        <f t="shared" si="260"/>
        <v>0.248808719336815</v>
      </c>
      <c r="AZ156" s="5">
        <f t="shared" si="264"/>
        <v>15.1511343847772</v>
      </c>
      <c r="BA156" s="220">
        <f t="shared" si="294"/>
        <v>5.22063553448612</v>
      </c>
      <c r="BB156" s="220">
        <f t="shared" si="295"/>
        <v>45.4823977948329</v>
      </c>
      <c r="BC156" s="192">
        <f t="shared" si="258"/>
        <v>2.84489908024111</v>
      </c>
      <c r="BD156" s="220">
        <f t="shared" si="296"/>
        <v>15.1194165174215</v>
      </c>
      <c r="BF156" s="5">
        <f t="shared" si="265"/>
        <v>0.613981623729602</v>
      </c>
      <c r="BG156" s="5">
        <f t="shared" si="261"/>
        <v>0.407376258264587</v>
      </c>
      <c r="BI156" s="217">
        <f t="shared" si="236"/>
        <v>0.131940701997174</v>
      </c>
      <c r="BJ156" s="217">
        <f t="shared" si="237"/>
        <v>0.0223900104186107</v>
      </c>
      <c r="BK156" s="217">
        <f t="shared" si="238"/>
        <v>0.00167543748567839</v>
      </c>
      <c r="BL156" s="217">
        <f t="shared" si="239"/>
        <v>0.00332458816034421</v>
      </c>
      <c r="BM156">
        <f t="shared" si="240"/>
        <v>0.0029</v>
      </c>
      <c r="BN156">
        <f t="shared" si="297"/>
        <v>1.6754374856784e-6</v>
      </c>
      <c r="BO156" s="217">
        <f t="shared" si="298"/>
        <v>0.236164392449234</v>
      </c>
      <c r="BP156" s="220">
        <f t="shared" si="243"/>
        <v>162.230738061807</v>
      </c>
      <c r="BQ156" s="217">
        <f t="shared" si="299"/>
        <v>0.257170259094402</v>
      </c>
      <c r="BT156" s="220">
        <f t="shared" si="245"/>
        <v>257.170259094402</v>
      </c>
      <c r="BU156" s="217">
        <f t="shared" si="246"/>
        <v>0.0154559108053832</v>
      </c>
      <c r="BV156" s="217">
        <f t="shared" si="247"/>
        <v>0.0165955415797656</v>
      </c>
      <c r="BW156" s="217">
        <f t="shared" si="248"/>
        <v>0</v>
      </c>
      <c r="BX156" s="217"/>
      <c r="BY156" s="217">
        <f t="shared" si="249"/>
        <v>0.0120631498968844</v>
      </c>
      <c r="BZ156" s="220">
        <f t="shared" si="250"/>
        <v>44.1146022820332</v>
      </c>
      <c r="CA156" s="5">
        <f t="shared" si="251"/>
        <v>0.463515599438242</v>
      </c>
      <c r="CB156" s="192">
        <f t="shared" si="252"/>
        <v>3.39276090849875</v>
      </c>
      <c r="CC156" s="5">
        <f t="shared" si="253"/>
        <v>0.879802291541015</v>
      </c>
      <c r="CD156" s="192">
        <f t="shared" si="254"/>
        <v>87.9802291541015</v>
      </c>
      <c r="CG156" s="227">
        <f t="shared" si="300"/>
        <v>-50</v>
      </c>
      <c r="CH156">
        <f t="shared" si="301"/>
        <v>-50</v>
      </c>
    </row>
    <row r="157" spans="5:86">
      <c r="E157" s="22">
        <v>47</v>
      </c>
      <c r="F157" s="25">
        <f t="shared" si="302"/>
        <v>0.235</v>
      </c>
      <c r="G157" s="25"/>
      <c r="H157" s="25">
        <f t="shared" si="266"/>
        <v>4.23</v>
      </c>
      <c r="I157" s="212">
        <f t="shared" si="267"/>
        <v>10</v>
      </c>
      <c r="J157" s="131">
        <f t="shared" si="268"/>
        <v>9.70035219818066</v>
      </c>
      <c r="K157" s="131">
        <f t="shared" si="269"/>
        <v>22.2728</v>
      </c>
      <c r="L157" s="131"/>
      <c r="M157" s="25">
        <f t="shared" si="270"/>
        <v>0.551021874214288</v>
      </c>
      <c r="N157" s="27">
        <f t="shared" si="271"/>
        <v>3.74915283215402</v>
      </c>
      <c r="O157" s="27">
        <f t="shared" si="262"/>
        <v>3.32366531720008</v>
      </c>
      <c r="P157" s="25">
        <f t="shared" si="272"/>
        <v>0.208286268453001</v>
      </c>
      <c r="Q157" s="25">
        <f t="shared" si="273"/>
        <v>15.9538418389533</v>
      </c>
      <c r="R157" s="25"/>
      <c r="S157" s="27">
        <f t="shared" si="274"/>
        <v>14.1432566689365</v>
      </c>
      <c r="T157" s="27">
        <f t="shared" si="275"/>
        <v>14.1432566689365</v>
      </c>
      <c r="U157" s="25">
        <f t="shared" si="276"/>
        <v>1.5</v>
      </c>
      <c r="V157" s="25">
        <f t="shared" si="277"/>
        <v>3.75</v>
      </c>
      <c r="W157" s="25">
        <f t="shared" si="278"/>
        <v>3.86583901634347</v>
      </c>
      <c r="X157" s="24">
        <f t="shared" si="279"/>
        <v>350</v>
      </c>
      <c r="Y157" s="131">
        <f t="shared" si="215"/>
        <v>131.305296481979</v>
      </c>
      <c r="AA157" s="25">
        <f t="shared" si="280"/>
        <v>0.562736984922765</v>
      </c>
      <c r="AB157" s="5">
        <f t="shared" si="281"/>
        <v>1.45030039483594</v>
      </c>
      <c r="AC157" s="5">
        <f t="shared" si="282"/>
        <v>0.0952636696967651</v>
      </c>
      <c r="AD157" s="5"/>
      <c r="AE157" s="5">
        <f t="shared" si="283"/>
        <v>0.773167803268695</v>
      </c>
      <c r="AF157" s="216">
        <f t="shared" si="284"/>
        <v>3037.92472640007</v>
      </c>
      <c r="AG157" s="217">
        <f t="shared" si="285"/>
        <v>0.0270744035509615</v>
      </c>
      <c r="AI157" s="5">
        <f t="shared" si="286"/>
        <v>0.883844241895283</v>
      </c>
      <c r="AJ157" s="5">
        <f t="shared" si="287"/>
        <v>1.5</v>
      </c>
      <c r="AK157" s="5">
        <f t="shared" si="288"/>
        <v>2</v>
      </c>
      <c r="AM157" s="216">
        <f t="shared" si="289"/>
        <v>235</v>
      </c>
      <c r="AN157" s="220">
        <f t="shared" si="290"/>
        <v>131.305296481979</v>
      </c>
      <c r="AP157" t="str">
        <f t="shared" si="291"/>
        <v/>
      </c>
      <c r="AQ157" t="str">
        <f t="shared" si="292"/>
        <v/>
      </c>
      <c r="AS157" s="192">
        <f t="shared" si="263"/>
        <v>7.61583901634348</v>
      </c>
      <c r="AT157" s="192">
        <f t="shared" si="293"/>
        <v>3.75</v>
      </c>
      <c r="AU157" s="192">
        <f t="shared" si="230"/>
        <v>3.86583901634347</v>
      </c>
      <c r="AV157" s="192"/>
      <c r="AW157" s="5">
        <f t="shared" si="231"/>
        <v>0.49239486180742</v>
      </c>
      <c r="AX157" s="5">
        <f t="shared" si="259"/>
        <v>3.69296146355565</v>
      </c>
      <c r="AY157" s="5">
        <f t="shared" si="260"/>
        <v>0.253929470380838</v>
      </c>
      <c r="AZ157" s="5">
        <f t="shared" si="264"/>
        <v>14.5432566689365</v>
      </c>
      <c r="BA157" s="220">
        <f t="shared" si="294"/>
        <v>5.22063553448612</v>
      </c>
      <c r="BB157" s="220">
        <f t="shared" si="295"/>
        <v>47.4660617810898</v>
      </c>
      <c r="BC157" s="192">
        <f t="shared" si="258"/>
        <v>3.02824056280239</v>
      </c>
      <c r="BD157" s="220">
        <f t="shared" si="296"/>
        <v>15.384282950733</v>
      </c>
      <c r="BF157" s="5">
        <f t="shared" si="265"/>
        <v>0.607697413484346</v>
      </c>
      <c r="BG157" s="5">
        <f t="shared" si="261"/>
        <v>0.411547028593354</v>
      </c>
      <c r="BI157" s="217">
        <f t="shared" si="236"/>
        <v>0.129253651224448</v>
      </c>
      <c r="BJ157" s="217">
        <f t="shared" si="237"/>
        <v>0.0219340245561286</v>
      </c>
      <c r="BK157" s="217">
        <f t="shared" si="238"/>
        <v>0.00164131620602473</v>
      </c>
      <c r="BL157" s="217">
        <f t="shared" si="239"/>
        <v>0.00325688094755827</v>
      </c>
      <c r="BM157">
        <f t="shared" si="240"/>
        <v>0.0029</v>
      </c>
      <c r="BN157">
        <f t="shared" si="297"/>
        <v>1.64131620602473e-6</v>
      </c>
      <c r="BO157" s="217">
        <f t="shared" si="298"/>
        <v>0.231041353034566</v>
      </c>
      <c r="BP157" s="220">
        <f t="shared" si="243"/>
        <v>158.985872934159</v>
      </c>
      <c r="BQ157" s="217">
        <f t="shared" si="299"/>
        <v>0.262638965601917</v>
      </c>
      <c r="BT157" s="220">
        <f t="shared" si="245"/>
        <v>262.638965601917</v>
      </c>
      <c r="BU157" s="217">
        <f t="shared" si="246"/>
        <v>0.0151411420005782</v>
      </c>
      <c r="BV157" s="217">
        <f t="shared" si="247"/>
        <v>0.0169370956744019</v>
      </c>
      <c r="BW157" s="217">
        <f t="shared" si="248"/>
        <v>0</v>
      </c>
      <c r="BX157" s="217"/>
      <c r="BY157" s="217">
        <f t="shared" si="249"/>
        <v>0.0118174766833781</v>
      </c>
      <c r="BZ157" s="220">
        <f t="shared" si="250"/>
        <v>43.8957143583581</v>
      </c>
      <c r="CA157" s="5">
        <f t="shared" si="251"/>
        <v>0.465520552894435</v>
      </c>
      <c r="CB157" s="192">
        <f t="shared" si="252"/>
        <v>3.32366531720008</v>
      </c>
      <c r="CC157" s="5">
        <f t="shared" si="253"/>
        <v>0.877144967585656</v>
      </c>
      <c r="CD157" s="192">
        <f t="shared" si="254"/>
        <v>87.7144967585656</v>
      </c>
      <c r="CG157" s="227">
        <f t="shared" si="300"/>
        <v>-50</v>
      </c>
      <c r="CH157">
        <f t="shared" si="301"/>
        <v>-50</v>
      </c>
    </row>
    <row r="158" spans="5:86">
      <c r="E158" s="22">
        <v>48</v>
      </c>
      <c r="F158" s="25">
        <f t="shared" si="302"/>
        <v>0.24</v>
      </c>
      <c r="G158" s="25"/>
      <c r="H158" s="25">
        <f t="shared" si="266"/>
        <v>4.32</v>
      </c>
      <c r="I158" s="212">
        <f t="shared" si="267"/>
        <v>10</v>
      </c>
      <c r="J158" s="131">
        <f t="shared" si="268"/>
        <v>9.3126665213993</v>
      </c>
      <c r="K158" s="131">
        <f t="shared" si="269"/>
        <v>22.2728</v>
      </c>
      <c r="L158" s="131"/>
      <c r="M158" s="25">
        <f t="shared" si="270"/>
        <v>0.551021874214288</v>
      </c>
      <c r="N158" s="27">
        <f t="shared" si="271"/>
        <v>3.74915283215402</v>
      </c>
      <c r="O158" s="27">
        <f t="shared" si="262"/>
        <v>3.25488450545102</v>
      </c>
      <c r="P158" s="25">
        <f t="shared" si="272"/>
        <v>0.208286268453001</v>
      </c>
      <c r="Q158" s="25">
        <f t="shared" si="273"/>
        <v>15.6214701339751</v>
      </c>
      <c r="R158" s="25"/>
      <c r="S158" s="27">
        <f t="shared" si="274"/>
        <v>13.5620187727126</v>
      </c>
      <c r="T158" s="27">
        <f t="shared" si="275"/>
        <v>13.5620187727126</v>
      </c>
      <c r="U158" s="25">
        <f t="shared" si="276"/>
        <v>1.5</v>
      </c>
      <c r="V158" s="25">
        <f t="shared" si="277"/>
        <v>3.75</v>
      </c>
      <c r="W158" s="25">
        <f t="shared" si="278"/>
        <v>4.02677363286121</v>
      </c>
      <c r="X158" s="24">
        <f t="shared" si="279"/>
        <v>350</v>
      </c>
      <c r="Y158" s="131">
        <f t="shared" si="215"/>
        <v>128.588029844979</v>
      </c>
      <c r="AA158" s="25">
        <f t="shared" si="280"/>
        <v>0.55109155647848</v>
      </c>
      <c r="AB158" s="5">
        <f t="shared" si="281"/>
        <v>1.47941396594666</v>
      </c>
      <c r="AC158" s="5">
        <f t="shared" si="282"/>
        <v>0.0951650223349151</v>
      </c>
      <c r="AD158" s="5"/>
      <c r="AE158" s="5">
        <f t="shared" si="283"/>
        <v>0.805354726572241</v>
      </c>
      <c r="AF158" s="216">
        <f t="shared" si="284"/>
        <v>2978.56400484535</v>
      </c>
      <c r="AG158" s="217">
        <f t="shared" si="285"/>
        <v>0.0282015091377435</v>
      </c>
      <c r="AI158" s="5">
        <f t="shared" si="286"/>
        <v>0.875166531803408</v>
      </c>
      <c r="AJ158" s="5">
        <f t="shared" si="287"/>
        <v>1.5</v>
      </c>
      <c r="AK158" s="5">
        <f t="shared" si="288"/>
        <v>2</v>
      </c>
      <c r="AM158" s="216">
        <f t="shared" si="289"/>
        <v>240</v>
      </c>
      <c r="AN158" s="220">
        <f t="shared" si="290"/>
        <v>128.588029844979</v>
      </c>
      <c r="AP158" t="str">
        <f t="shared" si="291"/>
        <v/>
      </c>
      <c r="AQ158" t="str">
        <f t="shared" si="292"/>
        <v/>
      </c>
      <c r="AS158" s="192">
        <f t="shared" si="263"/>
        <v>7.77677363286121</v>
      </c>
      <c r="AT158" s="192">
        <f t="shared" si="293"/>
        <v>3.75</v>
      </c>
      <c r="AU158" s="192">
        <f t="shared" si="230"/>
        <v>4.02677363286121</v>
      </c>
      <c r="AV158" s="192"/>
      <c r="AW158" s="5">
        <f t="shared" si="231"/>
        <v>0.48220511191867</v>
      </c>
      <c r="AX158" s="5">
        <f t="shared" si="259"/>
        <v>3.61653833939002</v>
      </c>
      <c r="AY158" s="5">
        <f t="shared" si="260"/>
        <v>0.259026892762685</v>
      </c>
      <c r="AZ158" s="5">
        <f t="shared" si="264"/>
        <v>13.9620187727126</v>
      </c>
      <c r="BA158" s="220">
        <f t="shared" si="294"/>
        <v>5.22063553448612</v>
      </c>
      <c r="BB158" s="220">
        <f t="shared" si="295"/>
        <v>49.4920626272661</v>
      </c>
      <c r="BC158" s="192">
        <f t="shared" si="258"/>
        <v>3.22141890628897</v>
      </c>
      <c r="BD158" s="220">
        <f t="shared" si="296"/>
        <v>15.6479427291044</v>
      </c>
      <c r="BF158" s="5">
        <f t="shared" si="265"/>
        <v>0.60137661572346</v>
      </c>
      <c r="BG158" s="5">
        <f t="shared" si="261"/>
        <v>0.415657235559194</v>
      </c>
      <c r="BI158" s="217">
        <f t="shared" si="236"/>
        <v>0.126578841878651</v>
      </c>
      <c r="BJ158" s="217">
        <f t="shared" si="237"/>
        <v>0.0214801160334843</v>
      </c>
      <c r="BK158" s="217">
        <f t="shared" si="238"/>
        <v>0.00160735037306223</v>
      </c>
      <c r="BL158" s="217">
        <f t="shared" si="239"/>
        <v>0.00318948218927059</v>
      </c>
      <c r="BM158">
        <f t="shared" si="240"/>
        <v>0.0029</v>
      </c>
      <c r="BN158">
        <f t="shared" si="297"/>
        <v>1.60735037306223e-6</v>
      </c>
      <c r="BO158" s="217">
        <f t="shared" si="298"/>
        <v>0.225958212722627</v>
      </c>
      <c r="BP158" s="220">
        <f t="shared" si="243"/>
        <v>155.755790474468</v>
      </c>
      <c r="BQ158" s="217">
        <f t="shared" si="299"/>
        <v>0.268097798373309</v>
      </c>
      <c r="BT158" s="220">
        <f t="shared" si="245"/>
        <v>268.097798373309</v>
      </c>
      <c r="BU158" s="217">
        <f t="shared" si="246"/>
        <v>0.0148278071914991</v>
      </c>
      <c r="BV158" s="217">
        <f t="shared" si="247"/>
        <v>0.0172770937472711</v>
      </c>
      <c r="BW158" s="217">
        <f t="shared" si="248"/>
        <v>0</v>
      </c>
      <c r="BX158" s="217"/>
      <c r="BY158" s="217">
        <f t="shared" si="249"/>
        <v>0.0115729226860481</v>
      </c>
      <c r="BZ158" s="220">
        <f t="shared" si="250"/>
        <v>43.6778236248183</v>
      </c>
      <c r="CA158" s="5">
        <f t="shared" si="251"/>
        <v>0.467531412472595</v>
      </c>
      <c r="CB158" s="192">
        <f t="shared" si="252"/>
        <v>3.25488450545102</v>
      </c>
      <c r="CC158" s="5">
        <f t="shared" si="253"/>
        <v>0.874401081775573</v>
      </c>
      <c r="CD158" s="192">
        <f t="shared" si="254"/>
        <v>87.4401081775573</v>
      </c>
      <c r="CG158" s="227">
        <f t="shared" si="300"/>
        <v>-50</v>
      </c>
      <c r="CH158">
        <f t="shared" si="301"/>
        <v>-50</v>
      </c>
    </row>
    <row r="159" spans="5:86">
      <c r="E159" s="22">
        <v>49</v>
      </c>
      <c r="F159" s="25">
        <f t="shared" si="302"/>
        <v>0.245</v>
      </c>
      <c r="G159" s="25"/>
      <c r="H159" s="25">
        <f t="shared" si="266"/>
        <v>4.41</v>
      </c>
      <c r="I159" s="212">
        <f t="shared" si="267"/>
        <v>10</v>
      </c>
      <c r="J159" s="131">
        <f t="shared" si="268"/>
        <v>8.94170762390943</v>
      </c>
      <c r="K159" s="131">
        <f t="shared" si="269"/>
        <v>22.2728</v>
      </c>
      <c r="L159" s="131"/>
      <c r="M159" s="25">
        <f t="shared" si="270"/>
        <v>0.551021874214288</v>
      </c>
      <c r="N159" s="27">
        <f t="shared" si="271"/>
        <v>3.74915283215402</v>
      </c>
      <c r="O159" s="27">
        <f t="shared" si="262"/>
        <v>3.18643533411965</v>
      </c>
      <c r="P159" s="25">
        <f t="shared" si="272"/>
        <v>0.208286268453001</v>
      </c>
      <c r="Q159" s="25">
        <f t="shared" si="273"/>
        <v>15.3026646210368</v>
      </c>
      <c r="R159" s="25"/>
      <c r="S159" s="27">
        <f t="shared" si="274"/>
        <v>13.0058585066108</v>
      </c>
      <c r="T159" s="27">
        <f t="shared" si="275"/>
        <v>13.0058585066108</v>
      </c>
      <c r="U159" s="25">
        <f t="shared" si="276"/>
        <v>1.5</v>
      </c>
      <c r="V159" s="25">
        <f t="shared" si="277"/>
        <v>3.75</v>
      </c>
      <c r="W159" s="25">
        <f t="shared" si="278"/>
        <v>4.19382981162658</v>
      </c>
      <c r="X159" s="24">
        <f t="shared" si="279"/>
        <v>350</v>
      </c>
      <c r="Y159" s="131">
        <f t="shared" si="215"/>
        <v>125.883865051641</v>
      </c>
      <c r="AA159" s="25">
        <f t="shared" si="280"/>
        <v>0.539502278792746</v>
      </c>
      <c r="AB159" s="5">
        <f t="shared" si="281"/>
        <v>1.50838716016099</v>
      </c>
      <c r="AC159" s="5">
        <f t="shared" si="282"/>
        <v>0.0949882732590958</v>
      </c>
      <c r="AD159" s="5"/>
      <c r="AE159" s="5">
        <f t="shared" si="283"/>
        <v>0.838765962325315</v>
      </c>
      <c r="AF159" s="216">
        <f t="shared" si="284"/>
        <v>2919.49807477303</v>
      </c>
      <c r="AG159" s="217">
        <f t="shared" si="285"/>
        <v>0.0293714870857267</v>
      </c>
      <c r="AI159" s="5">
        <f t="shared" si="286"/>
        <v>0.866445656905387</v>
      </c>
      <c r="AJ159" s="5">
        <f t="shared" si="287"/>
        <v>1.5</v>
      </c>
      <c r="AK159" s="5">
        <f t="shared" si="288"/>
        <v>2</v>
      </c>
      <c r="AM159" s="216">
        <f t="shared" si="289"/>
        <v>245</v>
      </c>
      <c r="AN159" s="220">
        <f t="shared" si="290"/>
        <v>125.883865051641</v>
      </c>
      <c r="AP159" t="str">
        <f t="shared" si="291"/>
        <v/>
      </c>
      <c r="AQ159" t="str">
        <f t="shared" si="292"/>
        <v/>
      </c>
      <c r="AS159" s="192">
        <f t="shared" si="263"/>
        <v>7.94382981162658</v>
      </c>
      <c r="AT159" s="192">
        <f t="shared" si="293"/>
        <v>3.75</v>
      </c>
      <c r="AU159" s="192">
        <f t="shared" si="230"/>
        <v>4.19382981162657</v>
      </c>
      <c r="AV159" s="192"/>
      <c r="AW159" s="5">
        <f t="shared" si="231"/>
        <v>0.472064493943653</v>
      </c>
      <c r="AX159" s="5">
        <f t="shared" si="259"/>
        <v>3.54048370457739</v>
      </c>
      <c r="AY159" s="5">
        <f t="shared" si="260"/>
        <v>0.264099736904688</v>
      </c>
      <c r="AZ159" s="5">
        <f t="shared" si="264"/>
        <v>13.4058585066108</v>
      </c>
      <c r="BA159" s="220">
        <f t="shared" si="294"/>
        <v>5.22063553448612</v>
      </c>
      <c r="BB159" s="220">
        <f t="shared" si="295"/>
        <v>51.5604003333619</v>
      </c>
      <c r="BC159" s="192">
        <f t="shared" si="258"/>
        <v>3.42496101282837</v>
      </c>
      <c r="BD159" s="220">
        <f t="shared" si="296"/>
        <v>15.910331219208</v>
      </c>
      <c r="BF159" s="5">
        <f t="shared" si="265"/>
        <v>0.595019638716017</v>
      </c>
      <c r="BG159" s="5">
        <f t="shared" si="261"/>
        <v>0.419707665542848</v>
      </c>
      <c r="BI159" s="217">
        <f t="shared" si="236"/>
        <v>0.123916929660209</v>
      </c>
      <c r="BJ159" s="217">
        <f t="shared" si="237"/>
        <v>0.0210283961214164</v>
      </c>
      <c r="BK159" s="217">
        <f t="shared" si="238"/>
        <v>0.00157354831314551</v>
      </c>
      <c r="BL159" s="217">
        <f t="shared" si="239"/>
        <v>0.00312240840755388</v>
      </c>
      <c r="BM159">
        <f t="shared" si="240"/>
        <v>0.0029</v>
      </c>
      <c r="BN159">
        <f t="shared" si="297"/>
        <v>1.57354831314551e-6</v>
      </c>
      <c r="BO159" s="217">
        <f t="shared" si="298"/>
        <v>0.220915905109669</v>
      </c>
      <c r="BP159" s="220">
        <f t="shared" si="243"/>
        <v>152.541282502325</v>
      </c>
      <c r="BQ159" s="217">
        <f t="shared" si="299"/>
        <v>0.273546228531264</v>
      </c>
      <c r="BT159" s="220">
        <f t="shared" si="245"/>
        <v>273.546228531264</v>
      </c>
      <c r="BU159" s="217">
        <f t="shared" si="246"/>
        <v>0.0145159831887673</v>
      </c>
      <c r="BV159" s="217">
        <f t="shared" si="247"/>
        <v>0.0176154524515427</v>
      </c>
      <c r="BW159" s="217">
        <f t="shared" si="248"/>
        <v>0</v>
      </c>
      <c r="BX159" s="217"/>
      <c r="BY159" s="217">
        <f t="shared" si="249"/>
        <v>0.0113295478546477</v>
      </c>
      <c r="BZ159" s="220">
        <f t="shared" si="250"/>
        <v>43.4609834949577</v>
      </c>
      <c r="CA159" s="5">
        <f t="shared" si="251"/>
        <v>0.469548494528546</v>
      </c>
      <c r="CB159" s="192">
        <f t="shared" si="252"/>
        <v>3.18643533411965</v>
      </c>
      <c r="CC159" s="5">
        <f t="shared" si="253"/>
        <v>0.871567130344184</v>
      </c>
      <c r="CD159" s="192">
        <f t="shared" si="254"/>
        <v>87.1567130344184</v>
      </c>
      <c r="CG159" s="227">
        <f t="shared" si="300"/>
        <v>-50</v>
      </c>
      <c r="CH159">
        <f t="shared" si="301"/>
        <v>-50</v>
      </c>
    </row>
    <row r="160" spans="5:86">
      <c r="E160" s="22">
        <v>50</v>
      </c>
      <c r="F160" s="25">
        <f t="shared" si="302"/>
        <v>0.25</v>
      </c>
      <c r="G160" s="25"/>
      <c r="H160" s="25">
        <f t="shared" si="266"/>
        <v>4.5</v>
      </c>
      <c r="I160" s="212">
        <f t="shared" si="267"/>
        <v>10</v>
      </c>
      <c r="J160" s="131">
        <f t="shared" si="268"/>
        <v>8.58651960724898</v>
      </c>
      <c r="K160" s="131">
        <f t="shared" si="269"/>
        <v>22.2728</v>
      </c>
      <c r="L160" s="131"/>
      <c r="M160" s="25">
        <f t="shared" si="270"/>
        <v>0.551021874214288</v>
      </c>
      <c r="N160" s="27">
        <f t="shared" si="271"/>
        <v>3.74915283215402</v>
      </c>
      <c r="O160" s="27">
        <f t="shared" si="262"/>
        <v>3.11833568487593</v>
      </c>
      <c r="P160" s="25">
        <f t="shared" si="272"/>
        <v>0.208286268453001</v>
      </c>
      <c r="Q160" s="25">
        <f t="shared" si="273"/>
        <v>14.9966113286161</v>
      </c>
      <c r="R160" s="25"/>
      <c r="S160" s="27">
        <f t="shared" si="274"/>
        <v>12.4733427395037</v>
      </c>
      <c r="T160" s="27">
        <f t="shared" si="275"/>
        <v>12.4733427395037</v>
      </c>
      <c r="U160" s="25">
        <f t="shared" si="276"/>
        <v>1.5</v>
      </c>
      <c r="V160" s="25">
        <f t="shared" si="277"/>
        <v>3.75</v>
      </c>
      <c r="W160" s="25">
        <f t="shared" si="278"/>
        <v>4.36731082152791</v>
      </c>
      <c r="X160" s="24">
        <f t="shared" si="279"/>
        <v>350</v>
      </c>
      <c r="Y160" s="131">
        <f t="shared" si="215"/>
        <v>123.193508538308</v>
      </c>
      <c r="AA160" s="25">
        <f t="shared" si="280"/>
        <v>0.527972179449892</v>
      </c>
      <c r="AB160" s="5">
        <f t="shared" si="281"/>
        <v>1.53721240851813</v>
      </c>
      <c r="AC160" s="5">
        <f t="shared" si="282"/>
        <v>0.0947346386344791</v>
      </c>
      <c r="AD160" s="5"/>
      <c r="AE160" s="5">
        <f t="shared" si="283"/>
        <v>0.873462164305581</v>
      </c>
      <c r="AF160" s="216">
        <f t="shared" si="284"/>
        <v>2860.74283100082</v>
      </c>
      <c r="AG160" s="217">
        <f t="shared" si="285"/>
        <v>0.0305864613385707</v>
      </c>
      <c r="AI160" s="5">
        <f t="shared" si="286"/>
        <v>0.857682683231099</v>
      </c>
      <c r="AJ160" s="5">
        <f t="shared" si="287"/>
        <v>1.5</v>
      </c>
      <c r="AK160" s="5">
        <f t="shared" si="288"/>
        <v>2</v>
      </c>
      <c r="AM160" s="216">
        <f t="shared" si="289"/>
        <v>250</v>
      </c>
      <c r="AN160" s="220">
        <f t="shared" si="290"/>
        <v>123.193508538308</v>
      </c>
      <c r="AP160" t="str">
        <f t="shared" si="291"/>
        <v/>
      </c>
      <c r="AQ160" t="str">
        <f t="shared" si="292"/>
        <v/>
      </c>
      <c r="AS160" s="192">
        <f t="shared" si="263"/>
        <v>8.11731082152791</v>
      </c>
      <c r="AT160" s="192">
        <f t="shared" si="293"/>
        <v>3.75</v>
      </c>
      <c r="AU160" s="192">
        <f t="shared" si="230"/>
        <v>4.36731082152791</v>
      </c>
      <c r="AV160" s="192"/>
      <c r="AW160" s="5">
        <f t="shared" si="231"/>
        <v>0.461975657018656</v>
      </c>
      <c r="AX160" s="5">
        <f t="shared" si="259"/>
        <v>3.46481742763992</v>
      </c>
      <c r="AY160" s="5">
        <f t="shared" si="260"/>
        <v>0.269146677576417</v>
      </c>
      <c r="AZ160" s="5">
        <f t="shared" si="264"/>
        <v>12.8733427395037</v>
      </c>
      <c r="BA160" s="220">
        <f t="shared" si="294"/>
        <v>5.22063553448612</v>
      </c>
      <c r="BB160" s="220">
        <f t="shared" si="295"/>
        <v>53.6710748993773</v>
      </c>
      <c r="BC160" s="192">
        <f t="shared" si="258"/>
        <v>3.63942568460659</v>
      </c>
      <c r="BD160" s="220">
        <f t="shared" si="296"/>
        <v>16.1713798746423</v>
      </c>
      <c r="BF160" s="5">
        <f t="shared" si="265"/>
        <v>0.588626997991081</v>
      </c>
      <c r="BG160" s="5">
        <f t="shared" si="261"/>
        <v>0.423698989783396</v>
      </c>
      <c r="BI160" s="217">
        <f t="shared" si="236"/>
        <v>0.121268609967397</v>
      </c>
      <c r="BJ160" s="217">
        <f t="shared" si="237"/>
        <v>0.0205789828272902</v>
      </c>
      <c r="BK160" s="217">
        <f t="shared" si="238"/>
        <v>0.00153991885672885</v>
      </c>
      <c r="BL160" s="217">
        <f t="shared" si="239"/>
        <v>0.00305567712477113</v>
      </c>
      <c r="BM160">
        <f t="shared" si="240"/>
        <v>0.0029</v>
      </c>
      <c r="BN160">
        <f t="shared" si="297"/>
        <v>1.53991885672885e-6</v>
      </c>
      <c r="BO160" s="217">
        <f t="shared" si="298"/>
        <v>0.215915426505182</v>
      </c>
      <c r="BP160" s="220">
        <f t="shared" si="243"/>
        <v>149.343188776187</v>
      </c>
      <c r="BQ160" s="217">
        <f t="shared" si="299"/>
        <v>0.278983695178829</v>
      </c>
      <c r="BT160" s="220">
        <f t="shared" si="245"/>
        <v>278.983695178829</v>
      </c>
      <c r="BU160" s="217">
        <f t="shared" si="246"/>
        <v>0.0142057514533237</v>
      </c>
      <c r="BV160" s="217">
        <f t="shared" si="247"/>
        <v>0.017952083394347</v>
      </c>
      <c r="BW160" s="217">
        <f t="shared" si="248"/>
        <v>0</v>
      </c>
      <c r="BX160" s="217"/>
      <c r="BY160" s="217">
        <f t="shared" si="249"/>
        <v>0.0110874157684477</v>
      </c>
      <c r="BZ160" s="220">
        <f t="shared" si="250"/>
        <v>43.2452506161185</v>
      </c>
      <c r="CA160" s="5">
        <f t="shared" si="251"/>
        <v>0.471572134571135</v>
      </c>
      <c r="CB160" s="192">
        <f t="shared" si="252"/>
        <v>3.11833568487593</v>
      </c>
      <c r="CC160" s="5">
        <f t="shared" si="253"/>
        <v>0.868639486502534</v>
      </c>
      <c r="CD160" s="192">
        <f t="shared" si="254"/>
        <v>86.8639486502534</v>
      </c>
      <c r="CG160" s="227">
        <f t="shared" si="300"/>
        <v>-50</v>
      </c>
      <c r="CH160">
        <f t="shared" si="301"/>
        <v>-50</v>
      </c>
    </row>
    <row r="161" spans="5:86">
      <c r="E161" s="22">
        <v>51</v>
      </c>
      <c r="F161" s="25">
        <f t="shared" si="302"/>
        <v>0.255</v>
      </c>
      <c r="G161" s="25"/>
      <c r="H161" s="25">
        <f t="shared" si="266"/>
        <v>4.59</v>
      </c>
      <c r="I161" s="212">
        <f t="shared" si="267"/>
        <v>10</v>
      </c>
      <c r="J161" s="131">
        <f t="shared" si="268"/>
        <v>8.24622436232308</v>
      </c>
      <c r="K161" s="131">
        <f t="shared" si="269"/>
        <v>22.2728</v>
      </c>
      <c r="L161" s="131"/>
      <c r="M161" s="25">
        <f t="shared" si="270"/>
        <v>0.551021874214288</v>
      </c>
      <c r="N161" s="27">
        <f t="shared" si="271"/>
        <v>3.74915283215402</v>
      </c>
      <c r="O161" s="27">
        <f t="shared" si="262"/>
        <v>3.05060451633041</v>
      </c>
      <c r="P161" s="25">
        <f t="shared" si="272"/>
        <v>0.208286268453001</v>
      </c>
      <c r="Q161" s="25">
        <f t="shared" si="273"/>
        <v>14.7025601260942</v>
      </c>
      <c r="R161" s="25"/>
      <c r="S161" s="27">
        <f t="shared" si="274"/>
        <v>11.9631549660016</v>
      </c>
      <c r="T161" s="27">
        <f t="shared" si="275"/>
        <v>11.9631549660016</v>
      </c>
      <c r="U161" s="25">
        <f t="shared" si="276"/>
        <v>1.5</v>
      </c>
      <c r="V161" s="25">
        <f t="shared" si="277"/>
        <v>3.75</v>
      </c>
      <c r="W161" s="25">
        <f t="shared" si="278"/>
        <v>4.54753573906346</v>
      </c>
      <c r="X161" s="24">
        <f t="shared" si="279"/>
        <v>350</v>
      </c>
      <c r="Y161" s="131">
        <f t="shared" si="215"/>
        <v>120.517709287127</v>
      </c>
      <c r="AA161" s="25">
        <f t="shared" si="280"/>
        <v>0.516504468373403</v>
      </c>
      <c r="AB161" s="5">
        <f t="shared" si="281"/>
        <v>1.56588168620935</v>
      </c>
      <c r="AC161" s="5">
        <f t="shared" si="282"/>
        <v>0.0944054160367668</v>
      </c>
      <c r="AD161" s="5"/>
      <c r="AE161" s="5">
        <f t="shared" si="283"/>
        <v>0.909507147812692</v>
      </c>
      <c r="AF161" s="216">
        <f t="shared" si="284"/>
        <v>2802.31512562703</v>
      </c>
      <c r="AG161" s="217">
        <f t="shared" si="285"/>
        <v>0.0318486665485309</v>
      </c>
      <c r="AI161" s="5">
        <f t="shared" si="286"/>
        <v>0.848878859448379</v>
      </c>
      <c r="AJ161" s="5">
        <f t="shared" si="287"/>
        <v>1.5</v>
      </c>
      <c r="AK161" s="5">
        <f t="shared" si="288"/>
        <v>2</v>
      </c>
      <c r="AM161" s="216">
        <f t="shared" si="289"/>
        <v>255</v>
      </c>
      <c r="AN161" s="220">
        <f t="shared" si="290"/>
        <v>120.517709287127</v>
      </c>
      <c r="AP161" t="str">
        <f t="shared" si="291"/>
        <v/>
      </c>
      <c r="AQ161" t="str">
        <f t="shared" si="292"/>
        <v/>
      </c>
      <c r="AS161" s="192">
        <f t="shared" si="263"/>
        <v>8.29753573906346</v>
      </c>
      <c r="AT161" s="192">
        <f t="shared" si="293"/>
        <v>3.75</v>
      </c>
      <c r="AU161" s="192">
        <f t="shared" si="230"/>
        <v>4.54753573906346</v>
      </c>
      <c r="AV161" s="192"/>
      <c r="AW161" s="5">
        <f t="shared" si="231"/>
        <v>0.451941409826728</v>
      </c>
      <c r="AX161" s="5">
        <f t="shared" si="259"/>
        <v>3.38956057370046</v>
      </c>
      <c r="AY161" s="5">
        <f t="shared" si="260"/>
        <v>0.274166309734179</v>
      </c>
      <c r="AZ161" s="5">
        <f t="shared" si="264"/>
        <v>12.3631549660016</v>
      </c>
      <c r="BA161" s="220">
        <f t="shared" si="294"/>
        <v>5.22063553448612</v>
      </c>
      <c r="BB161" s="220">
        <f t="shared" si="295"/>
        <v>55.8240863253121</v>
      </c>
      <c r="BC161" s="192">
        <f t="shared" si="258"/>
        <v>3.86540537820394</v>
      </c>
      <c r="BD161" s="220">
        <f t="shared" si="296"/>
        <v>16.4310160207334</v>
      </c>
      <c r="BF161" s="5">
        <f t="shared" si="265"/>
        <v>0.582199327868081</v>
      </c>
      <c r="BG161" s="5">
        <f t="shared" si="261"/>
        <v>0.427631767520489</v>
      </c>
      <c r="BI161" s="217">
        <f t="shared" si="236"/>
        <v>0.118634620079516</v>
      </c>
      <c r="BJ161" s="217">
        <f t="shared" si="237"/>
        <v>0.0201320012655775</v>
      </c>
      <c r="BK161" s="217">
        <f t="shared" si="238"/>
        <v>0.00150647136608909</v>
      </c>
      <c r="BL161" s="217">
        <f t="shared" si="239"/>
        <v>0.00298930691858636</v>
      </c>
      <c r="BM161">
        <f t="shared" si="240"/>
        <v>0.0029</v>
      </c>
      <c r="BN161">
        <f t="shared" si="297"/>
        <v>1.50647136608909e-6</v>
      </c>
      <c r="BO161" s="217">
        <f t="shared" si="298"/>
        <v>0.210957839181158</v>
      </c>
      <c r="BP161" s="220">
        <f t="shared" si="243"/>
        <v>146.162399629769</v>
      </c>
      <c r="BQ161" s="217">
        <f t="shared" si="299"/>
        <v>0.284409603638496</v>
      </c>
      <c r="BT161" s="220">
        <f t="shared" si="245"/>
        <v>284.409603638496</v>
      </c>
      <c r="BU161" s="217">
        <f t="shared" si="246"/>
        <v>0.0138971983521719</v>
      </c>
      <c r="BV161" s="217">
        <f t="shared" si="247"/>
        <v>0.0182868928592698</v>
      </c>
      <c r="BW161" s="217">
        <f t="shared" si="248"/>
        <v>0</v>
      </c>
      <c r="BX161" s="217"/>
      <c r="BY161" s="217">
        <f t="shared" si="249"/>
        <v>0.0108465938358415</v>
      </c>
      <c r="BZ161" s="220">
        <f t="shared" si="250"/>
        <v>43.0306850472831</v>
      </c>
      <c r="CA161" s="5">
        <f t="shared" si="251"/>
        <v>0.473602688315548</v>
      </c>
      <c r="CB161" s="192">
        <f t="shared" si="252"/>
        <v>3.05060451633041</v>
      </c>
      <c r="CC161" s="5">
        <f t="shared" si="253"/>
        <v>0.865614403236224</v>
      </c>
      <c r="CD161" s="192">
        <f t="shared" si="254"/>
        <v>86.5614403236223</v>
      </c>
      <c r="CG161" s="227">
        <f t="shared" si="300"/>
        <v>-50</v>
      </c>
      <c r="CH161">
        <f t="shared" si="301"/>
        <v>-50</v>
      </c>
    </row>
    <row r="162" spans="5:86">
      <c r="E162" s="22">
        <v>52</v>
      </c>
      <c r="F162" s="25">
        <f t="shared" si="302"/>
        <v>0.26</v>
      </c>
      <c r="G162" s="25"/>
      <c r="H162" s="25">
        <f t="shared" si="266"/>
        <v>4.68</v>
      </c>
      <c r="I162" s="212">
        <f t="shared" si="267"/>
        <v>10</v>
      </c>
      <c r="J162" s="131">
        <f t="shared" si="268"/>
        <v>7.92001423523549</v>
      </c>
      <c r="K162" s="131">
        <f t="shared" si="269"/>
        <v>22.2728</v>
      </c>
      <c r="L162" s="131"/>
      <c r="M162" s="25">
        <f t="shared" si="270"/>
        <v>0.551021874214288</v>
      </c>
      <c r="N162" s="27">
        <f t="shared" si="271"/>
        <v>3.74915283215402</v>
      </c>
      <c r="O162" s="27">
        <f t="shared" si="262"/>
        <v>2.98326192078145</v>
      </c>
      <c r="P162" s="25">
        <f t="shared" si="272"/>
        <v>0.208286268453001</v>
      </c>
      <c r="Q162" s="25">
        <f t="shared" si="273"/>
        <v>14.4198185852078</v>
      </c>
      <c r="R162" s="25"/>
      <c r="S162" s="27">
        <f t="shared" si="274"/>
        <v>11.4740843106979</v>
      </c>
      <c r="T162" s="27">
        <f t="shared" si="275"/>
        <v>11.4740843106979</v>
      </c>
      <c r="U162" s="25">
        <f t="shared" si="276"/>
        <v>1.5</v>
      </c>
      <c r="V162" s="25">
        <f t="shared" si="277"/>
        <v>3.75</v>
      </c>
      <c r="W162" s="25">
        <f t="shared" si="278"/>
        <v>4.73483997455025</v>
      </c>
      <c r="X162" s="24">
        <f t="shared" si="279"/>
        <v>350</v>
      </c>
      <c r="Y162" s="131">
        <f t="shared" si="215"/>
        <v>117.857261067909</v>
      </c>
      <c r="AA162" s="25">
        <f t="shared" si="280"/>
        <v>0.505102547433896</v>
      </c>
      <c r="AB162" s="5">
        <f t="shared" si="281"/>
        <v>1.59438648855812</v>
      </c>
      <c r="AC162" s="5">
        <f t="shared" si="282"/>
        <v>0.0940019898187267</v>
      </c>
      <c r="AD162" s="5"/>
      <c r="AE162" s="5">
        <f t="shared" si="283"/>
        <v>0.946967994910049</v>
      </c>
      <c r="AF162" s="216">
        <f t="shared" si="284"/>
        <v>2744.2328184724</v>
      </c>
      <c r="AG162" s="217">
        <f t="shared" si="285"/>
        <v>0.0331604517617627</v>
      </c>
      <c r="AI162" s="5">
        <f t="shared" si="286"/>
        <v>0.840035634724616</v>
      </c>
      <c r="AJ162" s="5">
        <f t="shared" si="287"/>
        <v>1.5</v>
      </c>
      <c r="AK162" s="5">
        <f t="shared" si="288"/>
        <v>2</v>
      </c>
      <c r="AM162" s="216">
        <f t="shared" si="289"/>
        <v>260</v>
      </c>
      <c r="AN162" s="220">
        <f t="shared" si="290"/>
        <v>117.857261067909</v>
      </c>
      <c r="AP162" t="str">
        <f t="shared" si="291"/>
        <v/>
      </c>
      <c r="AQ162" t="str">
        <f t="shared" si="292"/>
        <v/>
      </c>
      <c r="AS162" s="192">
        <f t="shared" si="263"/>
        <v>8.48483997455025</v>
      </c>
      <c r="AT162" s="192">
        <f t="shared" si="293"/>
        <v>3.75</v>
      </c>
      <c r="AU162" s="192">
        <f t="shared" si="230"/>
        <v>4.73483997455025</v>
      </c>
      <c r="AV162" s="192"/>
      <c r="AW162" s="5">
        <f t="shared" si="231"/>
        <v>0.441964729004659</v>
      </c>
      <c r="AX162" s="5">
        <f t="shared" si="259"/>
        <v>3.31473546753494</v>
      </c>
      <c r="AY162" s="5">
        <f t="shared" si="260"/>
        <v>0.279157144315419</v>
      </c>
      <c r="AZ162" s="5">
        <f t="shared" si="264"/>
        <v>11.8740843106979</v>
      </c>
      <c r="BA162" s="220">
        <f t="shared" si="294"/>
        <v>5.22063553448612</v>
      </c>
      <c r="BB162" s="220">
        <f t="shared" si="295"/>
        <v>58.0194346111665</v>
      </c>
      <c r="BC162" s="192">
        <f t="shared" si="258"/>
        <v>4.10352797794355</v>
      </c>
      <c r="BD162" s="220">
        <f t="shared" si="296"/>
        <v>16.6891626370045</v>
      </c>
      <c r="BF162" s="5">
        <f t="shared" si="265"/>
        <v>0.575737393916267</v>
      </c>
      <c r="BG162" s="5">
        <f t="shared" si="261"/>
        <v>0.431506448686905</v>
      </c>
      <c r="BI162" s="217">
        <f t="shared" si="236"/>
        <v>0.116015741363723</v>
      </c>
      <c r="BJ162" s="217">
        <f t="shared" si="237"/>
        <v>0.0196875840323499</v>
      </c>
      <c r="BK162" s="217">
        <f t="shared" si="238"/>
        <v>0.00147321576334886</v>
      </c>
      <c r="BL162" s="217">
        <f t="shared" si="239"/>
        <v>0.00292331747757149</v>
      </c>
      <c r="BM162">
        <f t="shared" si="240"/>
        <v>0.0029</v>
      </c>
      <c r="BN162">
        <f t="shared" si="297"/>
        <v>1.47321576334886e-6</v>
      </c>
      <c r="BO162" s="217">
        <f t="shared" si="298"/>
        <v>0.206044274627762</v>
      </c>
      <c r="BP162" s="220">
        <f t="shared" si="243"/>
        <v>142.999858636993</v>
      </c>
      <c r="BQ162" s="217">
        <f t="shared" si="299"/>
        <v>0.289823323672208</v>
      </c>
      <c r="BT162" s="220">
        <f t="shared" si="245"/>
        <v>289.823323672208</v>
      </c>
      <c r="BU162" s="217">
        <f t="shared" si="246"/>
        <v>0.0135904154168933</v>
      </c>
      <c r="BV162" s="217">
        <f t="shared" si="247"/>
        <v>0.0186197815258385</v>
      </c>
      <c r="BW162" s="217">
        <f t="shared" si="248"/>
        <v>0</v>
      </c>
      <c r="BX162" s="217"/>
      <c r="BY162" s="217">
        <f t="shared" si="249"/>
        <v>0.0106071534961118</v>
      </c>
      <c r="BZ162" s="220">
        <f t="shared" si="250"/>
        <v>42.8173504388436</v>
      </c>
      <c r="CA162" s="5">
        <f t="shared" si="251"/>
        <v>0.475640532748045</v>
      </c>
      <c r="CB162" s="192">
        <f t="shared" si="252"/>
        <v>2.98326192078145</v>
      </c>
      <c r="CC162" s="5">
        <f t="shared" si="253"/>
        <v>0.862488017763352</v>
      </c>
      <c r="CD162" s="192">
        <f t="shared" si="254"/>
        <v>86.2488017763352</v>
      </c>
      <c r="CG162" s="227">
        <f t="shared" si="300"/>
        <v>-50</v>
      </c>
      <c r="CH162">
        <f t="shared" si="301"/>
        <v>-50</v>
      </c>
    </row>
    <row r="163" spans="5:86">
      <c r="E163" s="22">
        <v>53</v>
      </c>
      <c r="F163" s="25">
        <f t="shared" si="302"/>
        <v>0.265</v>
      </c>
      <c r="G163" s="25"/>
      <c r="H163" s="25">
        <f t="shared" si="266"/>
        <v>4.77</v>
      </c>
      <c r="I163" s="212">
        <f t="shared" si="267"/>
        <v>10</v>
      </c>
      <c r="J163" s="131">
        <f t="shared" si="268"/>
        <v>7.60714552328342</v>
      </c>
      <c r="K163" s="131">
        <f t="shared" si="269"/>
        <v>22.2728</v>
      </c>
      <c r="L163" s="131"/>
      <c r="M163" s="25">
        <f t="shared" si="270"/>
        <v>0.551021874214288</v>
      </c>
      <c r="N163" s="27">
        <f t="shared" si="271"/>
        <v>3.74915283215402</v>
      </c>
      <c r="O163" s="27">
        <f t="shared" si="262"/>
        <v>2.9163291809147</v>
      </c>
      <c r="P163" s="25">
        <f t="shared" si="272"/>
        <v>0.208286268453001</v>
      </c>
      <c r="Q163" s="25">
        <f t="shared" si="273"/>
        <v>14.1477465364302</v>
      </c>
      <c r="R163" s="25"/>
      <c r="S163" s="27">
        <f t="shared" si="274"/>
        <v>11.0050157770366</v>
      </c>
      <c r="T163" s="27">
        <f t="shared" si="275"/>
        <v>11.0050157770366</v>
      </c>
      <c r="U163" s="25">
        <f t="shared" si="276"/>
        <v>1.5</v>
      </c>
      <c r="V163" s="25">
        <f t="shared" si="277"/>
        <v>3.75</v>
      </c>
      <c r="W163" s="25">
        <f t="shared" si="278"/>
        <v>4.92957573707807</v>
      </c>
      <c r="X163" s="24">
        <f t="shared" si="279"/>
        <v>350</v>
      </c>
      <c r="Y163" s="131">
        <f t="shared" si="215"/>
        <v>115.213004678112</v>
      </c>
      <c r="AA163" s="25">
        <f t="shared" si="280"/>
        <v>0.49377002004905</v>
      </c>
      <c r="AB163" s="5">
        <f t="shared" si="281"/>
        <v>1.62271780702023</v>
      </c>
      <c r="AC163" s="5">
        <f t="shared" si="282"/>
        <v>0.0935258366943114</v>
      </c>
      <c r="AD163" s="5"/>
      <c r="AE163" s="5">
        <f t="shared" si="283"/>
        <v>0.985915147415614</v>
      </c>
      <c r="AF163" s="216">
        <f t="shared" si="284"/>
        <v>2686.51482747973</v>
      </c>
      <c r="AG163" s="217">
        <f t="shared" si="285"/>
        <v>0.0345242836746263</v>
      </c>
      <c r="AI163" s="5">
        <f t="shared" si="286"/>
        <v>0.831154677839684</v>
      </c>
      <c r="AJ163" s="5">
        <f t="shared" si="287"/>
        <v>1.5</v>
      </c>
      <c r="AK163" s="5">
        <f t="shared" si="288"/>
        <v>2</v>
      </c>
      <c r="AM163" s="216">
        <f t="shared" si="289"/>
        <v>265</v>
      </c>
      <c r="AN163" s="220">
        <f t="shared" si="290"/>
        <v>115.213004678112</v>
      </c>
      <c r="AP163" t="str">
        <f t="shared" si="291"/>
        <v/>
      </c>
      <c r="AQ163" t="str">
        <f t="shared" si="292"/>
        <v/>
      </c>
      <c r="AS163" s="192">
        <f t="shared" si="263"/>
        <v>8.67957573707807</v>
      </c>
      <c r="AT163" s="192">
        <f t="shared" si="293"/>
        <v>3.75</v>
      </c>
      <c r="AU163" s="192">
        <f t="shared" si="230"/>
        <v>4.92957573707807</v>
      </c>
      <c r="AV163" s="192"/>
      <c r="AW163" s="5">
        <f t="shared" si="231"/>
        <v>0.432048767542919</v>
      </c>
      <c r="AX163" s="5">
        <f t="shared" si="259"/>
        <v>3.24036575657189</v>
      </c>
      <c r="AY163" s="5">
        <f t="shared" si="260"/>
        <v>0.284117604036655</v>
      </c>
      <c r="AZ163" s="5">
        <f t="shared" si="264"/>
        <v>11.4050157770366</v>
      </c>
      <c r="BA163" s="220">
        <f t="shared" si="294"/>
        <v>5.22063553448612</v>
      </c>
      <c r="BB163" s="220">
        <f t="shared" si="295"/>
        <v>60.2571197569403</v>
      </c>
      <c r="BC163" s="192">
        <f t="shared" si="258"/>
        <v>4.3544585677523</v>
      </c>
      <c r="BD163" s="220">
        <f t="shared" si="296"/>
        <v>16.945738139827</v>
      </c>
      <c r="BF163" s="5">
        <f t="shared" si="265"/>
        <v>0.569242106363531</v>
      </c>
      <c r="BG163" s="5">
        <f t="shared" si="261"/>
        <v>0.435323376230187</v>
      </c>
      <c r="BI163" s="217">
        <f t="shared" si="236"/>
        <v>0.113412801480016</v>
      </c>
      <c r="BJ163" s="217">
        <f t="shared" si="237"/>
        <v>0.0192458715794598</v>
      </c>
      <c r="BK163" s="217">
        <f t="shared" si="238"/>
        <v>0.0014401625584764</v>
      </c>
      <c r="BL163" s="217">
        <f t="shared" si="239"/>
        <v>0.00285772965676662</v>
      </c>
      <c r="BM163">
        <f t="shared" si="240"/>
        <v>0.0029</v>
      </c>
      <c r="BN163">
        <f t="shared" si="297"/>
        <v>1.4401625584764e-6</v>
      </c>
      <c r="BO163" s="217">
        <f t="shared" si="298"/>
        <v>0.201175936770989</v>
      </c>
      <c r="BP163" s="220">
        <f t="shared" si="243"/>
        <v>139.856565274719</v>
      </c>
      <c r="BQ163" s="217">
        <f t="shared" si="299"/>
        <v>0.295224187702853</v>
      </c>
      <c r="BT163" s="220">
        <f t="shared" si="245"/>
        <v>295.224187702853</v>
      </c>
      <c r="BU163" s="217">
        <f t="shared" si="246"/>
        <v>0.0132854996019448</v>
      </c>
      <c r="BV163" s="217">
        <f t="shared" si="247"/>
        <v>0.0189506441892449</v>
      </c>
      <c r="BW163" s="217">
        <f t="shared" si="248"/>
        <v>0</v>
      </c>
      <c r="BX163" s="217"/>
      <c r="BY163" s="217">
        <f t="shared" si="249"/>
        <v>0.01036917042103</v>
      </c>
      <c r="BZ163" s="220">
        <f t="shared" si="250"/>
        <v>42.6053142122197</v>
      </c>
      <c r="CA163" s="5">
        <f t="shared" si="251"/>
        <v>0.477686067189792</v>
      </c>
      <c r="CB163" s="192">
        <f t="shared" si="252"/>
        <v>2.9163291809147</v>
      </c>
      <c r="CC163" s="5">
        <f t="shared" si="253"/>
        <v>0.859256357950492</v>
      </c>
      <c r="CD163" s="192">
        <f t="shared" si="254"/>
        <v>85.9256357950492</v>
      </c>
      <c r="CG163" s="227">
        <f t="shared" si="300"/>
        <v>-50</v>
      </c>
      <c r="CH163">
        <f t="shared" si="301"/>
        <v>-50</v>
      </c>
    </row>
    <row r="164" spans="5:86">
      <c r="E164" s="22">
        <v>54</v>
      </c>
      <c r="F164" s="25">
        <f t="shared" si="302"/>
        <v>0.27</v>
      </c>
      <c r="G164" s="25"/>
      <c r="H164" s="25">
        <f t="shared" si="266"/>
        <v>4.86</v>
      </c>
      <c r="I164" s="212">
        <f t="shared" si="267"/>
        <v>10</v>
      </c>
      <c r="J164" s="131">
        <f t="shared" si="268"/>
        <v>7.30693269146654</v>
      </c>
      <c r="K164" s="131">
        <f t="shared" si="269"/>
        <v>22.2728</v>
      </c>
      <c r="L164" s="131"/>
      <c r="M164" s="25">
        <f t="shared" si="270"/>
        <v>0.551021874214288</v>
      </c>
      <c r="N164" s="27">
        <f t="shared" si="271"/>
        <v>3.74915283215402</v>
      </c>
      <c r="O164" s="27">
        <f t="shared" si="262"/>
        <v>2.84982882563113</v>
      </c>
      <c r="P164" s="25">
        <f t="shared" si="272"/>
        <v>0.208286268453001</v>
      </c>
      <c r="Q164" s="25">
        <f t="shared" si="273"/>
        <v>13.8857512302001</v>
      </c>
      <c r="R164" s="25"/>
      <c r="S164" s="27">
        <f t="shared" si="274"/>
        <v>10.5549215764116</v>
      </c>
      <c r="T164" s="27">
        <f t="shared" si="275"/>
        <v>10.5549215764116</v>
      </c>
      <c r="U164" s="25">
        <f t="shared" si="276"/>
        <v>1.5</v>
      </c>
      <c r="V164" s="25">
        <f t="shared" si="277"/>
        <v>3.75</v>
      </c>
      <c r="W164" s="25">
        <f t="shared" si="278"/>
        <v>5.1321124175394</v>
      </c>
      <c r="X164" s="24">
        <f t="shared" si="279"/>
        <v>350</v>
      </c>
      <c r="Y164" s="131">
        <f t="shared" si="215"/>
        <v>112.58583014839</v>
      </c>
      <c r="AA164" s="25">
        <f t="shared" si="280"/>
        <v>0.482510700635959</v>
      </c>
      <c r="AB164" s="5">
        <f t="shared" si="281"/>
        <v>1.65086610555296</v>
      </c>
      <c r="AC164" s="5">
        <f t="shared" si="282"/>
        <v>0.0929785315114995</v>
      </c>
      <c r="AD164" s="5"/>
      <c r="AE164" s="5">
        <f t="shared" si="283"/>
        <v>1.02642248350788</v>
      </c>
      <c r="AF164" s="216">
        <f t="shared" si="284"/>
        <v>2629.18117833879</v>
      </c>
      <c r="AG164" s="217">
        <f t="shared" si="285"/>
        <v>0.0359427493162372</v>
      </c>
      <c r="AI164" s="5">
        <f t="shared" si="286"/>
        <v>0.822237897535901</v>
      </c>
      <c r="AJ164" s="5">
        <f t="shared" si="287"/>
        <v>1.5</v>
      </c>
      <c r="AK164" s="5">
        <f t="shared" si="288"/>
        <v>2</v>
      </c>
      <c r="AM164" s="216">
        <f t="shared" si="289"/>
        <v>270</v>
      </c>
      <c r="AN164" s="220">
        <f t="shared" si="290"/>
        <v>112.58583014839</v>
      </c>
      <c r="AP164" t="str">
        <f t="shared" si="291"/>
        <v/>
      </c>
      <c r="AQ164" t="str">
        <f t="shared" si="292"/>
        <v/>
      </c>
      <c r="AS164" s="192">
        <f t="shared" si="263"/>
        <v>8.8821124175394</v>
      </c>
      <c r="AT164" s="192">
        <f t="shared" si="293"/>
        <v>3.75</v>
      </c>
      <c r="AU164" s="192">
        <f t="shared" si="230"/>
        <v>5.1321124175394</v>
      </c>
      <c r="AV164" s="192"/>
      <c r="AW164" s="5">
        <f t="shared" si="231"/>
        <v>0.422196863056464</v>
      </c>
      <c r="AX164" s="5">
        <f t="shared" si="259"/>
        <v>3.16647647292348</v>
      </c>
      <c r="AY164" s="5">
        <f t="shared" si="260"/>
        <v>0.289046019256004</v>
      </c>
      <c r="AZ164" s="5">
        <f t="shared" si="264"/>
        <v>10.9549215764116</v>
      </c>
      <c r="BA164" s="220">
        <f t="shared" si="294"/>
        <v>5.22063553448612</v>
      </c>
      <c r="BB164" s="220">
        <f t="shared" si="295"/>
        <v>62.5371417626337</v>
      </c>
      <c r="BC164" s="192">
        <f t="shared" si="258"/>
        <v>4.61890117578546</v>
      </c>
      <c r="BD164" s="220">
        <f t="shared" si="296"/>
        <v>17.200656168414</v>
      </c>
      <c r="BF164" s="5">
        <f t="shared" si="265"/>
        <v>0.562714534459834</v>
      </c>
      <c r="BG164" s="5">
        <f t="shared" si="261"/>
        <v>0.439082788143369</v>
      </c>
      <c r="BI164" s="217">
        <f t="shared" si="236"/>
        <v>0.110826676552322</v>
      </c>
      <c r="BJ164" s="217">
        <f t="shared" si="237"/>
        <v>0.018807012582968</v>
      </c>
      <c r="BK164" s="217">
        <f t="shared" si="238"/>
        <v>0.00140732287685488</v>
      </c>
      <c r="BL164" s="217">
        <f t="shared" si="239"/>
        <v>0.0027925655323862</v>
      </c>
      <c r="BM164">
        <f t="shared" si="240"/>
        <v>0.0029</v>
      </c>
      <c r="BN164">
        <f t="shared" si="297"/>
        <v>1.40732287685488e-6</v>
      </c>
      <c r="BO164" s="217">
        <f t="shared" si="298"/>
        <v>0.196354105097144</v>
      </c>
      <c r="BP164" s="220">
        <f t="shared" si="243"/>
        <v>136.733577544531</v>
      </c>
      <c r="BQ164" s="217">
        <f t="shared" si="299"/>
        <v>0.300611489063105</v>
      </c>
      <c r="BT164" s="220">
        <f t="shared" si="245"/>
        <v>300.611489063105</v>
      </c>
      <c r="BU164" s="217">
        <f t="shared" si="246"/>
        <v>0.0129825535389863</v>
      </c>
      <c r="BV164" s="217">
        <f t="shared" si="247"/>
        <v>0.0192793694843755</v>
      </c>
      <c r="BW164" s="217">
        <f t="shared" si="248"/>
        <v>0</v>
      </c>
      <c r="BX164" s="217"/>
      <c r="BY164" s="217">
        <f t="shared" si="249"/>
        <v>0.0101327247133551</v>
      </c>
      <c r="BZ164" s="220">
        <f t="shared" si="250"/>
        <v>42.3946477367169</v>
      </c>
      <c r="CA164" s="5">
        <f t="shared" si="251"/>
        <v>0.479739714344352</v>
      </c>
      <c r="CB164" s="192">
        <f t="shared" si="252"/>
        <v>2.84982882563113</v>
      </c>
      <c r="CC164" s="5">
        <f t="shared" si="253"/>
        <v>0.855915351017858</v>
      </c>
      <c r="CD164" s="192">
        <f t="shared" si="254"/>
        <v>85.5915351017858</v>
      </c>
      <c r="CG164" s="227">
        <f t="shared" si="300"/>
        <v>-50</v>
      </c>
      <c r="CH164">
        <f t="shared" si="301"/>
        <v>-50</v>
      </c>
    </row>
    <row r="165" spans="5:86">
      <c r="E165" s="22">
        <v>55</v>
      </c>
      <c r="F165" s="25">
        <f t="shared" si="302"/>
        <v>0.275</v>
      </c>
      <c r="G165" s="25"/>
      <c r="H165" s="25">
        <f t="shared" si="266"/>
        <v>4.95</v>
      </c>
      <c r="I165" s="212">
        <f t="shared" si="267"/>
        <v>10</v>
      </c>
      <c r="J165" s="131">
        <f t="shared" si="268"/>
        <v>7.01874321533836</v>
      </c>
      <c r="K165" s="131">
        <f t="shared" si="269"/>
        <v>22.2728</v>
      </c>
      <c r="L165" s="131"/>
      <c r="M165" s="25">
        <f t="shared" si="270"/>
        <v>0.551021874214288</v>
      </c>
      <c r="N165" s="27">
        <f t="shared" si="271"/>
        <v>3.74915283215402</v>
      </c>
      <c r="O165" s="27">
        <f t="shared" si="262"/>
        <v>2.78378468398508</v>
      </c>
      <c r="P165" s="25">
        <f t="shared" si="272"/>
        <v>0.208286268453001</v>
      </c>
      <c r="Q165" s="25">
        <f t="shared" si="273"/>
        <v>13.6332830260146</v>
      </c>
      <c r="R165" s="25"/>
      <c r="S165" s="27">
        <f t="shared" si="274"/>
        <v>10.1228533963094</v>
      </c>
      <c r="T165" s="27">
        <f t="shared" si="275"/>
        <v>10.1228533963094</v>
      </c>
      <c r="U165" s="25">
        <f t="shared" si="276"/>
        <v>1.5</v>
      </c>
      <c r="V165" s="25">
        <f t="shared" si="277"/>
        <v>3.75</v>
      </c>
      <c r="W165" s="25">
        <f t="shared" si="278"/>
        <v>5.34283686544475</v>
      </c>
      <c r="X165" s="24">
        <f t="shared" si="279"/>
        <v>350</v>
      </c>
      <c r="Y165" s="131">
        <f t="shared" si="215"/>
        <v>109.976678873485</v>
      </c>
      <c r="AA165" s="25">
        <f t="shared" si="280"/>
        <v>0.471328623743506</v>
      </c>
      <c r="AB165" s="5">
        <f t="shared" si="281"/>
        <v>1.67882129778409</v>
      </c>
      <c r="AC165" s="5">
        <f t="shared" si="282"/>
        <v>0.0923617531738721</v>
      </c>
      <c r="AD165" s="5"/>
      <c r="AE165" s="5">
        <f t="shared" si="283"/>
        <v>1.06856737308895</v>
      </c>
      <c r="AF165" s="216">
        <f t="shared" si="284"/>
        <v>2572.25305243118</v>
      </c>
      <c r="AG165" s="217">
        <f t="shared" si="285"/>
        <v>0.0374185579871423</v>
      </c>
      <c r="AI165" s="5">
        <f t="shared" si="286"/>
        <v>0.813287464059658</v>
      </c>
      <c r="AJ165" s="5">
        <f t="shared" si="287"/>
        <v>1.5</v>
      </c>
      <c r="AK165" s="5">
        <f t="shared" si="288"/>
        <v>2</v>
      </c>
      <c r="AM165" s="216">
        <f t="shared" si="289"/>
        <v>275</v>
      </c>
      <c r="AN165" s="220">
        <f t="shared" si="290"/>
        <v>109.976678873485</v>
      </c>
      <c r="AP165" t="str">
        <f t="shared" si="291"/>
        <v/>
      </c>
      <c r="AQ165" t="str">
        <f t="shared" si="292"/>
        <v/>
      </c>
      <c r="AS165" s="192">
        <f t="shared" si="263"/>
        <v>9.09283686544475</v>
      </c>
      <c r="AT165" s="192">
        <f t="shared" si="293"/>
        <v>3.75</v>
      </c>
      <c r="AU165" s="192">
        <f t="shared" si="230"/>
        <v>5.34283686544475</v>
      </c>
      <c r="AV165" s="192"/>
      <c r="AW165" s="5">
        <f t="shared" si="231"/>
        <v>0.412412545775568</v>
      </c>
      <c r="AX165" s="5">
        <f t="shared" si="259"/>
        <v>3.09309409331676</v>
      </c>
      <c r="AY165" s="5">
        <f t="shared" si="260"/>
        <v>0.293940623975772</v>
      </c>
      <c r="AZ165" s="5">
        <f t="shared" si="264"/>
        <v>10.5228533963094</v>
      </c>
      <c r="BA165" s="220">
        <f t="shared" si="294"/>
        <v>5.22063553448612</v>
      </c>
      <c r="BB165" s="220">
        <f t="shared" si="295"/>
        <v>64.8595006282465</v>
      </c>
      <c r="BC165" s="192">
        <f t="shared" si="258"/>
        <v>4.89760045999102</v>
      </c>
      <c r="BD165" s="220">
        <f t="shared" si="296"/>
        <v>17.4538253780572</v>
      </c>
      <c r="BF165" s="5">
        <f t="shared" si="265"/>
        <v>0.556155921780642</v>
      </c>
      <c r="BG165" s="5">
        <f t="shared" si="261"/>
        <v>0.442784819287925</v>
      </c>
      <c r="BI165" s="217">
        <f t="shared" si="236"/>
        <v>0.108258293266086</v>
      </c>
      <c r="BJ165" s="217">
        <f t="shared" si="237"/>
        <v>0.0183711642991001</v>
      </c>
      <c r="BK165" s="217">
        <f t="shared" si="238"/>
        <v>0.00137470848591856</v>
      </c>
      <c r="BL165" s="217">
        <f t="shared" si="239"/>
        <v>0.00272784845467331</v>
      </c>
      <c r="BM165">
        <f t="shared" si="240"/>
        <v>0.0029</v>
      </c>
      <c r="BN165">
        <f t="shared" si="297"/>
        <v>1.37470848591856e-6</v>
      </c>
      <c r="BO165" s="217">
        <f t="shared" si="298"/>
        <v>0.191580137616677</v>
      </c>
      <c r="BP165" s="220">
        <f t="shared" si="243"/>
        <v>133.632014505778</v>
      </c>
      <c r="BQ165" s="217">
        <f t="shared" si="299"/>
        <v>0.305984480303532</v>
      </c>
      <c r="BT165" s="220">
        <f t="shared" si="245"/>
        <v>305.984480303532</v>
      </c>
      <c r="BU165" s="217">
        <f t="shared" si="246"/>
        <v>0.0126816857825987</v>
      </c>
      <c r="BV165" s="217">
        <f t="shared" si="247"/>
        <v>0.019605839619184</v>
      </c>
      <c r="BW165" s="217">
        <f t="shared" si="248"/>
        <v>0</v>
      </c>
      <c r="BX165" s="217"/>
      <c r="BY165" s="217">
        <f t="shared" si="249"/>
        <v>0.00989790109861362</v>
      </c>
      <c r="BZ165" s="220">
        <f t="shared" si="250"/>
        <v>42.1854265003963</v>
      </c>
      <c r="CA165" s="5">
        <f t="shared" si="251"/>
        <v>0.481801921309707</v>
      </c>
      <c r="CB165" s="192">
        <f t="shared" si="252"/>
        <v>2.78378468398508</v>
      </c>
      <c r="CC165" s="5">
        <f t="shared" si="253"/>
        <v>0.852460834899151</v>
      </c>
      <c r="CD165" s="192">
        <f t="shared" si="254"/>
        <v>85.2460834899152</v>
      </c>
      <c r="CG165" s="227">
        <f t="shared" si="300"/>
        <v>-50</v>
      </c>
      <c r="CH165">
        <f t="shared" si="301"/>
        <v>-50</v>
      </c>
    </row>
    <row r="166" spans="5:86">
      <c r="E166" s="22">
        <v>56</v>
      </c>
      <c r="F166" s="25">
        <f t="shared" si="302"/>
        <v>0.28</v>
      </c>
      <c r="G166" s="25"/>
      <c r="H166" s="25">
        <f t="shared" si="266"/>
        <v>5.04</v>
      </c>
      <c r="I166" s="212">
        <f t="shared" si="267"/>
        <v>10</v>
      </c>
      <c r="J166" s="131">
        <f t="shared" si="268"/>
        <v>6.74199296895182</v>
      </c>
      <c r="K166" s="131">
        <f t="shared" si="269"/>
        <v>22.2728</v>
      </c>
      <c r="L166" s="131"/>
      <c r="M166" s="25">
        <f t="shared" si="270"/>
        <v>0.551021874214288</v>
      </c>
      <c r="N166" s="27">
        <f t="shared" si="271"/>
        <v>3.74915283215402</v>
      </c>
      <c r="O166" s="27">
        <f t="shared" si="262"/>
        <v>2.71822193599177</v>
      </c>
      <c r="P166" s="25">
        <f t="shared" si="272"/>
        <v>0.208286268453001</v>
      </c>
      <c r="Q166" s="25">
        <f t="shared" si="273"/>
        <v>13.3898315434072</v>
      </c>
      <c r="R166" s="25"/>
      <c r="S166" s="27">
        <f t="shared" si="274"/>
        <v>9.70793548568489</v>
      </c>
      <c r="T166" s="27">
        <f t="shared" si="275"/>
        <v>9.70793548568489</v>
      </c>
      <c r="U166" s="25">
        <f t="shared" si="276"/>
        <v>1.5</v>
      </c>
      <c r="V166" s="25">
        <f t="shared" si="277"/>
        <v>3.75</v>
      </c>
      <c r="W166" s="25">
        <f t="shared" si="278"/>
        <v>5.56215353126216</v>
      </c>
      <c r="X166" s="24">
        <f t="shared" si="279"/>
        <v>350</v>
      </c>
      <c r="Y166" s="131">
        <f t="shared" si="215"/>
        <v>107.386545619428</v>
      </c>
      <c r="AA166" s="25">
        <f t="shared" si="280"/>
        <v>0.460228052654691</v>
      </c>
      <c r="AB166" s="5">
        <f t="shared" si="281"/>
        <v>1.70657272550613</v>
      </c>
      <c r="AC166" s="5">
        <f t="shared" si="282"/>
        <v>0.0916772906576778</v>
      </c>
      <c r="AD166" s="5"/>
      <c r="AE166" s="5">
        <f t="shared" si="283"/>
        <v>1.11243070625243</v>
      </c>
      <c r="AF166" s="216">
        <f t="shared" si="284"/>
        <v>2515.75283199268</v>
      </c>
      <c r="AG166" s="217">
        <f t="shared" si="285"/>
        <v>0.0389545422561945</v>
      </c>
      <c r="AI166" s="5">
        <f t="shared" si="286"/>
        <v>0.80430583181016</v>
      </c>
      <c r="AJ166" s="5">
        <f t="shared" si="287"/>
        <v>1.5</v>
      </c>
      <c r="AK166" s="5">
        <f t="shared" si="288"/>
        <v>2</v>
      </c>
      <c r="AM166" s="216">
        <f t="shared" si="289"/>
        <v>280</v>
      </c>
      <c r="AN166" s="220">
        <f t="shared" si="290"/>
        <v>107.386545619428</v>
      </c>
      <c r="AP166" t="str">
        <f t="shared" si="291"/>
        <v/>
      </c>
      <c r="AQ166" t="str">
        <f t="shared" si="292"/>
        <v/>
      </c>
      <c r="AS166" s="192">
        <f t="shared" si="263"/>
        <v>9.31215353126216</v>
      </c>
      <c r="AT166" s="192">
        <f t="shared" si="293"/>
        <v>3.75</v>
      </c>
      <c r="AU166" s="192">
        <f t="shared" si="230"/>
        <v>5.56215353126216</v>
      </c>
      <c r="AV166" s="192"/>
      <c r="AW166" s="5">
        <f t="shared" si="231"/>
        <v>0.402699546072855</v>
      </c>
      <c r="AX166" s="5">
        <f t="shared" si="259"/>
        <v>3.02024659554641</v>
      </c>
      <c r="AY166" s="5">
        <f t="shared" si="260"/>
        <v>0.298799552077054</v>
      </c>
      <c r="AZ166" s="5">
        <f t="shared" si="264"/>
        <v>10.1079354856849</v>
      </c>
      <c r="BA166" s="220">
        <f t="shared" si="294"/>
        <v>5.22063553448612</v>
      </c>
      <c r="BB166" s="220">
        <f t="shared" si="295"/>
        <v>67.2241963537789</v>
      </c>
      <c r="BC166" s="192">
        <f t="shared" si="258"/>
        <v>5.19134329584468</v>
      </c>
      <c r="BD166" s="220">
        <f t="shared" si="296"/>
        <v>17.7051492453649</v>
      </c>
      <c r="BF166" s="5">
        <f t="shared" si="265"/>
        <v>0.549567702430411</v>
      </c>
      <c r="BG166" s="5">
        <f t="shared" si="261"/>
        <v>0.446429503096956</v>
      </c>
      <c r="BI166" s="217">
        <f t="shared" si="236"/>
        <v>0.105708630844124</v>
      </c>
      <c r="BJ166" s="217">
        <f t="shared" si="237"/>
        <v>0.017938492899543</v>
      </c>
      <c r="BK166" s="217">
        <f t="shared" si="238"/>
        <v>0.00134233182024285</v>
      </c>
      <c r="BL166" s="217">
        <f t="shared" si="239"/>
        <v>0.00266360309768627</v>
      </c>
      <c r="BM166">
        <f t="shared" si="240"/>
        <v>0.0029</v>
      </c>
      <c r="BN166">
        <f t="shared" si="297"/>
        <v>1.34233182024285e-6</v>
      </c>
      <c r="BO166" s="217">
        <f t="shared" si="298"/>
        <v>0.186855473585936</v>
      </c>
      <c r="BP166" s="220">
        <f t="shared" si="243"/>
        <v>130.553058661596</v>
      </c>
      <c r="BQ166" s="217">
        <f t="shared" si="299"/>
        <v>0.31134237159892</v>
      </c>
      <c r="BT166" s="220">
        <f t="shared" si="245"/>
        <v>311.34237159892</v>
      </c>
      <c r="BU166" s="217">
        <f t="shared" si="246"/>
        <v>0.0123830110417403</v>
      </c>
      <c r="BV166" s="217">
        <f t="shared" si="247"/>
        <v>0.0199299301235395</v>
      </c>
      <c r="BW166" s="217">
        <f t="shared" si="248"/>
        <v>0</v>
      </c>
      <c r="BX166" s="217"/>
      <c r="BY166" s="217">
        <f t="shared" si="249"/>
        <v>0.00966478910574851</v>
      </c>
      <c r="BZ166" s="220">
        <f t="shared" si="250"/>
        <v>41.9777302710283</v>
      </c>
      <c r="CA166" s="5">
        <f t="shared" si="251"/>
        <v>0.483873160531545</v>
      </c>
      <c r="CB166" s="192">
        <f t="shared" si="252"/>
        <v>2.71822193599177</v>
      </c>
      <c r="CC166" s="5">
        <f t="shared" si="253"/>
        <v>0.848888572654537</v>
      </c>
      <c r="CD166" s="192">
        <f t="shared" si="254"/>
        <v>84.8888572654537</v>
      </c>
      <c r="CG166" s="227">
        <f t="shared" si="300"/>
        <v>-50</v>
      </c>
      <c r="CH166">
        <f t="shared" si="301"/>
        <v>-50</v>
      </c>
    </row>
    <row r="167" spans="5:86">
      <c r="E167" s="22">
        <v>57</v>
      </c>
      <c r="F167" s="25">
        <f t="shared" si="302"/>
        <v>0.285</v>
      </c>
      <c r="G167" s="25"/>
      <c r="H167" s="25">
        <f t="shared" si="266"/>
        <v>5.13</v>
      </c>
      <c r="I167" s="212">
        <f t="shared" si="267"/>
        <v>10</v>
      </c>
      <c r="J167" s="131">
        <f t="shared" si="268"/>
        <v>6.47614208746785</v>
      </c>
      <c r="K167" s="131">
        <f t="shared" si="269"/>
        <v>22.2728</v>
      </c>
      <c r="L167" s="131"/>
      <c r="M167" s="25">
        <f t="shared" si="270"/>
        <v>0.551021874214288</v>
      </c>
      <c r="N167" s="27">
        <f t="shared" si="271"/>
        <v>3.74915283215402</v>
      </c>
      <c r="O167" s="27">
        <f t="shared" si="262"/>
        <v>2.6531671588131</v>
      </c>
      <c r="P167" s="25">
        <f t="shared" si="272"/>
        <v>0.208286268453001</v>
      </c>
      <c r="Q167" s="25">
        <f t="shared" si="273"/>
        <v>13.1549222180843</v>
      </c>
      <c r="R167" s="25"/>
      <c r="S167" s="27">
        <f t="shared" si="274"/>
        <v>9.30935845197579</v>
      </c>
      <c r="T167" s="27">
        <f t="shared" si="275"/>
        <v>9.30935845197579</v>
      </c>
      <c r="U167" s="25">
        <f t="shared" si="276"/>
        <v>1.5</v>
      </c>
      <c r="V167" s="25">
        <f t="shared" si="277"/>
        <v>3.75</v>
      </c>
      <c r="W167" s="25">
        <f t="shared" si="278"/>
        <v>5.79048444174306</v>
      </c>
      <c r="X167" s="24">
        <f t="shared" si="279"/>
        <v>350</v>
      </c>
      <c r="Y167" s="131">
        <f t="shared" si="215"/>
        <v>104.816480348172</v>
      </c>
      <c r="AA167" s="25">
        <f t="shared" si="280"/>
        <v>0.44921348720645</v>
      </c>
      <c r="AB167" s="5">
        <f t="shared" si="281"/>
        <v>1.73410913912673</v>
      </c>
      <c r="AC167" s="5">
        <f t="shared" si="282"/>
        <v>0.0909270490555567</v>
      </c>
      <c r="AD167" s="5"/>
      <c r="AE167" s="5">
        <f t="shared" si="283"/>
        <v>1.15809688834861</v>
      </c>
      <c r="AF167" s="216">
        <f t="shared" si="284"/>
        <v>2459.7041411672</v>
      </c>
      <c r="AG167" s="217">
        <f t="shared" si="285"/>
        <v>0.0405536577877475</v>
      </c>
      <c r="AI167" s="5">
        <f t="shared" si="286"/>
        <v>0.79529576296234</v>
      </c>
      <c r="AJ167" s="5">
        <f t="shared" si="287"/>
        <v>1.5</v>
      </c>
      <c r="AK167" s="5">
        <f t="shared" si="288"/>
        <v>2</v>
      </c>
      <c r="AM167" s="216">
        <f t="shared" si="289"/>
        <v>285</v>
      </c>
      <c r="AN167" s="220">
        <f t="shared" si="290"/>
        <v>104.816480348172</v>
      </c>
      <c r="AP167" t="str">
        <f t="shared" si="291"/>
        <v/>
      </c>
      <c r="AQ167" t="str">
        <f t="shared" si="292"/>
        <v/>
      </c>
      <c r="AS167" s="192">
        <f t="shared" si="263"/>
        <v>9.54048444174306</v>
      </c>
      <c r="AT167" s="192">
        <f t="shared" si="293"/>
        <v>3.75</v>
      </c>
      <c r="AU167" s="192">
        <f t="shared" si="230"/>
        <v>5.79048444174306</v>
      </c>
      <c r="AV167" s="192"/>
      <c r="AW167" s="5">
        <f t="shared" si="231"/>
        <v>0.393061801305644</v>
      </c>
      <c r="AX167" s="5">
        <f t="shared" si="259"/>
        <v>2.94796350979233</v>
      </c>
      <c r="AY167" s="5">
        <f t="shared" si="260"/>
        <v>0.303620833896852</v>
      </c>
      <c r="AZ167" s="5">
        <f t="shared" si="264"/>
        <v>9.70935845197578</v>
      </c>
      <c r="BA167" s="220">
        <f t="shared" si="294"/>
        <v>5.22063553448612</v>
      </c>
      <c r="BB167" s="220">
        <f t="shared" si="295"/>
        <v>69.6312289392307</v>
      </c>
      <c r="BC167" s="192">
        <f t="shared" si="258"/>
        <v>5.50096021965591</v>
      </c>
      <c r="BD167" s="220">
        <f t="shared" si="296"/>
        <v>17.9545258912165</v>
      </c>
      <c r="BF167" s="5">
        <f t="shared" si="265"/>
        <v>0.542951518074342</v>
      </c>
      <c r="BG167" s="5">
        <f t="shared" si="261"/>
        <v>0.450016773253176</v>
      </c>
      <c r="BI167" s="217">
        <f t="shared" si="236"/>
        <v>0.103178722842732</v>
      </c>
      <c r="BJ167" s="217">
        <f t="shared" si="237"/>
        <v>0.0175091737762407</v>
      </c>
      <c r="BK167" s="217">
        <f t="shared" si="238"/>
        <v>0.00131020600435215</v>
      </c>
      <c r="BL167" s="217">
        <f t="shared" si="239"/>
        <v>0.00259985550455636</v>
      </c>
      <c r="BM167">
        <f t="shared" si="240"/>
        <v>0.0029</v>
      </c>
      <c r="BN167">
        <f t="shared" si="297"/>
        <v>1.31020600435215e-6</v>
      </c>
      <c r="BO167" s="217">
        <f t="shared" si="298"/>
        <v>0.182181635889682</v>
      </c>
      <c r="BP167" s="220">
        <f t="shared" si="243"/>
        <v>127.497958127881</v>
      </c>
      <c r="BQ167" s="217">
        <f t="shared" si="299"/>
        <v>0.316684329299548</v>
      </c>
      <c r="BT167" s="220">
        <f t="shared" si="245"/>
        <v>316.684329299548</v>
      </c>
      <c r="BU167" s="217">
        <f t="shared" si="246"/>
        <v>0.0120866503901486</v>
      </c>
      <c r="BV167" s="217">
        <f t="shared" si="247"/>
        <v>0.02025150962092</v>
      </c>
      <c r="BW167" s="217">
        <f t="shared" si="248"/>
        <v>0</v>
      </c>
      <c r="BX167" s="217"/>
      <c r="BY167" s="217">
        <f t="shared" si="249"/>
        <v>0.00943348323133546</v>
      </c>
      <c r="BZ167" s="220">
        <f t="shared" si="250"/>
        <v>41.771643242404</v>
      </c>
      <c r="CA167" s="5">
        <f t="shared" si="251"/>
        <v>0.485953930669833</v>
      </c>
      <c r="CB167" s="192">
        <f t="shared" si="252"/>
        <v>2.6531671588131</v>
      </c>
      <c r="CC167" s="5">
        <f t="shared" si="253"/>
        <v>0.84519427036506</v>
      </c>
      <c r="CD167" s="192">
        <f t="shared" si="254"/>
        <v>84.519427036506</v>
      </c>
      <c r="CG167" s="227">
        <f t="shared" si="300"/>
        <v>-50</v>
      </c>
      <c r="CH167">
        <f t="shared" si="301"/>
        <v>-50</v>
      </c>
    </row>
    <row r="168" spans="5:86">
      <c r="E168" s="22">
        <v>58</v>
      </c>
      <c r="F168" s="25">
        <f t="shared" si="302"/>
        <v>0.29</v>
      </c>
      <c r="G168" s="25"/>
      <c r="H168" s="25">
        <f t="shared" si="266"/>
        <v>5.22</v>
      </c>
      <c r="I168" s="212">
        <f t="shared" si="267"/>
        <v>10</v>
      </c>
      <c r="J168" s="131">
        <f t="shared" si="268"/>
        <v>6.22069124307076</v>
      </c>
      <c r="K168" s="131">
        <f t="shared" si="269"/>
        <v>22.2728</v>
      </c>
      <c r="L168" s="131"/>
      <c r="M168" s="25">
        <f t="shared" si="270"/>
        <v>0.551021874214288</v>
      </c>
      <c r="N168" s="27">
        <f t="shared" si="271"/>
        <v>3.74915283215402</v>
      </c>
      <c r="O168" s="27">
        <f t="shared" si="262"/>
        <v>2.5886483665525</v>
      </c>
      <c r="P168" s="25">
        <f t="shared" si="272"/>
        <v>0.208286268453001</v>
      </c>
      <c r="Q168" s="25">
        <f t="shared" si="273"/>
        <v>12.9281132143242</v>
      </c>
      <c r="R168" s="25"/>
      <c r="S168" s="27">
        <f t="shared" si="274"/>
        <v>8.92637367776726</v>
      </c>
      <c r="T168" s="27">
        <f t="shared" si="275"/>
        <v>8.92637367776726</v>
      </c>
      <c r="U168" s="25">
        <f t="shared" si="276"/>
        <v>1.5</v>
      </c>
      <c r="V168" s="25">
        <f t="shared" si="277"/>
        <v>3.75</v>
      </c>
      <c r="W168" s="25">
        <f t="shared" si="278"/>
        <v>6.02826897119694</v>
      </c>
      <c r="X168" s="24">
        <f t="shared" si="279"/>
        <v>350</v>
      </c>
      <c r="Y168" s="131">
        <f t="shared" si="215"/>
        <v>102.267589789729</v>
      </c>
      <c r="AA168" s="25">
        <f t="shared" si="280"/>
        <v>0.438289670527408</v>
      </c>
      <c r="AB168" s="5">
        <f t="shared" si="281"/>
        <v>1.76141868082434</v>
      </c>
      <c r="AC168" s="5">
        <f t="shared" si="282"/>
        <v>0.0901130555600287</v>
      </c>
      <c r="AD168" s="5"/>
      <c r="AE168" s="5">
        <f t="shared" si="283"/>
        <v>1.20565379423939</v>
      </c>
      <c r="AF168" s="216">
        <f t="shared" si="284"/>
        <v>2404.13188138</v>
      </c>
      <c r="AG168" s="217">
        <f t="shared" si="285"/>
        <v>0.0422189817397778</v>
      </c>
      <c r="AI168" s="5">
        <f t="shared" si="286"/>
        <v>0.786260351872258</v>
      </c>
      <c r="AJ168" s="5">
        <f t="shared" si="287"/>
        <v>1.5</v>
      </c>
      <c r="AK168" s="5">
        <f t="shared" si="288"/>
        <v>2</v>
      </c>
      <c r="AM168" s="216">
        <f t="shared" si="289"/>
        <v>290</v>
      </c>
      <c r="AN168" s="220">
        <f t="shared" si="290"/>
        <v>102.267589789729</v>
      </c>
      <c r="AP168" t="str">
        <f t="shared" si="291"/>
        <v/>
      </c>
      <c r="AQ168" t="str">
        <f t="shared" si="292"/>
        <v/>
      </c>
      <c r="AS168" s="192">
        <f t="shared" si="263"/>
        <v>9.77826897119694</v>
      </c>
      <c r="AT168" s="192">
        <f t="shared" si="293"/>
        <v>3.75</v>
      </c>
      <c r="AU168" s="192">
        <f t="shared" si="230"/>
        <v>6.02826897119694</v>
      </c>
      <c r="AV168" s="192"/>
      <c r="AW168" s="5">
        <f t="shared" si="231"/>
        <v>0.383503461711482</v>
      </c>
      <c r="AX168" s="5">
        <f t="shared" si="259"/>
        <v>2.87627596283612</v>
      </c>
      <c r="AY168" s="5">
        <f t="shared" si="260"/>
        <v>0.308402393278831</v>
      </c>
      <c r="AZ168" s="5">
        <f t="shared" si="264"/>
        <v>9.32637367776726</v>
      </c>
      <c r="BA168" s="220">
        <f t="shared" si="294"/>
        <v>5.22063553448612</v>
      </c>
      <c r="BB168" s="220">
        <f t="shared" si="295"/>
        <v>72.0805983846021</v>
      </c>
      <c r="BC168" s="192">
        <f t="shared" si="258"/>
        <v>5.82732667215704</v>
      </c>
      <c r="BD168" s="220">
        <f t="shared" si="296"/>
        <v>18.2018479282154</v>
      </c>
      <c r="BF168" s="5">
        <f t="shared" si="265"/>
        <v>0.536309235687408</v>
      </c>
      <c r="BG168" s="5">
        <f t="shared" si="261"/>
        <v>0.453546465444259</v>
      </c>
      <c r="BI168" s="217">
        <f t="shared" si="236"/>
        <v>0.100669658699264</v>
      </c>
      <c r="BJ168" s="217">
        <f t="shared" si="237"/>
        <v>0.017083391804015</v>
      </c>
      <c r="BK168" s="217">
        <f t="shared" si="238"/>
        <v>0.00127834487237161</v>
      </c>
      <c r="BL168" s="217">
        <f t="shared" si="239"/>
        <v>0.0025366331264831</v>
      </c>
      <c r="BM168">
        <f t="shared" si="240"/>
        <v>0.0029</v>
      </c>
      <c r="BN168">
        <f t="shared" si="297"/>
        <v>1.27834487237161e-6</v>
      </c>
      <c r="BO168" s="217">
        <f t="shared" si="298"/>
        <v>0.177560232969995</v>
      </c>
      <c r="BP168" s="220">
        <f t="shared" si="243"/>
        <v>124.468028502134</v>
      </c>
      <c r="BQ168" s="217">
        <f t="shared" si="299"/>
        <v>0.32200947468294</v>
      </c>
      <c r="BT168" s="220">
        <f t="shared" si="245"/>
        <v>322.00947468294</v>
      </c>
      <c r="BU168" s="217">
        <f t="shared" si="246"/>
        <v>0.0117927314476281</v>
      </c>
      <c r="BV168" s="217">
        <f t="shared" si="247"/>
        <v>0.020570439631698</v>
      </c>
      <c r="BW168" s="217">
        <f t="shared" si="248"/>
        <v>0</v>
      </c>
      <c r="BX168" s="217"/>
      <c r="BY168" s="217">
        <f t="shared" si="249"/>
        <v>0.00920408308107557</v>
      </c>
      <c r="BZ168" s="220">
        <f t="shared" si="250"/>
        <v>41.5672541604017</v>
      </c>
      <c r="CA168" s="5">
        <f t="shared" si="251"/>
        <v>0.488044757345475</v>
      </c>
      <c r="CB168" s="192">
        <f t="shared" si="252"/>
        <v>2.5886483665525</v>
      </c>
      <c r="CC168" s="5">
        <f t="shared" si="253"/>
        <v>0.841373598960967</v>
      </c>
      <c r="CD168" s="192">
        <f t="shared" si="254"/>
        <v>84.1373598960967</v>
      </c>
      <c r="CG168" s="227">
        <f t="shared" si="300"/>
        <v>-50</v>
      </c>
      <c r="CH168">
        <f t="shared" si="301"/>
        <v>-50</v>
      </c>
    </row>
    <row r="169" spans="5:86">
      <c r="E169" s="22">
        <v>59</v>
      </c>
      <c r="F169" s="25">
        <f t="shared" si="302"/>
        <v>0.295</v>
      </c>
      <c r="G169" s="25"/>
      <c r="H169" s="25">
        <f t="shared" si="266"/>
        <v>5.31</v>
      </c>
      <c r="I169" s="212">
        <f t="shared" si="267"/>
        <v>10</v>
      </c>
      <c r="J169" s="131">
        <f t="shared" si="268"/>
        <v>5.97517828046953</v>
      </c>
      <c r="K169" s="131">
        <f t="shared" si="269"/>
        <v>22.2728</v>
      </c>
      <c r="L169" s="131"/>
      <c r="M169" s="25">
        <f t="shared" si="270"/>
        <v>0.551021874214288</v>
      </c>
      <c r="N169" s="27">
        <f t="shared" si="271"/>
        <v>3.74915283215402</v>
      </c>
      <c r="O169" s="27">
        <f t="shared" si="262"/>
        <v>2.52469504158697</v>
      </c>
      <c r="P169" s="25">
        <f t="shared" si="272"/>
        <v>0.208286268453001</v>
      </c>
      <c r="Q169" s="25">
        <f t="shared" si="273"/>
        <v>12.7089926513695</v>
      </c>
      <c r="R169" s="25"/>
      <c r="S169" s="27">
        <f t="shared" si="274"/>
        <v>8.55828827656601</v>
      </c>
      <c r="T169" s="27">
        <f t="shared" si="275"/>
        <v>8.55828827656601</v>
      </c>
      <c r="U169" s="25">
        <f t="shared" si="276"/>
        <v>1.5</v>
      </c>
      <c r="V169" s="25">
        <f t="shared" si="277"/>
        <v>3.75</v>
      </c>
      <c r="W169" s="25">
        <f t="shared" si="278"/>
        <v>6.27596336708019</v>
      </c>
      <c r="X169" s="24">
        <f t="shared" si="279"/>
        <v>350</v>
      </c>
      <c r="Y169" s="131">
        <f t="shared" si="215"/>
        <v>99.7410386799792</v>
      </c>
      <c r="AA169" s="25">
        <f t="shared" si="280"/>
        <v>0.427461594342768</v>
      </c>
      <c r="AB169" s="5">
        <f t="shared" si="281"/>
        <v>1.78848887128594</v>
      </c>
      <c r="AC169" s="5">
        <f t="shared" si="282"/>
        <v>0.0892374652792439</v>
      </c>
      <c r="AD169" s="5"/>
      <c r="AE169" s="5">
        <f t="shared" si="283"/>
        <v>1.25519267341604</v>
      </c>
      <c r="AF169" s="216">
        <f t="shared" si="284"/>
        <v>2349.06225918842</v>
      </c>
      <c r="AG169" s="217">
        <f t="shared" si="285"/>
        <v>0.0439537094413461</v>
      </c>
      <c r="AI169" s="5">
        <f t="shared" si="286"/>
        <v>0.777203050003128</v>
      </c>
      <c r="AJ169" s="5">
        <f t="shared" si="287"/>
        <v>1.5</v>
      </c>
      <c r="AK169" s="5">
        <f t="shared" si="288"/>
        <v>2</v>
      </c>
      <c r="AM169" s="216">
        <f t="shared" si="289"/>
        <v>295</v>
      </c>
      <c r="AN169" s="220">
        <f t="shared" si="290"/>
        <v>99.7410386799792</v>
      </c>
      <c r="AP169" t="str">
        <f t="shared" si="291"/>
        <v/>
      </c>
      <c r="AQ169" t="str">
        <f t="shared" si="292"/>
        <v/>
      </c>
      <c r="AS169" s="192">
        <f t="shared" si="263"/>
        <v>10.0259633670802</v>
      </c>
      <c r="AT169" s="192">
        <f t="shared" si="293"/>
        <v>3.75</v>
      </c>
      <c r="AU169" s="192">
        <f t="shared" si="230"/>
        <v>6.27596336708019</v>
      </c>
      <c r="AV169" s="192"/>
      <c r="AW169" s="5">
        <f t="shared" si="231"/>
        <v>0.374028895049922</v>
      </c>
      <c r="AX169" s="5">
        <f t="shared" si="259"/>
        <v>2.80521671287441</v>
      </c>
      <c r="AY169" s="5">
        <f t="shared" si="260"/>
        <v>0.313142045251277</v>
      </c>
      <c r="AZ169" s="5">
        <f t="shared" si="264"/>
        <v>8.95828827656601</v>
      </c>
      <c r="BA169" s="220">
        <f t="shared" si="294"/>
        <v>5.22063553448612</v>
      </c>
      <c r="BB169" s="220">
        <f t="shared" si="295"/>
        <v>74.5723046898929</v>
      </c>
      <c r="BC169" s="192">
        <f t="shared" si="258"/>
        <v>6.17136397762886</v>
      </c>
      <c r="BD169" s="220">
        <f t="shared" si="296"/>
        <v>18.4470023405833</v>
      </c>
      <c r="BF169" s="5">
        <f t="shared" si="265"/>
        <v>0.529642965862327</v>
      </c>
      <c r="BG169" s="5">
        <f t="shared" si="261"/>
        <v>0.457018319307445</v>
      </c>
      <c r="BI169" s="217">
        <f t="shared" si="236"/>
        <v>0.0981825849506045</v>
      </c>
      <c r="BJ169" s="217">
        <f t="shared" si="237"/>
        <v>0.0166613415473358</v>
      </c>
      <c r="BK169" s="217">
        <f t="shared" si="238"/>
        <v>0.00124676298349974</v>
      </c>
      <c r="BL169" s="217">
        <f t="shared" si="239"/>
        <v>0.00247396485343667</v>
      </c>
      <c r="BM169">
        <f t="shared" si="240"/>
        <v>0.0029</v>
      </c>
      <c r="BN169">
        <f t="shared" si="297"/>
        <v>1.24676298349974e-6</v>
      </c>
      <c r="BO169" s="217">
        <f t="shared" si="298"/>
        <v>0.17299296016852</v>
      </c>
      <c r="BP169" s="220">
        <f t="shared" si="243"/>
        <v>121.464654334877</v>
      </c>
      <c r="BQ169" s="217">
        <f t="shared" si="299"/>
        <v>0.32731688297107</v>
      </c>
      <c r="BT169" s="220">
        <f t="shared" si="245"/>
        <v>327.31688297107</v>
      </c>
      <c r="BU169" s="217">
        <f t="shared" si="246"/>
        <v>0.0115013885227851</v>
      </c>
      <c r="BV169" s="217">
        <f t="shared" si="247"/>
        <v>0.0208865744182602</v>
      </c>
      <c r="BW169" s="217">
        <f t="shared" si="248"/>
        <v>0</v>
      </c>
      <c r="BX169" s="217"/>
      <c r="BY169" s="217">
        <f t="shared" si="249"/>
        <v>0.00897669348119813</v>
      </c>
      <c r="BZ169" s="220">
        <f t="shared" si="250"/>
        <v>41.3646564222434</v>
      </c>
      <c r="CA169" s="5">
        <f t="shared" si="251"/>
        <v>0.49014619372819</v>
      </c>
      <c r="CB169" s="192">
        <f t="shared" si="252"/>
        <v>2.52469504158697</v>
      </c>
      <c r="CC169" s="5">
        <f t="shared" si="253"/>
        <v>0.837422220451701</v>
      </c>
      <c r="CD169" s="192">
        <f t="shared" si="254"/>
        <v>83.7422220451701</v>
      </c>
      <c r="CG169" s="227">
        <f t="shared" si="300"/>
        <v>-50</v>
      </c>
      <c r="CH169">
        <f t="shared" si="301"/>
        <v>-50</v>
      </c>
    </row>
    <row r="170" spans="5:86">
      <c r="E170" s="22">
        <v>60</v>
      </c>
      <c r="F170" s="25">
        <f t="shared" si="302"/>
        <v>0.3</v>
      </c>
      <c r="G170" s="25"/>
      <c r="H170" s="25">
        <f t="shared" si="266"/>
        <v>5.4</v>
      </c>
      <c r="I170" s="212">
        <f t="shared" si="267"/>
        <v>10</v>
      </c>
      <c r="J170" s="131">
        <f t="shared" si="268"/>
        <v>5.73917516471096</v>
      </c>
      <c r="K170" s="131">
        <f t="shared" si="269"/>
        <v>22.2728</v>
      </c>
      <c r="L170" s="131"/>
      <c r="M170" s="25">
        <f t="shared" si="270"/>
        <v>0.551021874214288</v>
      </c>
      <c r="N170" s="27">
        <f t="shared" si="271"/>
        <v>3.74915283215402</v>
      </c>
      <c r="O170" s="27">
        <f t="shared" si="262"/>
        <v>2.46133815504241</v>
      </c>
      <c r="P170" s="25">
        <f t="shared" si="272"/>
        <v>0.208286268453001</v>
      </c>
      <c r="Q170" s="25">
        <f t="shared" si="273"/>
        <v>12.4971761071801</v>
      </c>
      <c r="R170" s="25"/>
      <c r="S170" s="27">
        <f t="shared" si="274"/>
        <v>8.20446051680803</v>
      </c>
      <c r="T170" s="27">
        <f t="shared" si="275"/>
        <v>8.20446051680803</v>
      </c>
      <c r="U170" s="25">
        <f t="shared" si="276"/>
        <v>1.5</v>
      </c>
      <c r="V170" s="25">
        <f t="shared" si="277"/>
        <v>3.75</v>
      </c>
      <c r="W170" s="25">
        <f t="shared" si="278"/>
        <v>6.53403998375586</v>
      </c>
      <c r="X170" s="24">
        <f t="shared" si="279"/>
        <v>350</v>
      </c>
      <c r="Y170" s="131">
        <f t="shared" ref="Y170:Y210" si="303">MIN(1/(V170+W170)*1000,350)</f>
        <v>97.2380505695766</v>
      </c>
      <c r="AA170" s="25">
        <f t="shared" si="280"/>
        <v>0.416734502441043</v>
      </c>
      <c r="AB170" s="5">
        <f t="shared" si="281"/>
        <v>1.81530660104025</v>
      </c>
      <c r="AC170" s="5">
        <f t="shared" si="282"/>
        <v>0.0883025667543868</v>
      </c>
      <c r="AD170" s="5"/>
      <c r="AE170" s="5">
        <f t="shared" si="283"/>
        <v>1.30680799675117</v>
      </c>
      <c r="AF170" s="216">
        <f t="shared" si="284"/>
        <v>2294.52280448214</v>
      </c>
      <c r="AG170" s="217">
        <f t="shared" si="285"/>
        <v>0.0457611490262342</v>
      </c>
      <c r="AI170" s="5">
        <f t="shared" si="286"/>
        <v>0.768127691027982</v>
      </c>
      <c r="AJ170" s="5">
        <f t="shared" si="287"/>
        <v>1.5</v>
      </c>
      <c r="AK170" s="5">
        <f t="shared" si="288"/>
        <v>2</v>
      </c>
      <c r="AM170" s="216">
        <f t="shared" si="289"/>
        <v>300</v>
      </c>
      <c r="AN170" s="220">
        <f t="shared" si="290"/>
        <v>97.2380505695766</v>
      </c>
      <c r="AP170" t="str">
        <f t="shared" si="291"/>
        <v/>
      </c>
      <c r="AQ170" t="str">
        <f t="shared" si="292"/>
        <v/>
      </c>
      <c r="AS170" s="192">
        <f t="shared" si="263"/>
        <v>10.2840399837559</v>
      </c>
      <c r="AT170" s="192">
        <f t="shared" si="293"/>
        <v>3.75</v>
      </c>
      <c r="AU170" s="192">
        <f t="shared" ref="AU170:AU233" si="304">AS170-AT170</f>
        <v>6.53403998375586</v>
      </c>
      <c r="AV170" s="192"/>
      <c r="AW170" s="5">
        <f t="shared" ref="AW170:AW233" si="305">AT170/AS170</f>
        <v>0.364642689635912</v>
      </c>
      <c r="AX170" s="5">
        <f t="shared" si="259"/>
        <v>2.73482017226934</v>
      </c>
      <c r="AY170" s="5">
        <f t="shared" si="260"/>
        <v>0.317837494509635</v>
      </c>
      <c r="AZ170" s="5">
        <f t="shared" si="264"/>
        <v>8.60446051680803</v>
      </c>
      <c r="BA170" s="220">
        <f t="shared" si="294"/>
        <v>5.22063553448612</v>
      </c>
      <c r="BB170" s="220">
        <f t="shared" si="295"/>
        <v>77.1063478551033</v>
      </c>
      <c r="BC170" s="192">
        <f t="shared" si="258"/>
        <v>6.53403998375586</v>
      </c>
      <c r="BD170" s="220">
        <f t="shared" si="296"/>
        <v>18.6898704056708</v>
      </c>
      <c r="BF170" s="5">
        <f t="shared" si="265"/>
        <v>0.522955081462007</v>
      </c>
      <c r="BG170" s="5">
        <f t="shared" si="261"/>
        <v>0.46043198068545</v>
      </c>
      <c r="BI170" s="217">
        <f t="shared" ref="BI170:BI210" si="306">Rdson*BF170^2</f>
        <v>0.095718706029427</v>
      </c>
      <c r="BJ170" s="217">
        <f t="shared" ref="BJ170:BJ210" si="307">0.5*K170*AJ170*AN170*1000*Trise</f>
        <v>0.0162432273954455</v>
      </c>
      <c r="BK170" s="217">
        <f t="shared" ref="BK170:BK210" si="308">Qg*Vdd*AN170*1000</f>
        <v>0.00121547563211971</v>
      </c>
      <c r="BL170" s="217">
        <f t="shared" ref="BL170:BL210" si="309">0.5*(Coss+Csw)*K170^2*AN170*1000</f>
        <v>0.00241188103422186</v>
      </c>
      <c r="BM170">
        <f t="shared" ref="BM170:BM210" si="310">I170*IQ</f>
        <v>0.0029</v>
      </c>
      <c r="BN170">
        <f t="shared" si="297"/>
        <v>1.21547563211971e-6</v>
      </c>
      <c r="BO170" s="217">
        <f t="shared" si="298"/>
        <v>0.168481600329406</v>
      </c>
      <c r="BP170" s="220">
        <f t="shared" ref="BP170:BP210" si="311">SUM(BI170:BM170)*1000</f>
        <v>118.489290091214</v>
      </c>
      <c r="BQ170" s="217">
        <f t="shared" si="299"/>
        <v>0.332605582688106</v>
      </c>
      <c r="BT170" s="220">
        <f t="shared" ref="BT170:BT210" si="312">SUM(BQ170:BS170)*1000</f>
        <v>332.605582688106</v>
      </c>
      <c r="BU170" s="217">
        <f t="shared" ref="BU170:BU210" si="313">Rdcr_pri*BF170^2</f>
        <v>0.0112127627063043</v>
      </c>
      <c r="BV170" s="217">
        <f t="shared" ref="BV170:BV210" si="314">Rdcr_sec*BG170^2</f>
        <v>0.0211997608837927</v>
      </c>
      <c r="BW170" s="217">
        <f t="shared" ref="BW170:BW210" si="315">AJ170^2.5*AN170^2.5*k_core</f>
        <v>0</v>
      </c>
      <c r="BX170" s="217"/>
      <c r="BY170" s="217">
        <f t="shared" ref="BY170:BY210" si="316">0.5*Lleak*0.000000001*AJ170^2*AN170*1000</f>
        <v>0.00875142455126189</v>
      </c>
      <c r="BZ170" s="220">
        <f t="shared" ref="BZ170:BZ210" si="317">SUM(BU170:BY170)*1000</f>
        <v>41.1639481413588</v>
      </c>
      <c r="CA170" s="5">
        <f t="shared" ref="CA170:CA210" si="318">SUM(BI170:BM170,BQ170:BS170,BU170:BY170)</f>
        <v>0.492258820920679</v>
      </c>
      <c r="CB170" s="192">
        <f t="shared" ref="CB170:CB212" si="319">MIN(H170,O170)</f>
        <v>2.46133815504241</v>
      </c>
      <c r="CC170" s="5">
        <f t="shared" ref="CC170:CC210" si="320">CB170/(CB170+CA170)</f>
        <v>0.833335819027859</v>
      </c>
      <c r="CD170" s="192">
        <f t="shared" ref="CD170:CD210" si="321">CC170*100</f>
        <v>83.333581902786</v>
      </c>
      <c r="CG170" s="227">
        <f t="shared" si="300"/>
        <v>-50</v>
      </c>
      <c r="CH170">
        <f t="shared" si="301"/>
        <v>-50</v>
      </c>
    </row>
    <row r="171" spans="5:86">
      <c r="E171" s="22">
        <v>61</v>
      </c>
      <c r="F171" s="25">
        <f t="shared" si="302"/>
        <v>0.305</v>
      </c>
      <c r="G171" s="25"/>
      <c r="H171" s="25">
        <f t="shared" si="266"/>
        <v>5.49</v>
      </c>
      <c r="I171" s="212">
        <f t="shared" si="267"/>
        <v>10</v>
      </c>
      <c r="J171" s="131">
        <f t="shared" si="268"/>
        <v>5.51228519950374</v>
      </c>
      <c r="K171" s="131">
        <f t="shared" si="269"/>
        <v>22.2728</v>
      </c>
      <c r="L171" s="131"/>
      <c r="M171" s="25">
        <f t="shared" si="270"/>
        <v>0.551021874214288</v>
      </c>
      <c r="N171" s="27">
        <f t="shared" si="271"/>
        <v>3.74915283215402</v>
      </c>
      <c r="O171" s="27">
        <f t="shared" si="262"/>
        <v>2.39861017368612</v>
      </c>
      <c r="P171" s="25">
        <f t="shared" si="272"/>
        <v>0.208286268453001</v>
      </c>
      <c r="Q171" s="25">
        <f t="shared" si="273"/>
        <v>12.2923043677181</v>
      </c>
      <c r="R171" s="25"/>
      <c r="S171" s="27">
        <f t="shared" si="274"/>
        <v>7.86429565142989</v>
      </c>
      <c r="T171" s="27">
        <f t="shared" si="275"/>
        <v>7.86429565142989</v>
      </c>
      <c r="U171" s="25">
        <f t="shared" si="276"/>
        <v>1.5</v>
      </c>
      <c r="V171" s="25">
        <f t="shared" si="277"/>
        <v>3.75</v>
      </c>
      <c r="W171" s="25">
        <f t="shared" si="278"/>
        <v>6.80298617411452</v>
      </c>
      <c r="X171" s="24">
        <f t="shared" si="279"/>
        <v>350</v>
      </c>
      <c r="Y171" s="131">
        <f t="shared" si="303"/>
        <v>94.7599080962416</v>
      </c>
      <c r="AA171" s="25">
        <f t="shared" si="280"/>
        <v>0.406113891841036</v>
      </c>
      <c r="AB171" s="5">
        <f t="shared" si="281"/>
        <v>1.84185812754027</v>
      </c>
      <c r="AC171" s="5">
        <f t="shared" si="282"/>
        <v>0.0873107870227388</v>
      </c>
      <c r="AD171" s="5"/>
      <c r="AE171" s="5">
        <f t="shared" si="283"/>
        <v>1.3605972348229</v>
      </c>
      <c r="AF171" s="216">
        <f t="shared" si="284"/>
        <v>2240.54237660988</v>
      </c>
      <c r="AG171" s="217">
        <f t="shared" si="285"/>
        <v>0.047644713670411</v>
      </c>
      <c r="AI171" s="5">
        <f t="shared" si="286"/>
        <v>0.759038515670392</v>
      </c>
      <c r="AJ171" s="5">
        <f t="shared" si="287"/>
        <v>1.5</v>
      </c>
      <c r="AK171" s="5">
        <f t="shared" si="288"/>
        <v>2</v>
      </c>
      <c r="AM171" s="216">
        <f t="shared" si="289"/>
        <v>305</v>
      </c>
      <c r="AN171" s="220">
        <f t="shared" si="290"/>
        <v>94.7599080962416</v>
      </c>
      <c r="AP171" t="str">
        <f t="shared" si="291"/>
        <v/>
      </c>
      <c r="AQ171" t="str">
        <f t="shared" si="292"/>
        <v/>
      </c>
      <c r="AS171" s="192">
        <f t="shared" si="263"/>
        <v>10.5529861741145</v>
      </c>
      <c r="AT171" s="192">
        <f t="shared" si="293"/>
        <v>3.75</v>
      </c>
      <c r="AU171" s="192">
        <f t="shared" si="304"/>
        <v>6.80298617411452</v>
      </c>
      <c r="AV171" s="192"/>
      <c r="AW171" s="5">
        <f t="shared" si="305"/>
        <v>0.355349655360906</v>
      </c>
      <c r="AX171" s="5">
        <f t="shared" si="259"/>
        <v>2.6651224152068</v>
      </c>
      <c r="AY171" s="5">
        <f t="shared" si="260"/>
        <v>0.322486334905707</v>
      </c>
      <c r="AZ171" s="5">
        <f t="shared" si="264"/>
        <v>8.26429565142989</v>
      </c>
      <c r="BA171" s="220">
        <f t="shared" si="294"/>
        <v>5.22063553448612</v>
      </c>
      <c r="BB171" s="220">
        <f t="shared" si="295"/>
        <v>79.6827278802331</v>
      </c>
      <c r="BC171" s="192">
        <f t="shared" si="258"/>
        <v>6.91636927701643</v>
      </c>
      <c r="BD171" s="220">
        <f t="shared" si="296"/>
        <v>18.9303276675366</v>
      </c>
      <c r="BF171" s="5">
        <f t="shared" si="265"/>
        <v>0.516248236336629</v>
      </c>
      <c r="BG171" s="5">
        <f t="shared" si="261"/>
        <v>0.463787004326454</v>
      </c>
      <c r="BI171" s="217">
        <f t="shared" si="306"/>
        <v>0.0932792845322378</v>
      </c>
      <c r="BJ171" s="217">
        <f t="shared" si="307"/>
        <v>0.0158292636078448</v>
      </c>
      <c r="BK171" s="217">
        <f t="shared" si="308"/>
        <v>0.00118449885120302</v>
      </c>
      <c r="BL171" s="217">
        <f t="shared" si="309"/>
        <v>0.00235041348323203</v>
      </c>
      <c r="BM171">
        <f t="shared" si="310"/>
        <v>0.0029</v>
      </c>
      <c r="BN171">
        <f t="shared" si="297"/>
        <v>1.18449885120302e-6</v>
      </c>
      <c r="BO171" s="217">
        <f t="shared" si="298"/>
        <v>0.164028023490255</v>
      </c>
      <c r="BP171" s="220">
        <f t="shared" si="311"/>
        <v>115.543460474518</v>
      </c>
      <c r="BQ171" s="217">
        <f t="shared" si="299"/>
        <v>0.337874555444216</v>
      </c>
      <c r="BT171" s="220">
        <f t="shared" si="312"/>
        <v>337.874555444216</v>
      </c>
      <c r="BU171" s="217">
        <f t="shared" si="313"/>
        <v>0.0109270019023479</v>
      </c>
      <c r="BV171" s="217">
        <f t="shared" si="314"/>
        <v>0.0215098385382106</v>
      </c>
      <c r="BW171" s="217">
        <f t="shared" si="315"/>
        <v>0</v>
      </c>
      <c r="BX171" s="217"/>
      <c r="BY171" s="217">
        <f t="shared" si="316"/>
        <v>0.00852839172866175</v>
      </c>
      <c r="BZ171" s="220">
        <f t="shared" si="317"/>
        <v>40.9652321692203</v>
      </c>
      <c r="CA171" s="5">
        <f t="shared" si="318"/>
        <v>0.494383248087954</v>
      </c>
      <c r="CB171" s="192">
        <f t="shared" si="319"/>
        <v>2.39861017368612</v>
      </c>
      <c r="CC171" s="5">
        <f t="shared" si="320"/>
        <v>0.829110137490467</v>
      </c>
      <c r="CD171" s="192">
        <f t="shared" si="321"/>
        <v>82.9110137490467</v>
      </c>
      <c r="CG171" s="227">
        <f t="shared" si="300"/>
        <v>-50</v>
      </c>
      <c r="CH171">
        <f t="shared" si="301"/>
        <v>-50</v>
      </c>
    </row>
    <row r="172" spans="5:86">
      <c r="E172" s="22">
        <v>62</v>
      </c>
      <c r="F172" s="25">
        <f t="shared" si="302"/>
        <v>0.31</v>
      </c>
      <c r="G172" s="25"/>
      <c r="H172" s="25">
        <f t="shared" si="266"/>
        <v>5.58</v>
      </c>
      <c r="I172" s="212">
        <f t="shared" si="267"/>
        <v>10</v>
      </c>
      <c r="J172" s="131">
        <f t="shared" si="268"/>
        <v>5.29414047893609</v>
      </c>
      <c r="K172" s="131">
        <f t="shared" si="269"/>
        <v>22.2728</v>
      </c>
      <c r="L172" s="131"/>
      <c r="M172" s="25">
        <f t="shared" si="270"/>
        <v>0.551021874214288</v>
      </c>
      <c r="N172" s="27">
        <f t="shared" si="271"/>
        <v>3.74915283215402</v>
      </c>
      <c r="O172" s="27">
        <f t="shared" si="262"/>
        <v>2.33654505018019</v>
      </c>
      <c r="P172" s="25">
        <f t="shared" si="272"/>
        <v>0.208286268453001</v>
      </c>
      <c r="Q172" s="25">
        <f t="shared" si="273"/>
        <v>12.0940413940452</v>
      </c>
      <c r="R172" s="25"/>
      <c r="S172" s="27">
        <f t="shared" si="274"/>
        <v>7.53724209735545</v>
      </c>
      <c r="T172" s="27">
        <f t="shared" si="275"/>
        <v>7.53724209735545</v>
      </c>
      <c r="U172" s="25">
        <f t="shared" si="276"/>
        <v>1.5</v>
      </c>
      <c r="V172" s="25">
        <f t="shared" si="277"/>
        <v>3.75</v>
      </c>
      <c r="W172" s="25">
        <f t="shared" si="278"/>
        <v>7.08330278525892</v>
      </c>
      <c r="X172" s="24">
        <f t="shared" si="279"/>
        <v>350</v>
      </c>
      <c r="Y172" s="131">
        <f t="shared" si="303"/>
        <v>92.3079525997112</v>
      </c>
      <c r="AA172" s="25">
        <f t="shared" si="280"/>
        <v>0.395605511141619</v>
      </c>
      <c r="AB172" s="5">
        <f t="shared" si="281"/>
        <v>1.86812907928881</v>
      </c>
      <c r="AC172" s="5">
        <f t="shared" si="282"/>
        <v>0.086264696043192</v>
      </c>
      <c r="AD172" s="5"/>
      <c r="AE172" s="5">
        <f t="shared" si="283"/>
        <v>1.41666055705178</v>
      </c>
      <c r="AF172" s="216">
        <f t="shared" si="284"/>
        <v>2187.15115571572</v>
      </c>
      <c r="AG172" s="217">
        <f t="shared" si="285"/>
        <v>0.0496079110565609</v>
      </c>
      <c r="AI172" s="5">
        <f t="shared" si="286"/>
        <v>0.749940195738329</v>
      </c>
      <c r="AJ172" s="5">
        <f t="shared" si="287"/>
        <v>1.5</v>
      </c>
      <c r="AK172" s="5">
        <f t="shared" si="288"/>
        <v>2</v>
      </c>
      <c r="AM172" s="216">
        <f t="shared" si="289"/>
        <v>310</v>
      </c>
      <c r="AN172" s="220">
        <f t="shared" si="290"/>
        <v>92.3079525997112</v>
      </c>
      <c r="AP172" t="str">
        <f t="shared" si="291"/>
        <v/>
      </c>
      <c r="AQ172" t="str">
        <f t="shared" si="292"/>
        <v/>
      </c>
      <c r="AS172" s="192">
        <f t="shared" si="263"/>
        <v>10.8333027852589</v>
      </c>
      <c r="AT172" s="192">
        <f t="shared" si="293"/>
        <v>3.75</v>
      </c>
      <c r="AU172" s="192">
        <f t="shared" si="304"/>
        <v>7.08330278525892</v>
      </c>
      <c r="AV172" s="192"/>
      <c r="AW172" s="5">
        <f t="shared" si="305"/>
        <v>0.346154822248917</v>
      </c>
      <c r="AX172" s="5">
        <f t="shared" si="259"/>
        <v>2.59616116686688</v>
      </c>
      <c r="AY172" s="5">
        <f t="shared" si="260"/>
        <v>0.327086050169979</v>
      </c>
      <c r="AZ172" s="5">
        <f t="shared" si="264"/>
        <v>7.93724209735545</v>
      </c>
      <c r="BA172" s="220">
        <f t="shared" si="294"/>
        <v>5.22063553448612</v>
      </c>
      <c r="BB172" s="220">
        <f t="shared" si="295"/>
        <v>82.3014447652825</v>
      </c>
      <c r="BC172" s="192">
        <f t="shared" si="258"/>
        <v>7.31941287810089</v>
      </c>
      <c r="BD172" s="220">
        <f t="shared" si="296"/>
        <v>19.1682439743093</v>
      </c>
      <c r="BF172" s="5">
        <f t="shared" si="265"/>
        <v>0.509525383751082</v>
      </c>
      <c r="BG172" s="5">
        <f t="shared" si="261"/>
        <v>0.467082857171376</v>
      </c>
      <c r="BI172" s="217">
        <f t="shared" si="306"/>
        <v>0.0908656408403408</v>
      </c>
      <c r="BJ172" s="217">
        <f t="shared" si="307"/>
        <v>0.0154196742499714</v>
      </c>
      <c r="BK172" s="217">
        <f t="shared" si="308"/>
        <v>0.00115384940749639</v>
      </c>
      <c r="BL172" s="217">
        <f t="shared" si="309"/>
        <v>0.00228959547089841</v>
      </c>
      <c r="BM172">
        <f t="shared" si="310"/>
        <v>0.0029</v>
      </c>
      <c r="BN172">
        <f t="shared" si="297"/>
        <v>1.15384940749639e-6</v>
      </c>
      <c r="BO172" s="217">
        <f t="shared" si="298"/>
        <v>0.159634185468852</v>
      </c>
      <c r="BP172" s="220">
        <f t="shared" si="311"/>
        <v>112.628759968707</v>
      </c>
      <c r="BQ172" s="217">
        <f t="shared" si="299"/>
        <v>0.343122736241285</v>
      </c>
      <c r="BT172" s="220">
        <f t="shared" si="312"/>
        <v>343.122736241285</v>
      </c>
      <c r="BU172" s="217">
        <f t="shared" si="313"/>
        <v>0.0106442607841542</v>
      </c>
      <c r="BV172" s="217">
        <f t="shared" si="314"/>
        <v>0.0218166395463376</v>
      </c>
      <c r="BW172" s="217">
        <f t="shared" si="315"/>
        <v>0</v>
      </c>
      <c r="BX172" s="217"/>
      <c r="BY172" s="217">
        <f t="shared" si="316"/>
        <v>0.00830771573397401</v>
      </c>
      <c r="BZ172" s="220">
        <f t="shared" si="317"/>
        <v>40.7686160644658</v>
      </c>
      <c r="CA172" s="5">
        <f t="shared" si="318"/>
        <v>0.496520112274458</v>
      </c>
      <c r="CB172" s="192">
        <f t="shared" si="319"/>
        <v>2.33654505018019</v>
      </c>
      <c r="CC172" s="5">
        <f t="shared" si="320"/>
        <v>0.824741019424961</v>
      </c>
      <c r="CD172" s="192">
        <f t="shared" si="321"/>
        <v>82.4741019424961</v>
      </c>
      <c r="CG172" s="227">
        <f t="shared" si="300"/>
        <v>-50</v>
      </c>
      <c r="CH172">
        <f t="shared" si="301"/>
        <v>-50</v>
      </c>
    </row>
    <row r="173" spans="5:86">
      <c r="E173" s="22">
        <v>63</v>
      </c>
      <c r="F173" s="25">
        <f t="shared" si="302"/>
        <v>0.315</v>
      </c>
      <c r="G173" s="25"/>
      <c r="H173" s="25">
        <f t="shared" si="266"/>
        <v>5.67</v>
      </c>
      <c r="I173" s="212">
        <f t="shared" si="267"/>
        <v>10</v>
      </c>
      <c r="J173" s="131">
        <f t="shared" si="268"/>
        <v>5.08439953952727</v>
      </c>
      <c r="K173" s="131">
        <f t="shared" si="269"/>
        <v>22.2728</v>
      </c>
      <c r="L173" s="131"/>
      <c r="M173" s="25">
        <f t="shared" si="270"/>
        <v>0.551021874214288</v>
      </c>
      <c r="N173" s="27">
        <f t="shared" si="271"/>
        <v>3.74915283215402</v>
      </c>
      <c r="O173" s="27">
        <f t="shared" si="262"/>
        <v>2.27517819332997</v>
      </c>
      <c r="P173" s="25">
        <f t="shared" si="272"/>
        <v>0.208286268453001</v>
      </c>
      <c r="Q173" s="25">
        <f t="shared" si="273"/>
        <v>11.9020724830286</v>
      </c>
      <c r="R173" s="25"/>
      <c r="S173" s="27">
        <f t="shared" si="274"/>
        <v>7.22278791533323</v>
      </c>
      <c r="T173" s="27">
        <f t="shared" si="275"/>
        <v>7.22278791533323</v>
      </c>
      <c r="U173" s="25">
        <f t="shared" si="276"/>
        <v>1.5</v>
      </c>
      <c r="V173" s="25">
        <f t="shared" si="277"/>
        <v>3.75</v>
      </c>
      <c r="W173" s="25">
        <f t="shared" si="278"/>
        <v>7.37550220207255</v>
      </c>
      <c r="X173" s="24">
        <f t="shared" si="279"/>
        <v>350</v>
      </c>
      <c r="Y173" s="131">
        <f t="shared" si="303"/>
        <v>89.8835829463691</v>
      </c>
      <c r="AA173" s="25">
        <f t="shared" si="280"/>
        <v>0.385215355484439</v>
      </c>
      <c r="AB173" s="5">
        <f t="shared" si="281"/>
        <v>1.89410446843176</v>
      </c>
      <c r="AC173" s="5">
        <f t="shared" si="282"/>
        <v>0.0851670102727115</v>
      </c>
      <c r="AD173" s="5"/>
      <c r="AE173" s="5">
        <f t="shared" si="283"/>
        <v>1.47510044041451</v>
      </c>
      <c r="AF173" s="216">
        <f t="shared" si="284"/>
        <v>2134.38061629331</v>
      </c>
      <c r="AG173" s="217">
        <f t="shared" si="285"/>
        <v>0.0516543296722151</v>
      </c>
      <c r="AI173" s="5">
        <f t="shared" si="286"/>
        <v>0.740837856689298</v>
      </c>
      <c r="AJ173" s="5">
        <f t="shared" si="287"/>
        <v>1.5</v>
      </c>
      <c r="AK173" s="5">
        <f t="shared" si="288"/>
        <v>2</v>
      </c>
      <c r="AM173" s="216">
        <f t="shared" si="289"/>
        <v>315</v>
      </c>
      <c r="AN173" s="220">
        <f t="shared" si="290"/>
        <v>89.8835829463691</v>
      </c>
      <c r="AP173" t="str">
        <f t="shared" si="291"/>
        <v/>
      </c>
      <c r="AQ173" t="str">
        <f t="shared" si="292"/>
        <v/>
      </c>
      <c r="AS173" s="192">
        <f t="shared" si="263"/>
        <v>11.1255022020725</v>
      </c>
      <c r="AT173" s="192">
        <f t="shared" si="293"/>
        <v>3.75</v>
      </c>
      <c r="AU173" s="192">
        <f t="shared" si="304"/>
        <v>7.37550220207255</v>
      </c>
      <c r="AV173" s="192"/>
      <c r="AW173" s="5">
        <f t="shared" si="305"/>
        <v>0.337063436048884</v>
      </c>
      <c r="AX173" s="5">
        <f t="shared" si="259"/>
        <v>2.52797577036663</v>
      </c>
      <c r="AY173" s="5">
        <f t="shared" si="260"/>
        <v>0.331634016116546</v>
      </c>
      <c r="AZ173" s="5">
        <f t="shared" si="264"/>
        <v>7.62278791533323</v>
      </c>
      <c r="BA173" s="220">
        <f t="shared" si="294"/>
        <v>5.22063553448612</v>
      </c>
      <c r="BB173" s="220">
        <f t="shared" si="295"/>
        <v>84.9624985102514</v>
      </c>
      <c r="BC173" s="192">
        <f t="shared" si="258"/>
        <v>7.74427731217617</v>
      </c>
      <c r="BD173" s="220">
        <f t="shared" si="296"/>
        <v>19.4034835922351</v>
      </c>
      <c r="BF173" s="5">
        <f t="shared" si="265"/>
        <v>0.502789794085623</v>
      </c>
      <c r="BG173" s="5">
        <f t="shared" si="261"/>
        <v>0.470318922381118</v>
      </c>
      <c r="BI173" s="217">
        <f t="shared" si="306"/>
        <v>0.0884791519628321</v>
      </c>
      <c r="BJ173" s="217">
        <f t="shared" si="307"/>
        <v>0.0150146929968592</v>
      </c>
      <c r="BK173" s="217">
        <f t="shared" si="308"/>
        <v>0.00112354478682961</v>
      </c>
      <c r="BL173" s="217">
        <f t="shared" si="309"/>
        <v>0.0022294616945363</v>
      </c>
      <c r="BM173">
        <f t="shared" si="310"/>
        <v>0.0029</v>
      </c>
      <c r="BN173">
        <f t="shared" si="297"/>
        <v>1.12354478682961e-6</v>
      </c>
      <c r="BO173" s="217">
        <f t="shared" si="298"/>
        <v>0.155302125135593</v>
      </c>
      <c r="BP173" s="220">
        <f t="shared" si="311"/>
        <v>109.746851441057</v>
      </c>
      <c r="BQ173" s="217">
        <f t="shared" si="299"/>
        <v>0.348349014406145</v>
      </c>
      <c r="BT173" s="220">
        <f t="shared" si="312"/>
        <v>348.349014406145</v>
      </c>
      <c r="BU173" s="217">
        <f t="shared" si="313"/>
        <v>0.0103647006585032</v>
      </c>
      <c r="BV173" s="217">
        <f t="shared" si="314"/>
        <v>0.0221199888749736</v>
      </c>
      <c r="BW173" s="217">
        <f t="shared" si="315"/>
        <v>0</v>
      </c>
      <c r="BX173" s="217"/>
      <c r="BY173" s="217">
        <f t="shared" si="316"/>
        <v>0.00808952246517322</v>
      </c>
      <c r="BZ173" s="220">
        <f t="shared" si="317"/>
        <v>40.57421199865</v>
      </c>
      <c r="CA173" s="5">
        <f t="shared" si="318"/>
        <v>0.498670077845852</v>
      </c>
      <c r="CB173" s="192">
        <f t="shared" si="319"/>
        <v>2.27517819332997</v>
      </c>
      <c r="CC173" s="5">
        <f t="shared" si="320"/>
        <v>0.820224457470246</v>
      </c>
      <c r="CD173" s="192">
        <f t="shared" si="321"/>
        <v>82.0224457470246</v>
      </c>
      <c r="CG173" s="227">
        <f t="shared" si="300"/>
        <v>-50</v>
      </c>
      <c r="CH173">
        <f t="shared" si="301"/>
        <v>-50</v>
      </c>
    </row>
    <row r="174" spans="5:86">
      <c r="E174" s="22">
        <v>64</v>
      </c>
      <c r="F174" s="25">
        <f t="shared" si="302"/>
        <v>0.32</v>
      </c>
      <c r="G174" s="25"/>
      <c r="H174" s="25">
        <f t="shared" ref="H174:H205" si="322">F174*Vout</f>
        <v>5.76</v>
      </c>
      <c r="I174" s="212">
        <f t="shared" ref="I174:I212" si="323">VIN_min</f>
        <v>10</v>
      </c>
      <c r="J174" s="131">
        <f t="shared" ref="J174:J210" si="324">(T174+Vfwd1)*Nps</f>
        <v>4.88274518313265</v>
      </c>
      <c r="K174" s="131">
        <f t="shared" ref="K174:K210" si="325">(Vout+Vfwd1)*Nps+I174</f>
        <v>22.2728</v>
      </c>
      <c r="L174" s="131"/>
      <c r="M174" s="25">
        <f t="shared" ref="M174:M210" si="326">(Vout+Vfwd1)*Nps/((Vout+Vfwd1)*Nps+I174)</f>
        <v>0.551021874214288</v>
      </c>
      <c r="N174" s="27">
        <f t="shared" ref="N174:N205" si="327">M174*I174*(Isw_max+VIN_min/Lmag*ILIM_delay)*0.5*Efficiency</f>
        <v>3.74915283215402</v>
      </c>
      <c r="O174" s="27">
        <f t="shared" si="262"/>
        <v>2.21454641469632</v>
      </c>
      <c r="P174" s="25">
        <f t="shared" ref="P174:P205" si="328">N174/Vout</f>
        <v>0.208286268453001</v>
      </c>
      <c r="Q174" s="25">
        <f t="shared" ref="Q174:Q210" si="329">MIN(Vout,N174/F174)</f>
        <v>11.7161026004813</v>
      </c>
      <c r="R174" s="25"/>
      <c r="S174" s="27">
        <f t="shared" ref="S174:S210" si="330">(SQRT(Isw_max^2*Nps^2*I174^2+4*Isw_max*F174/Efficiency*(Nps^2*Vfwd1*I174-Nps*I174^2)+4*(F174/Efficiency)^2*Nps^2*Vfwd1^2+8*(F174/Efficiency)^2*Nps*Vfwd1*I174+4*(F174/Efficiency)^2*I174^2)-2*F174/Efficiency*I174-2*F174/Efficiency*Nps*Vfwd1+Isw_max*Nps*I174)/(4*F174/Efficiency*Nps)</f>
        <v>6.92045754592601</v>
      </c>
      <c r="T174" s="27">
        <f t="shared" ref="T174:T205" si="331">MIN(Vout,S174)</f>
        <v>6.92045754592601</v>
      </c>
      <c r="U174" s="25">
        <f t="shared" ref="U174:U210" si="332">MIN(2*Vout*F174/(Efficiency*I174*M174),Isw_max)</f>
        <v>1.5</v>
      </c>
      <c r="V174" s="25">
        <f t="shared" ref="V174:V205" si="333">L*U174/I174*1000000</f>
        <v>3.75</v>
      </c>
      <c r="W174" s="25">
        <f t="shared" ref="W174:W210" si="334">L*U174/J174*1000000</f>
        <v>7.68010588173698</v>
      </c>
      <c r="X174" s="24">
        <f t="shared" ref="X174:X210" si="335">IF(1/((350000*L)*(1/I174+1/J174))&gt;Isw_min,350,0.001/((Isw_min*L)*(1/I174+1/J174)))</f>
        <v>350</v>
      </c>
      <c r="Y174" s="131">
        <f t="shared" si="303"/>
        <v>87.4882534201017</v>
      </c>
      <c r="AA174" s="25">
        <f t="shared" ref="AA174:AA210" si="336">1/((X174*1000*L)*(1/I174+1/J174))</f>
        <v>0.374949657514721</v>
      </c>
      <c r="AB174" s="5">
        <f t="shared" ref="AB174:AB205" si="337">L*AA174/J174*1000000</f>
        <v>1.91976871335605</v>
      </c>
      <c r="AC174" s="5">
        <f t="shared" ref="AC174:AC205" si="338">0.5*AB174*AA174*Nps*X174/1000</f>
        <v>0.084020595153964</v>
      </c>
      <c r="AD174" s="5"/>
      <c r="AE174" s="5">
        <f t="shared" ref="AE174:AE210" si="339">L*Isw_min/J174*1000000</f>
        <v>1.5360211763474</v>
      </c>
      <c r="AF174" s="216">
        <f t="shared" ref="AF174:AF205" si="340">MAX(12000,F174/(0.5*AE174/1000000*Isw_min*Nps))/1000</f>
        <v>2082.26347973007</v>
      </c>
      <c r="AG174" s="217">
        <f t="shared" ref="AG174:AG210" si="341">0.5*AE174/1000000*Isw_min*Nps*X174*1000</f>
        <v>0.053787621542745</v>
      </c>
      <c r="AI174" s="5">
        <f t="shared" ref="AI174:AI210" si="342">SQRT(F174/(0.5*L/J174*Fsw_DCM*Nps))</f>
        <v>0.731737097940249</v>
      </c>
      <c r="AJ174" s="5">
        <f t="shared" ref="AJ174:AJ205" si="343">MAX(IF(F174&gt;AC174,U174,AI174),Isw_min)</f>
        <v>1.5</v>
      </c>
      <c r="AK174" s="5">
        <f t="shared" ref="AK174:AK205" si="344">IF(F174&gt;AG174,(AJ174-Isw_min)/1.2*0.8+1.2,AF174*0.2/350+1)</f>
        <v>2</v>
      </c>
      <c r="AM174" s="216">
        <f t="shared" ref="AM174:AM210" si="345">F174*1000</f>
        <v>320</v>
      </c>
      <c r="AN174" s="220">
        <f t="shared" ref="AN174:AN210" si="346">IF(F174&gt;AG174,Y174,AF174)</f>
        <v>87.4882534201017</v>
      </c>
      <c r="AP174" t="str">
        <f t="shared" ref="AP174:AP210" si="347">IF(H174&gt;N174,"",AM174)</f>
        <v/>
      </c>
      <c r="AQ174" t="str">
        <f t="shared" ref="AQ174:AQ210" si="348">IF(H174&gt;N174,"",AN174)</f>
        <v/>
      </c>
      <c r="AS174" s="192">
        <f t="shared" si="263"/>
        <v>11.430105881737</v>
      </c>
      <c r="AT174" s="192">
        <f t="shared" ref="AT174:AT210" si="349">L*AJ174/I174*1000000</f>
        <v>3.75</v>
      </c>
      <c r="AU174" s="192">
        <f t="shared" si="304"/>
        <v>7.68010588173698</v>
      </c>
      <c r="AV174" s="192"/>
      <c r="AW174" s="5">
        <f t="shared" si="305"/>
        <v>0.328080950325381</v>
      </c>
      <c r="AX174" s="5">
        <f t="shared" si="259"/>
        <v>2.46060712744036</v>
      </c>
      <c r="AY174" s="5">
        <f t="shared" si="260"/>
        <v>0.336127504599728</v>
      </c>
      <c r="AZ174" s="5">
        <f t="shared" si="264"/>
        <v>7.32045754592601</v>
      </c>
      <c r="BA174" s="220">
        <f t="shared" ref="BA174:BA210" si="350">L*Isw_max^2/(2*Vout_ripple*Vout)*1000000000*((1+M174)/2)^2</f>
        <v>5.22063553448612</v>
      </c>
      <c r="BB174" s="220">
        <f t="shared" ref="BB174:BB210" si="351">L*F174^2/(2*Cout*Vout*Nps^2)*1000000000*((1+M174)/(1-M174))^2+F174*RCoutEsr</f>
        <v>87.6658891151397</v>
      </c>
      <c r="BC174" s="192">
        <f t="shared" si="258"/>
        <v>8.19211294051945</v>
      </c>
      <c r="BD174" s="220">
        <f t="shared" ref="BD174:BD210" si="352">((CB174/I174/Efficiency)*AU174/Cin+(CB174/I174/Efficiency)*RCinEsr)*1000</f>
        <v>19.6359054103308</v>
      </c>
      <c r="BF174" s="5">
        <f t="shared" si="265"/>
        <v>0.496045071282878</v>
      </c>
      <c r="BG174" s="5">
        <f t="shared" si="261"/>
        <v>0.473494504263797</v>
      </c>
      <c r="BI174" s="217">
        <f t="shared" si="306"/>
        <v>0.0861212494604126</v>
      </c>
      <c r="BJ174" s="217">
        <f t="shared" si="307"/>
        <v>0.0146145627808143</v>
      </c>
      <c r="BK174" s="217">
        <f t="shared" si="308"/>
        <v>0.00109360316775127</v>
      </c>
      <c r="BL174" s="217">
        <f t="shared" si="309"/>
        <v>0.00217004822603014</v>
      </c>
      <c r="BM174">
        <f t="shared" si="310"/>
        <v>0.0029</v>
      </c>
      <c r="BN174">
        <f t="shared" ref="BN174:BN210" si="353">(I174-Vdd)*Qg*AN174</f>
        <v>1.09360316775127e-6</v>
      </c>
      <c r="BO174" s="217">
        <f t="shared" ref="BO174:BO205" si="354">(BJ174+BK174+BL174+BM174+BN174+BI174*(1+RdsonTC*(Ta-25)))/(1-BI174*RdsonTC*ThetaJA)</f>
        <v>0.151033960146827</v>
      </c>
      <c r="BP174" s="220">
        <f t="shared" si="311"/>
        <v>106.899463635008</v>
      </c>
      <c r="BQ174" s="217">
        <f t="shared" ref="BQ174:BQ210" si="355">(Vfwd2*F174+BG174^2*Rdiode)*(1+Diode_TC/1000*(Ta-25))</f>
        <v>0.353552235265186</v>
      </c>
      <c r="BT174" s="220">
        <f t="shared" si="312"/>
        <v>353.552235265186</v>
      </c>
      <c r="BU174" s="217">
        <f t="shared" si="313"/>
        <v>0.0100884892225055</v>
      </c>
      <c r="BV174" s="217">
        <f t="shared" si="314"/>
        <v>0.0224197045568019</v>
      </c>
      <c r="BW174" s="217">
        <f t="shared" si="315"/>
        <v>0</v>
      </c>
      <c r="BX174" s="217"/>
      <c r="BY174" s="217">
        <f t="shared" si="316"/>
        <v>0.00787394280780915</v>
      </c>
      <c r="BZ174" s="220">
        <f t="shared" si="317"/>
        <v>40.3821365871165</v>
      </c>
      <c r="CA174" s="5">
        <f t="shared" si="318"/>
        <v>0.500833835487311</v>
      </c>
      <c r="CB174" s="192">
        <f t="shared" si="319"/>
        <v>2.21454641469632</v>
      </c>
      <c r="CC174" s="5">
        <f t="shared" si="320"/>
        <v>0.815556647930454</v>
      </c>
      <c r="CD174" s="192">
        <f t="shared" si="321"/>
        <v>81.5556647930455</v>
      </c>
      <c r="CG174" s="227">
        <f t="shared" ref="CG174:CG210" si="356">IF(ABS(F174-Ioutmax_Vinmin)&lt;Iout/200,AN174,-50)</f>
        <v>-50</v>
      </c>
      <c r="CH174">
        <f t="shared" ref="CH174:CH210" si="357">IF(ABS(F174-Ioutmax_Vinmin)&lt;Iout/200,N174*CC174,-50)</f>
        <v>-50</v>
      </c>
    </row>
    <row r="175" spans="5:86">
      <c r="E175" s="22">
        <v>65</v>
      </c>
      <c r="F175" s="25">
        <f t="shared" ref="F175:F206" si="358">IF(PLOT_TYPE=1,E175/100*Iout_max,min_I*EXP(N175*rr/100))</f>
        <v>0.325</v>
      </c>
      <c r="G175" s="25"/>
      <c r="H175" s="25">
        <f t="shared" si="322"/>
        <v>5.85</v>
      </c>
      <c r="I175" s="212">
        <f t="shared" si="323"/>
        <v>10</v>
      </c>
      <c r="J175" s="131">
        <f t="shared" si="324"/>
        <v>4.68888244445735</v>
      </c>
      <c r="K175" s="131">
        <f t="shared" si="325"/>
        <v>22.2728</v>
      </c>
      <c r="L175" s="131"/>
      <c r="M175" s="25">
        <f t="shared" si="326"/>
        <v>0.551021874214288</v>
      </c>
      <c r="N175" s="27">
        <f t="shared" si="327"/>
        <v>3.74915283215402</v>
      </c>
      <c r="O175" s="27">
        <f t="shared" si="262"/>
        <v>2.15468784774908</v>
      </c>
      <c r="P175" s="25">
        <f t="shared" si="328"/>
        <v>0.208286268453001</v>
      </c>
      <c r="Q175" s="25">
        <f t="shared" si="329"/>
        <v>11.5358548681662</v>
      </c>
      <c r="R175" s="25"/>
      <c r="S175" s="27">
        <f t="shared" si="330"/>
        <v>6.62980876230488</v>
      </c>
      <c r="T175" s="27">
        <f t="shared" si="331"/>
        <v>6.62980876230488</v>
      </c>
      <c r="U175" s="25">
        <f t="shared" si="332"/>
        <v>1.5</v>
      </c>
      <c r="V175" s="25">
        <f t="shared" si="333"/>
        <v>3.75</v>
      </c>
      <c r="W175" s="25">
        <f t="shared" si="334"/>
        <v>7.99764132375042</v>
      </c>
      <c r="X175" s="24">
        <f t="shared" si="335"/>
        <v>350</v>
      </c>
      <c r="Y175" s="131">
        <f t="shared" si="303"/>
        <v>85.1234705283589</v>
      </c>
      <c r="AA175" s="25">
        <f t="shared" si="336"/>
        <v>0.364814873692967</v>
      </c>
      <c r="AB175" s="5">
        <f t="shared" si="337"/>
        <v>1.94510567291044</v>
      </c>
      <c r="AC175" s="5">
        <f t="shared" si="338"/>
        <v>0.0828284662476234</v>
      </c>
      <c r="AD175" s="5"/>
      <c r="AE175" s="5">
        <f t="shared" si="339"/>
        <v>1.59952826475008</v>
      </c>
      <c r="AF175" s="216">
        <f t="shared" si="340"/>
        <v>2030.83364244363</v>
      </c>
      <c r="AG175" s="217">
        <f t="shared" si="341"/>
        <v>0.0560114810108861</v>
      </c>
      <c r="AI175" s="5">
        <f t="shared" si="342"/>
        <v>0.722644010007549</v>
      </c>
      <c r="AJ175" s="5">
        <f t="shared" si="343"/>
        <v>1.5</v>
      </c>
      <c r="AK175" s="5">
        <f t="shared" si="344"/>
        <v>2</v>
      </c>
      <c r="AM175" s="216">
        <f t="shared" si="345"/>
        <v>325</v>
      </c>
      <c r="AN175" s="220">
        <f t="shared" si="346"/>
        <v>85.1234705283589</v>
      </c>
      <c r="AP175" t="str">
        <f t="shared" si="347"/>
        <v/>
      </c>
      <c r="AQ175" t="str">
        <f t="shared" si="348"/>
        <v/>
      </c>
      <c r="AS175" s="192">
        <f t="shared" si="263"/>
        <v>11.7476413237504</v>
      </c>
      <c r="AT175" s="192">
        <f t="shared" si="349"/>
        <v>3.75</v>
      </c>
      <c r="AU175" s="192">
        <f t="shared" si="304"/>
        <v>7.99764132375042</v>
      </c>
      <c r="AV175" s="192"/>
      <c r="AW175" s="5">
        <f t="shared" si="305"/>
        <v>0.319213014481346</v>
      </c>
      <c r="AX175" s="5">
        <f t="shared" si="259"/>
        <v>2.39409760861009</v>
      </c>
      <c r="AY175" s="5">
        <f t="shared" si="260"/>
        <v>0.340563689505707</v>
      </c>
      <c r="AZ175" s="5">
        <f t="shared" si="264"/>
        <v>7.02980876230487</v>
      </c>
      <c r="BA175" s="220">
        <f t="shared" si="350"/>
        <v>5.22063553448612</v>
      </c>
      <c r="BB175" s="220">
        <f t="shared" si="351"/>
        <v>90.4116165799476</v>
      </c>
      <c r="BC175" s="192">
        <f t="shared" si="258"/>
        <v>8.66411143406296</v>
      </c>
      <c r="BD175" s="220">
        <f t="shared" si="352"/>
        <v>19.8653632502952</v>
      </c>
      <c r="BF175" s="5">
        <f t="shared" si="265"/>
        <v>0.489295167420453</v>
      </c>
      <c r="BG175" s="5">
        <f t="shared" si="261"/>
        <v>0.476608834265907</v>
      </c>
      <c r="BI175" s="217">
        <f t="shared" si="306"/>
        <v>0.0837934163013533</v>
      </c>
      <c r="BJ175" s="217">
        <f t="shared" si="307"/>
        <v>0.0142195352578802</v>
      </c>
      <c r="BK175" s="217">
        <f t="shared" si="308"/>
        <v>0.00106404338160449</v>
      </c>
      <c r="BL175" s="217">
        <f t="shared" si="309"/>
        <v>0.00211139243261143</v>
      </c>
      <c r="BM175">
        <f t="shared" si="310"/>
        <v>0.0029</v>
      </c>
      <c r="BN175">
        <f t="shared" si="353"/>
        <v>1.06404338160449e-6</v>
      </c>
      <c r="BO175" s="217">
        <f t="shared" si="354"/>
        <v>0.14683188090483</v>
      </c>
      <c r="BP175" s="220">
        <f t="shared" si="311"/>
        <v>104.088387373449</v>
      </c>
      <c r="BQ175" s="217">
        <f t="shared" si="355"/>
        <v>0.358731202680289</v>
      </c>
      <c r="BT175" s="220">
        <f t="shared" si="312"/>
        <v>358.731202680289</v>
      </c>
      <c r="BU175" s="217">
        <f t="shared" si="313"/>
        <v>0.00981580019530139</v>
      </c>
      <c r="BV175" s="217">
        <f t="shared" si="314"/>
        <v>0.0227155980900306</v>
      </c>
      <c r="BW175" s="217">
        <f t="shared" si="315"/>
        <v>0</v>
      </c>
      <c r="BX175" s="217"/>
      <c r="BY175" s="217">
        <f t="shared" si="316"/>
        <v>0.0076611123475523</v>
      </c>
      <c r="BZ175" s="220">
        <f t="shared" si="317"/>
        <v>40.1925106328843</v>
      </c>
      <c r="CA175" s="5">
        <f t="shared" si="318"/>
        <v>0.503012100686623</v>
      </c>
      <c r="CB175" s="192">
        <f t="shared" si="319"/>
        <v>2.15468784774908</v>
      </c>
      <c r="CC175" s="5">
        <f t="shared" si="320"/>
        <v>0.81073405183204</v>
      </c>
      <c r="CD175" s="192">
        <f t="shared" si="321"/>
        <v>81.073405183204</v>
      </c>
      <c r="CG175" s="227">
        <f t="shared" si="356"/>
        <v>-50</v>
      </c>
      <c r="CH175">
        <f t="shared" si="357"/>
        <v>-50</v>
      </c>
    </row>
    <row r="176" spans="5:86">
      <c r="E176" s="22">
        <v>66</v>
      </c>
      <c r="F176" s="25">
        <f t="shared" si="358"/>
        <v>0.33</v>
      </c>
      <c r="G176" s="25"/>
      <c r="H176" s="25">
        <f t="shared" si="322"/>
        <v>5.94</v>
      </c>
      <c r="I176" s="212">
        <f t="shared" si="323"/>
        <v>10</v>
      </c>
      <c r="J176" s="131">
        <f t="shared" si="324"/>
        <v>4.50253667995119</v>
      </c>
      <c r="K176" s="131">
        <f t="shared" si="325"/>
        <v>22.2728</v>
      </c>
      <c r="L176" s="131"/>
      <c r="M176" s="25">
        <f t="shared" si="326"/>
        <v>0.551021874214288</v>
      </c>
      <c r="N176" s="27">
        <f t="shared" si="327"/>
        <v>3.74915283215402</v>
      </c>
      <c r="O176" s="27">
        <f t="shared" si="262"/>
        <v>2.09564183565801</v>
      </c>
      <c r="P176" s="25">
        <f t="shared" si="328"/>
        <v>0.208286268453001</v>
      </c>
      <c r="Q176" s="25">
        <f t="shared" si="329"/>
        <v>11.3610691883455</v>
      </c>
      <c r="R176" s="25"/>
      <c r="S176" s="27">
        <f t="shared" si="330"/>
        <v>6.35042980502428</v>
      </c>
      <c r="T176" s="195">
        <f t="shared" si="331"/>
        <v>6.35042980502428</v>
      </c>
      <c r="U176" s="25">
        <f t="shared" si="332"/>
        <v>1.5</v>
      </c>
      <c r="V176" s="25">
        <f t="shared" si="333"/>
        <v>3.75</v>
      </c>
      <c r="W176" s="25">
        <f t="shared" si="334"/>
        <v>8.32863842441957</v>
      </c>
      <c r="X176" s="24">
        <f t="shared" si="335"/>
        <v>350</v>
      </c>
      <c r="Y176" s="131">
        <f t="shared" si="303"/>
        <v>82.7907885692053</v>
      </c>
      <c r="AA176" s="25">
        <f t="shared" si="336"/>
        <v>0.354817665296594</v>
      </c>
      <c r="AB176" s="5">
        <f t="shared" si="337"/>
        <v>1.97009869390137</v>
      </c>
      <c r="AC176" s="5">
        <f t="shared" si="338"/>
        <v>0.0815937887197348</v>
      </c>
      <c r="AD176" s="5"/>
      <c r="AE176" s="5">
        <f t="shared" si="339"/>
        <v>1.66572768488391</v>
      </c>
      <c r="AF176" s="216">
        <f t="shared" si="340"/>
        <v>1980.12607614045</v>
      </c>
      <c r="AG176" s="217">
        <f t="shared" si="341"/>
        <v>0.0583296192054224</v>
      </c>
      <c r="AI176" s="5">
        <f t="shared" si="342"/>
        <v>0.713565187436881</v>
      </c>
      <c r="AJ176" s="5">
        <f t="shared" si="343"/>
        <v>1.5</v>
      </c>
      <c r="AK176" s="5">
        <f t="shared" si="344"/>
        <v>2</v>
      </c>
      <c r="AM176" s="216">
        <f t="shared" si="345"/>
        <v>330</v>
      </c>
      <c r="AN176" s="220">
        <f t="shared" si="346"/>
        <v>82.7907885692053</v>
      </c>
      <c r="AP176" t="str">
        <f t="shared" si="347"/>
        <v/>
      </c>
      <c r="AQ176" t="str">
        <f t="shared" si="348"/>
        <v/>
      </c>
      <c r="AS176" s="192">
        <f t="shared" si="263"/>
        <v>12.0786384244196</v>
      </c>
      <c r="AT176" s="192">
        <f t="shared" si="349"/>
        <v>3.75</v>
      </c>
      <c r="AU176" s="192">
        <f t="shared" si="304"/>
        <v>8.32863842441957</v>
      </c>
      <c r="AV176" s="192"/>
      <c r="AW176" s="5">
        <f t="shared" si="305"/>
        <v>0.31046545713452</v>
      </c>
      <c r="AX176" s="5">
        <f t="shared" si="259"/>
        <v>2.3284909285089</v>
      </c>
      <c r="AY176" s="5">
        <f t="shared" si="260"/>
        <v>0.344939655068456</v>
      </c>
      <c r="AZ176" s="5">
        <f t="shared" si="264"/>
        <v>6.75042980502427</v>
      </c>
      <c r="BA176" s="220">
        <f t="shared" si="350"/>
        <v>5.22063553448612</v>
      </c>
      <c r="BB176" s="220">
        <f t="shared" si="351"/>
        <v>93.199680904675</v>
      </c>
      <c r="BC176" s="192">
        <f t="shared" si="258"/>
        <v>9.16150226686153</v>
      </c>
      <c r="BD176" s="220">
        <f t="shared" si="352"/>
        <v>20.0917062966443</v>
      </c>
      <c r="BF176" s="5">
        <f t="shared" si="265"/>
        <v>0.482544394694302</v>
      </c>
      <c r="BG176" s="5">
        <f t="shared" si="261"/>
        <v>0.479661078190278</v>
      </c>
      <c r="BI176" s="217">
        <f t="shared" si="306"/>
        <v>0.0814971824978115</v>
      </c>
      <c r="BJ176" s="217">
        <f t="shared" si="307"/>
        <v>0.0138298700673315</v>
      </c>
      <c r="BK176" s="217">
        <f t="shared" si="308"/>
        <v>0.00103488485711507</v>
      </c>
      <c r="BL176" s="217">
        <f t="shared" si="309"/>
        <v>0.0020535328669044</v>
      </c>
      <c r="BM176">
        <f t="shared" si="310"/>
        <v>0.0029</v>
      </c>
      <c r="BN176">
        <f t="shared" si="353"/>
        <v>1.03488485711507e-6</v>
      </c>
      <c r="BO176" s="217">
        <f t="shared" si="354"/>
        <v>0.142698142508</v>
      </c>
      <c r="BP176" s="220">
        <f t="shared" si="311"/>
        <v>101.315470289162</v>
      </c>
      <c r="BQ176" s="217">
        <f t="shared" si="355"/>
        <v>0.363884682568501</v>
      </c>
      <c r="BT176" s="220">
        <f t="shared" si="312"/>
        <v>363.884682568501</v>
      </c>
      <c r="BU176" s="217">
        <f t="shared" si="313"/>
        <v>0.00954681280688649</v>
      </c>
      <c r="BV176" s="217">
        <f t="shared" si="314"/>
        <v>0.023007474993066</v>
      </c>
      <c r="BW176" s="217">
        <f t="shared" si="315"/>
        <v>0</v>
      </c>
      <c r="BX176" s="217"/>
      <c r="BY176" s="217">
        <f t="shared" si="316"/>
        <v>0.00745117097122848</v>
      </c>
      <c r="BZ176" s="220">
        <f t="shared" si="317"/>
        <v>40.005458771181</v>
      </c>
      <c r="CA176" s="5">
        <f t="shared" si="318"/>
        <v>0.505205611628844</v>
      </c>
      <c r="CB176" s="192">
        <f t="shared" si="319"/>
        <v>2.09564183565801</v>
      </c>
      <c r="CC176" s="5">
        <f t="shared" si="320"/>
        <v>0.805753462335569</v>
      </c>
      <c r="CD176" s="192">
        <f t="shared" si="321"/>
        <v>80.5753462335569</v>
      </c>
      <c r="CG176" s="227">
        <f t="shared" si="356"/>
        <v>-50</v>
      </c>
      <c r="CH176">
        <f t="shared" si="357"/>
        <v>-50</v>
      </c>
    </row>
    <row r="177" spans="5:86">
      <c r="E177" s="22">
        <v>67</v>
      </c>
      <c r="F177" s="25">
        <f t="shared" si="358"/>
        <v>0.335</v>
      </c>
      <c r="G177" s="25"/>
      <c r="H177" s="25">
        <f t="shared" si="322"/>
        <v>6.03</v>
      </c>
      <c r="I177" s="212">
        <f t="shared" si="323"/>
        <v>10</v>
      </c>
      <c r="J177" s="131">
        <f t="shared" si="324"/>
        <v>4.32345175777323</v>
      </c>
      <c r="K177" s="131">
        <f t="shared" si="325"/>
        <v>22.2728</v>
      </c>
      <c r="L177" s="131"/>
      <c r="M177" s="25">
        <f t="shared" si="326"/>
        <v>0.551021874214288</v>
      </c>
      <c r="N177" s="27">
        <f t="shared" si="327"/>
        <v>3.74915283215402</v>
      </c>
      <c r="O177" s="27">
        <f t="shared" si="262"/>
        <v>2.0374487838891</v>
      </c>
      <c r="P177" s="25">
        <f t="shared" si="328"/>
        <v>0.208286268453001</v>
      </c>
      <c r="Q177" s="25">
        <f t="shared" si="329"/>
        <v>11.1915009915045</v>
      </c>
      <c r="R177" s="25"/>
      <c r="S177" s="27">
        <f t="shared" si="330"/>
        <v>6.08193666832568</v>
      </c>
      <c r="T177" s="195">
        <f t="shared" si="331"/>
        <v>6.08193666832568</v>
      </c>
      <c r="U177" s="25">
        <f t="shared" si="332"/>
        <v>1.5</v>
      </c>
      <c r="V177" s="25">
        <f t="shared" si="333"/>
        <v>3.75</v>
      </c>
      <c r="W177" s="25">
        <f t="shared" si="334"/>
        <v>8.6736251728906</v>
      </c>
      <c r="X177" s="24">
        <f t="shared" si="335"/>
        <v>350</v>
      </c>
      <c r="Y177" s="131">
        <f t="shared" si="303"/>
        <v>80.4918038079645</v>
      </c>
      <c r="AA177" s="25">
        <f t="shared" si="336"/>
        <v>0.344964873462705</v>
      </c>
      <c r="AB177" s="5">
        <f t="shared" si="337"/>
        <v>1.99473067348609</v>
      </c>
      <c r="AC177" s="5">
        <f t="shared" si="338"/>
        <v>0.0803198748774908</v>
      </c>
      <c r="AD177" s="5"/>
      <c r="AE177" s="5">
        <f t="shared" si="339"/>
        <v>1.73472503457812</v>
      </c>
      <c r="AF177" s="216">
        <f t="shared" si="340"/>
        <v>1930.17669679031</v>
      </c>
      <c r="AG177" s="217">
        <f t="shared" si="341"/>
        <v>0.0607457338983393</v>
      </c>
      <c r="AI177" s="5">
        <f t="shared" si="342"/>
        <v>0.70450773636861</v>
      </c>
      <c r="AJ177" s="5">
        <f t="shared" si="343"/>
        <v>1.5</v>
      </c>
      <c r="AK177" s="5">
        <f t="shared" si="344"/>
        <v>2</v>
      </c>
      <c r="AM177" s="216">
        <f t="shared" si="345"/>
        <v>335</v>
      </c>
      <c r="AN177" s="220">
        <f t="shared" si="346"/>
        <v>80.4918038079645</v>
      </c>
      <c r="AP177" t="str">
        <f t="shared" si="347"/>
        <v/>
      </c>
      <c r="AQ177" t="str">
        <f t="shared" si="348"/>
        <v/>
      </c>
      <c r="AS177" s="192">
        <f t="shared" si="263"/>
        <v>12.4236251728906</v>
      </c>
      <c r="AT177" s="192">
        <f t="shared" si="349"/>
        <v>3.75</v>
      </c>
      <c r="AU177" s="192">
        <f t="shared" si="304"/>
        <v>8.6736251728906</v>
      </c>
      <c r="AV177" s="192"/>
      <c r="AW177" s="5">
        <f t="shared" si="305"/>
        <v>0.301844264279867</v>
      </c>
      <c r="AX177" s="5">
        <f t="shared" si="259"/>
        <v>2.263831982099</v>
      </c>
      <c r="AY177" s="5">
        <f t="shared" si="260"/>
        <v>0.349252406793997</v>
      </c>
      <c r="AZ177" s="5">
        <f t="shared" si="264"/>
        <v>6.48193666832568</v>
      </c>
      <c r="BA177" s="220">
        <f t="shared" si="350"/>
        <v>5.22063553448612</v>
      </c>
      <c r="BB177" s="220">
        <f t="shared" si="351"/>
        <v>96.0300820893219</v>
      </c>
      <c r="BC177" s="192">
        <f t="shared" si="258"/>
        <v>9.68554810972784</v>
      </c>
      <c r="BD177" s="220">
        <f t="shared" si="352"/>
        <v>20.3147796617584</v>
      </c>
      <c r="BF177" s="5">
        <f t="shared" si="265"/>
        <v>0.475797434009369</v>
      </c>
      <c r="BG177" s="5">
        <f t="shared" si="261"/>
        <v>0.482650344795894</v>
      </c>
      <c r="BI177" s="217">
        <f t="shared" si="306"/>
        <v>0.0792341193734651</v>
      </c>
      <c r="BJ177" s="217">
        <f t="shared" si="307"/>
        <v>0.0134458338589052</v>
      </c>
      <c r="BK177" s="217">
        <f t="shared" si="308"/>
        <v>0.00100614754759956</v>
      </c>
      <c r="BL177" s="217">
        <f t="shared" si="309"/>
        <v>0.00199650912248417</v>
      </c>
      <c r="BM177">
        <f t="shared" si="310"/>
        <v>0.0029</v>
      </c>
      <c r="BN177">
        <f t="shared" si="353"/>
        <v>1.00614754759956e-6</v>
      </c>
      <c r="BO177" s="217">
        <f t="shared" si="354"/>
        <v>0.138635054462905</v>
      </c>
      <c r="BP177" s="220">
        <f t="shared" si="311"/>
        <v>98.5826099024541</v>
      </c>
      <c r="BQ177" s="217">
        <f t="shared" si="355"/>
        <v>0.369011407525664</v>
      </c>
      <c r="BT177" s="220">
        <f t="shared" si="312"/>
        <v>369.011407525664</v>
      </c>
      <c r="BU177" s="217">
        <f t="shared" si="313"/>
        <v>0.00928171112660591</v>
      </c>
      <c r="BV177" s="217">
        <f t="shared" si="314"/>
        <v>0.0232951355331596</v>
      </c>
      <c r="BW177" s="217">
        <f t="shared" si="315"/>
        <v>0</v>
      </c>
      <c r="BX177" s="217"/>
      <c r="BY177" s="217">
        <f t="shared" si="316"/>
        <v>0.00724426234271681</v>
      </c>
      <c r="BZ177" s="220">
        <f t="shared" si="317"/>
        <v>39.8211090024823</v>
      </c>
      <c r="CA177" s="5">
        <f t="shared" si="318"/>
        <v>0.5074151264306</v>
      </c>
      <c r="CB177" s="192">
        <f t="shared" si="319"/>
        <v>2.0374487838891</v>
      </c>
      <c r="CC177" s="5">
        <f t="shared" si="320"/>
        <v>0.800612078165368</v>
      </c>
      <c r="CD177" s="192">
        <f t="shared" si="321"/>
        <v>80.0612078165368</v>
      </c>
      <c r="CG177" s="227">
        <f t="shared" si="356"/>
        <v>-50</v>
      </c>
      <c r="CH177">
        <f t="shared" si="357"/>
        <v>-50</v>
      </c>
    </row>
    <row r="178" spans="5:86">
      <c r="E178" s="22">
        <v>68</v>
      </c>
      <c r="F178" s="25">
        <f t="shared" si="358"/>
        <v>0.34</v>
      </c>
      <c r="G178" s="25"/>
      <c r="H178" s="25">
        <f t="shared" si="322"/>
        <v>6.12</v>
      </c>
      <c r="I178" s="212">
        <f t="shared" si="323"/>
        <v>10</v>
      </c>
      <c r="J178" s="131">
        <f t="shared" si="324"/>
        <v>4.15138833143376</v>
      </c>
      <c r="K178" s="131">
        <f t="shared" si="325"/>
        <v>22.2728</v>
      </c>
      <c r="L178" s="131"/>
      <c r="M178" s="25">
        <f t="shared" si="326"/>
        <v>0.551021874214288</v>
      </c>
      <c r="N178" s="27">
        <f t="shared" si="327"/>
        <v>3.74915283215402</v>
      </c>
      <c r="O178" s="27">
        <f t="shared" si="262"/>
        <v>1.98014997404419</v>
      </c>
      <c r="P178" s="25">
        <f t="shared" si="328"/>
        <v>0.208286268453001</v>
      </c>
      <c r="Q178" s="25">
        <f t="shared" si="329"/>
        <v>11.0269200945706</v>
      </c>
      <c r="R178" s="25"/>
      <c r="S178" s="27">
        <f t="shared" si="330"/>
        <v>5.82397051189469</v>
      </c>
      <c r="T178" s="195">
        <f t="shared" si="331"/>
        <v>5.82397051189469</v>
      </c>
      <c r="U178" s="25">
        <f t="shared" si="332"/>
        <v>1.5</v>
      </c>
      <c r="V178" s="25">
        <f t="shared" si="333"/>
        <v>3.75</v>
      </c>
      <c r="W178" s="25">
        <f t="shared" si="334"/>
        <v>9.03312265828157</v>
      </c>
      <c r="X178" s="24">
        <f t="shared" si="335"/>
        <v>350</v>
      </c>
      <c r="Y178" s="131">
        <f t="shared" si="303"/>
        <v>78.2281471227336</v>
      </c>
      <c r="AA178" s="25">
        <f t="shared" si="336"/>
        <v>0.335263487668858</v>
      </c>
      <c r="AB178" s="5">
        <f t="shared" si="337"/>
        <v>2.01898413797071</v>
      </c>
      <c r="AC178" s="5">
        <f t="shared" si="338"/>
        <v>0.0790101794388651</v>
      </c>
      <c r="AD178" s="5"/>
      <c r="AE178" s="5">
        <f t="shared" si="339"/>
        <v>1.80662453165631</v>
      </c>
      <c r="AF178" s="216">
        <f t="shared" si="340"/>
        <v>1881.02219915039</v>
      </c>
      <c r="AG178" s="217">
        <f t="shared" si="341"/>
        <v>0.063263474537275</v>
      </c>
      <c r="AI178" s="5">
        <f t="shared" si="342"/>
        <v>0.695479275491853</v>
      </c>
      <c r="AJ178" s="5">
        <f t="shared" si="343"/>
        <v>1.5</v>
      </c>
      <c r="AK178" s="5">
        <f t="shared" si="344"/>
        <v>2</v>
      </c>
      <c r="AM178" s="216">
        <f t="shared" si="345"/>
        <v>340</v>
      </c>
      <c r="AN178" s="220">
        <f t="shared" si="346"/>
        <v>78.2281471227336</v>
      </c>
      <c r="AP178" t="str">
        <f t="shared" si="347"/>
        <v/>
      </c>
      <c r="AQ178" t="str">
        <f t="shared" si="348"/>
        <v/>
      </c>
      <c r="AS178" s="192">
        <f t="shared" si="263"/>
        <v>12.7831226582816</v>
      </c>
      <c r="AT178" s="192">
        <f t="shared" si="349"/>
        <v>3.75</v>
      </c>
      <c r="AU178" s="192">
        <f t="shared" si="304"/>
        <v>9.03312265828157</v>
      </c>
      <c r="AV178" s="192"/>
      <c r="AW178" s="5">
        <f t="shared" si="305"/>
        <v>0.293355551710251</v>
      </c>
      <c r="AX178" s="5">
        <f t="shared" si="259"/>
        <v>2.20016663782688</v>
      </c>
      <c r="AY178" s="5">
        <f t="shared" si="260"/>
        <v>0.353498885256947</v>
      </c>
      <c r="AZ178" s="5">
        <f t="shared" si="264"/>
        <v>6.22397051189469</v>
      </c>
      <c r="BA178" s="220">
        <f t="shared" si="350"/>
        <v>5.22063553448612</v>
      </c>
      <c r="BB178" s="220">
        <f t="shared" si="351"/>
        <v>98.9028201338882</v>
      </c>
      <c r="BC178" s="192">
        <f t="shared" si="258"/>
        <v>10.2375390127191</v>
      </c>
      <c r="BD178" s="220">
        <f t="shared" si="352"/>
        <v>20.5344250994973</v>
      </c>
      <c r="BF178" s="5">
        <f t="shared" si="265"/>
        <v>0.469059339298013</v>
      </c>
      <c r="BG178" s="5">
        <f t="shared" si="261"/>
        <v>0.485575695918138</v>
      </c>
      <c r="BI178" s="217">
        <f t="shared" si="306"/>
        <v>0.0770058323239409</v>
      </c>
      <c r="BJ178" s="217">
        <f t="shared" si="307"/>
        <v>0.0130676990642642</v>
      </c>
      <c r="BK178" s="217">
        <f t="shared" si="308"/>
        <v>0.00097785183903417</v>
      </c>
      <c r="BL178" s="217">
        <f t="shared" si="309"/>
        <v>0.00194036165145695</v>
      </c>
      <c r="BM178">
        <f t="shared" si="310"/>
        <v>0.0029</v>
      </c>
      <c r="BN178">
        <f t="shared" si="353"/>
        <v>9.7785183903417e-7</v>
      </c>
      <c r="BO178" s="217">
        <f t="shared" si="354"/>
        <v>0.134644967950738</v>
      </c>
      <c r="BP178" s="220">
        <f t="shared" si="311"/>
        <v>95.8917448786961</v>
      </c>
      <c r="BQ178" s="217">
        <f t="shared" si="355"/>
        <v>0.374110082665744</v>
      </c>
      <c r="BT178" s="220">
        <f t="shared" si="312"/>
        <v>374.110082665744</v>
      </c>
      <c r="BU178" s="217">
        <f t="shared" si="313"/>
        <v>0.00902068321509022</v>
      </c>
      <c r="BV178" s="217">
        <f t="shared" si="314"/>
        <v>0.0235783756466384</v>
      </c>
      <c r="BW178" s="217">
        <f t="shared" si="315"/>
        <v>0</v>
      </c>
      <c r="BX178" s="217"/>
      <c r="BY178" s="217">
        <f t="shared" si="316"/>
        <v>0.00704053324104602</v>
      </c>
      <c r="BZ178" s="220">
        <f t="shared" si="317"/>
        <v>39.6395921027746</v>
      </c>
      <c r="CA178" s="5">
        <f t="shared" si="318"/>
        <v>0.509641419647214</v>
      </c>
      <c r="CB178" s="192">
        <f t="shared" si="319"/>
        <v>1.98014997404419</v>
      </c>
      <c r="CC178" s="5">
        <f t="shared" si="320"/>
        <v>0.795307582418939</v>
      </c>
      <c r="CD178" s="192">
        <f t="shared" si="321"/>
        <v>79.5307582418939</v>
      </c>
      <c r="CG178" s="227">
        <f t="shared" si="356"/>
        <v>-50</v>
      </c>
      <c r="CH178">
        <f t="shared" si="357"/>
        <v>-50</v>
      </c>
    </row>
    <row r="179" spans="5:86">
      <c r="E179" s="22">
        <v>69</v>
      </c>
      <c r="F179" s="25">
        <f t="shared" si="358"/>
        <v>0.345</v>
      </c>
      <c r="G179" s="25"/>
      <c r="H179" s="25">
        <f t="shared" si="322"/>
        <v>6.21</v>
      </c>
      <c r="I179" s="212">
        <f t="shared" si="323"/>
        <v>10</v>
      </c>
      <c r="J179" s="131">
        <f t="shared" si="324"/>
        <v>3.98612218273574</v>
      </c>
      <c r="K179" s="131">
        <f t="shared" si="325"/>
        <v>22.2728</v>
      </c>
      <c r="L179" s="131"/>
      <c r="M179" s="25">
        <f t="shared" si="326"/>
        <v>0.551021874214288</v>
      </c>
      <c r="N179" s="27">
        <f t="shared" si="327"/>
        <v>3.74915283215402</v>
      </c>
      <c r="O179" s="27">
        <f t="shared" si="262"/>
        <v>1.92378733589779</v>
      </c>
      <c r="P179" s="25">
        <f t="shared" si="328"/>
        <v>0.208286268453001</v>
      </c>
      <c r="Q179" s="25">
        <f t="shared" si="329"/>
        <v>10.8671096584174</v>
      </c>
      <c r="R179" s="25"/>
      <c r="S179" s="27">
        <f t="shared" si="330"/>
        <v>5.57619517651535</v>
      </c>
      <c r="T179" s="195">
        <f t="shared" si="331"/>
        <v>5.57619517651535</v>
      </c>
      <c r="U179" s="25">
        <f t="shared" si="332"/>
        <v>1.5</v>
      </c>
      <c r="V179" s="25">
        <f t="shared" si="333"/>
        <v>3.75</v>
      </c>
      <c r="W179" s="25">
        <f t="shared" si="334"/>
        <v>9.4076393750337</v>
      </c>
      <c r="X179" s="24">
        <f t="shared" si="335"/>
        <v>350</v>
      </c>
      <c r="Y179" s="131">
        <f t="shared" si="303"/>
        <v>76.0014749984314</v>
      </c>
      <c r="AA179" s="25">
        <f t="shared" si="336"/>
        <v>0.325720607136134</v>
      </c>
      <c r="AB179" s="5">
        <f t="shared" si="337"/>
        <v>2.04284133930252</v>
      </c>
      <c r="AC179" s="5">
        <f t="shared" si="338"/>
        <v>0.077668292226125</v>
      </c>
      <c r="AD179" s="5"/>
      <c r="AE179" s="5">
        <f t="shared" si="339"/>
        <v>1.88152787500674</v>
      </c>
      <c r="AF179" s="216">
        <f t="shared" si="340"/>
        <v>1832.69985413137</v>
      </c>
      <c r="AG179" s="217">
        <f t="shared" si="341"/>
        <v>0.0658864023630485</v>
      </c>
      <c r="AI179" s="5">
        <f t="shared" si="342"/>
        <v>0.68648792908298</v>
      </c>
      <c r="AJ179" s="5">
        <f t="shared" si="343"/>
        <v>1.5</v>
      </c>
      <c r="AK179" s="5">
        <f t="shared" si="344"/>
        <v>2</v>
      </c>
      <c r="AM179" s="216">
        <f t="shared" si="345"/>
        <v>345</v>
      </c>
      <c r="AN179" s="220">
        <f t="shared" si="346"/>
        <v>76.0014749984314</v>
      </c>
      <c r="AP179" t="str">
        <f t="shared" si="347"/>
        <v/>
      </c>
      <c r="AQ179" t="str">
        <f t="shared" si="348"/>
        <v/>
      </c>
      <c r="AS179" s="192">
        <f t="shared" si="263"/>
        <v>13.1576393750337</v>
      </c>
      <c r="AT179" s="192">
        <f t="shared" si="349"/>
        <v>3.75</v>
      </c>
      <c r="AU179" s="192">
        <f t="shared" si="304"/>
        <v>9.4076393750337</v>
      </c>
      <c r="AV179" s="192"/>
      <c r="AW179" s="5">
        <f t="shared" si="305"/>
        <v>0.285005531244118</v>
      </c>
      <c r="AX179" s="5">
        <f t="shared" si="259"/>
        <v>2.13754148433088</v>
      </c>
      <c r="AY179" s="5">
        <f t="shared" si="260"/>
        <v>0.35767598299513</v>
      </c>
      <c r="AZ179" s="5">
        <f t="shared" si="264"/>
        <v>5.97619517651535</v>
      </c>
      <c r="BA179" s="220">
        <f t="shared" si="350"/>
        <v>5.22063553448612</v>
      </c>
      <c r="BB179" s="220">
        <f t="shared" si="351"/>
        <v>101.817895038374</v>
      </c>
      <c r="BC179" s="192">
        <f t="shared" si="258"/>
        <v>10.8187852812888</v>
      </c>
      <c r="BD179" s="220">
        <f t="shared" si="352"/>
        <v>20.7504818790585</v>
      </c>
      <c r="BF179" s="5">
        <f t="shared" si="265"/>
        <v>0.462335536632312</v>
      </c>
      <c r="BG179" s="5">
        <f t="shared" si="261"/>
        <v>0.488436158221064</v>
      </c>
      <c r="BI179" s="217">
        <f t="shared" si="306"/>
        <v>0.0748139519515809</v>
      </c>
      <c r="BJ179" s="217">
        <f t="shared" si="307"/>
        <v>0.012695742392588</v>
      </c>
      <c r="BK179" s="217">
        <f t="shared" si="308"/>
        <v>0.000950018437480392</v>
      </c>
      <c r="BL179" s="217">
        <f t="shared" si="309"/>
        <v>0.00188513154107756</v>
      </c>
      <c r="BM179">
        <f t="shared" si="310"/>
        <v>0.0029</v>
      </c>
      <c r="BN179">
        <f t="shared" si="353"/>
        <v>9.50018437480392e-7</v>
      </c>
      <c r="BO179" s="217">
        <f t="shared" si="354"/>
        <v>0.130730260477583</v>
      </c>
      <c r="BP179" s="220">
        <f t="shared" si="311"/>
        <v>93.2448443227268</v>
      </c>
      <c r="BQ179" s="217">
        <f t="shared" si="355"/>
        <v>0.379179392771376</v>
      </c>
      <c r="BT179" s="220">
        <f t="shared" si="312"/>
        <v>379.179392771376</v>
      </c>
      <c r="BU179" s="217">
        <f t="shared" si="313"/>
        <v>0.00876392008575662</v>
      </c>
      <c r="BV179" s="217">
        <f t="shared" si="314"/>
        <v>0.0238569880657752</v>
      </c>
      <c r="BW179" s="217">
        <f t="shared" si="315"/>
        <v>0</v>
      </c>
      <c r="BX179" s="217"/>
      <c r="BY179" s="217">
        <f t="shared" si="316"/>
        <v>0.00684013274985882</v>
      </c>
      <c r="BZ179" s="220">
        <f t="shared" si="317"/>
        <v>39.4610409013906</v>
      </c>
      <c r="CA179" s="5">
        <f t="shared" si="318"/>
        <v>0.511885277995494</v>
      </c>
      <c r="CB179" s="192">
        <f t="shared" si="319"/>
        <v>1.92378733589779</v>
      </c>
      <c r="CC179" s="5">
        <f t="shared" si="320"/>
        <v>0.789838225763325</v>
      </c>
      <c r="CD179" s="192">
        <f t="shared" si="321"/>
        <v>78.9838225763325</v>
      </c>
      <c r="CG179" s="227">
        <f t="shared" si="356"/>
        <v>-50</v>
      </c>
      <c r="CH179">
        <f t="shared" si="357"/>
        <v>-50</v>
      </c>
    </row>
    <row r="180" spans="5:86">
      <c r="E180" s="22">
        <v>70</v>
      </c>
      <c r="F180" s="25">
        <f t="shared" si="358"/>
        <v>0.35</v>
      </c>
      <c r="G180" s="25"/>
      <c r="H180" s="25">
        <f t="shared" si="322"/>
        <v>6.3</v>
      </c>
      <c r="I180" s="212">
        <f t="shared" si="323"/>
        <v>10</v>
      </c>
      <c r="J180" s="131">
        <f t="shared" si="324"/>
        <v>3.82744262281845</v>
      </c>
      <c r="K180" s="131">
        <f t="shared" si="325"/>
        <v>22.2728</v>
      </c>
      <c r="L180" s="131"/>
      <c r="M180" s="25">
        <f t="shared" si="326"/>
        <v>0.551021874214288</v>
      </c>
      <c r="N180" s="27">
        <f t="shared" si="327"/>
        <v>3.74915283215402</v>
      </c>
      <c r="O180" s="27">
        <f t="shared" si="262"/>
        <v>1.86840317539199</v>
      </c>
      <c r="P180" s="25">
        <f t="shared" si="328"/>
        <v>0.208286268453001</v>
      </c>
      <c r="Q180" s="25">
        <f t="shared" si="329"/>
        <v>10.7118652347258</v>
      </c>
      <c r="R180" s="25"/>
      <c r="S180" s="27">
        <f t="shared" si="330"/>
        <v>5.33829478683426</v>
      </c>
      <c r="T180" s="195">
        <f t="shared" si="331"/>
        <v>5.33829478683426</v>
      </c>
      <c r="U180" s="25">
        <f t="shared" si="332"/>
        <v>1.5</v>
      </c>
      <c r="V180" s="25">
        <f t="shared" si="333"/>
        <v>3.75</v>
      </c>
      <c r="W180" s="25">
        <f t="shared" si="334"/>
        <v>9.79766483668036</v>
      </c>
      <c r="X180" s="24">
        <f t="shared" si="335"/>
        <v>350</v>
      </c>
      <c r="Y180" s="131">
        <f t="shared" si="303"/>
        <v>73.8134587809182</v>
      </c>
      <c r="AA180" s="25">
        <f t="shared" si="336"/>
        <v>0.316343394775363</v>
      </c>
      <c r="AB180" s="5">
        <f t="shared" si="337"/>
        <v>2.06628437020445</v>
      </c>
      <c r="AC180" s="5">
        <f t="shared" si="338"/>
        <v>0.0762979279939182</v>
      </c>
      <c r="AD180" s="5"/>
      <c r="AE180" s="5">
        <f t="shared" si="339"/>
        <v>1.95953296733607</v>
      </c>
      <c r="AF180" s="216">
        <f t="shared" si="340"/>
        <v>1785.2472670151</v>
      </c>
      <c r="AG180" s="217">
        <f t="shared" si="341"/>
        <v>0.0686179456836909</v>
      </c>
      <c r="AI180" s="5">
        <f t="shared" si="342"/>
        <v>0.677542310816631</v>
      </c>
      <c r="AJ180" s="5">
        <f t="shared" si="343"/>
        <v>1.5</v>
      </c>
      <c r="AK180" s="5">
        <f t="shared" si="344"/>
        <v>2</v>
      </c>
      <c r="AM180" s="216">
        <f t="shared" si="345"/>
        <v>350</v>
      </c>
      <c r="AN180" s="220">
        <f t="shared" si="346"/>
        <v>73.8134587809182</v>
      </c>
      <c r="AP180" t="str">
        <f t="shared" si="347"/>
        <v/>
      </c>
      <c r="AQ180" t="str">
        <f t="shared" si="348"/>
        <v/>
      </c>
      <c r="AS180" s="192">
        <f t="shared" si="263"/>
        <v>13.5476648366804</v>
      </c>
      <c r="AT180" s="192">
        <f t="shared" si="349"/>
        <v>3.75</v>
      </c>
      <c r="AU180" s="192">
        <f t="shared" si="304"/>
        <v>9.79766483668036</v>
      </c>
      <c r="AV180" s="192"/>
      <c r="AW180" s="5">
        <f t="shared" si="305"/>
        <v>0.276800470428443</v>
      </c>
      <c r="AX180" s="5">
        <f t="shared" si="259"/>
        <v>2.07600352821332</v>
      </c>
      <c r="AY180" s="5">
        <f t="shared" si="260"/>
        <v>0.361780564668171</v>
      </c>
      <c r="AZ180" s="5">
        <f t="shared" si="264"/>
        <v>5.73829478683426</v>
      </c>
      <c r="BA180" s="220">
        <f t="shared" si="350"/>
        <v>5.22063553448612</v>
      </c>
      <c r="BB180" s="220">
        <f t="shared" si="351"/>
        <v>104.775306802779</v>
      </c>
      <c r="BC180" s="192">
        <f t="shared" si="258"/>
        <v>11.4306089761271</v>
      </c>
      <c r="BD180" s="220">
        <f t="shared" si="352"/>
        <v>20.962787827664</v>
      </c>
      <c r="BF180" s="5">
        <f t="shared" si="265"/>
        <v>0.455631817174056</v>
      </c>
      <c r="BG180" s="5">
        <f t="shared" si="261"/>
        <v>0.49123073665404</v>
      </c>
      <c r="BI180" s="217">
        <f t="shared" si="306"/>
        <v>0.0726601234874663</v>
      </c>
      <c r="BJ180" s="217">
        <f t="shared" si="307"/>
        <v>0.0123302430355173</v>
      </c>
      <c r="BK180" s="217">
        <f t="shared" si="308"/>
        <v>0.000922668234761477</v>
      </c>
      <c r="BL180" s="217">
        <f t="shared" si="309"/>
        <v>0.00183086024720979</v>
      </c>
      <c r="BM180">
        <f t="shared" si="310"/>
        <v>0.0029</v>
      </c>
      <c r="BN180">
        <f t="shared" si="353"/>
        <v>9.22668234761477e-7</v>
      </c>
      <c r="BO180" s="217">
        <f t="shared" si="354"/>
        <v>0.126893317793161</v>
      </c>
      <c r="BP180" s="220">
        <f t="shared" si="311"/>
        <v>90.6438950049548</v>
      </c>
      <c r="BQ180" s="217">
        <f t="shared" si="355"/>
        <v>0.384218010825895</v>
      </c>
      <c r="BT180" s="220">
        <f t="shared" si="312"/>
        <v>384.218010825895</v>
      </c>
      <c r="BU180" s="217">
        <f t="shared" si="313"/>
        <v>0.00851161446567462</v>
      </c>
      <c r="BV180" s="217">
        <f t="shared" si="314"/>
        <v>0.024130763663367</v>
      </c>
      <c r="BW180" s="217">
        <f t="shared" si="315"/>
        <v>0</v>
      </c>
      <c r="BX180" s="217"/>
      <c r="BY180" s="217">
        <f t="shared" si="316"/>
        <v>0.00664321129028263</v>
      </c>
      <c r="BZ180" s="220">
        <f t="shared" si="317"/>
        <v>39.2855894193243</v>
      </c>
      <c r="CA180" s="5">
        <f t="shared" si="318"/>
        <v>0.514147495250175</v>
      </c>
      <c r="CB180" s="192">
        <f t="shared" si="319"/>
        <v>1.86840317539199</v>
      </c>
      <c r="CC180" s="5">
        <f t="shared" si="320"/>
        <v>0.784202912624059</v>
      </c>
      <c r="CD180" s="192">
        <f t="shared" si="321"/>
        <v>78.4202912624059</v>
      </c>
      <c r="CG180" s="227">
        <f t="shared" si="356"/>
        <v>-50</v>
      </c>
      <c r="CH180">
        <f t="shared" si="357"/>
        <v>-50</v>
      </c>
    </row>
    <row r="181" spans="5:86">
      <c r="E181" s="22">
        <v>71</v>
      </c>
      <c r="F181" s="25">
        <f t="shared" si="358"/>
        <v>0.355</v>
      </c>
      <c r="G181" s="25"/>
      <c r="H181" s="25">
        <f t="shared" si="322"/>
        <v>6.39</v>
      </c>
      <c r="I181" s="212">
        <f t="shared" si="323"/>
        <v>10</v>
      </c>
      <c r="J181" s="131">
        <f t="shared" si="324"/>
        <v>3.67515094349671</v>
      </c>
      <c r="K181" s="131">
        <f t="shared" si="325"/>
        <v>22.2728</v>
      </c>
      <c r="L181" s="131"/>
      <c r="M181" s="25">
        <f t="shared" si="326"/>
        <v>0.551021874214288</v>
      </c>
      <c r="N181" s="27">
        <f t="shared" si="327"/>
        <v>3.74915283215402</v>
      </c>
      <c r="O181" s="27">
        <f t="shared" si="262"/>
        <v>1.81403985748326</v>
      </c>
      <c r="P181" s="25">
        <f t="shared" si="328"/>
        <v>0.208286268453001</v>
      </c>
      <c r="Q181" s="25">
        <f t="shared" si="329"/>
        <v>10.5609938933916</v>
      </c>
      <c r="R181" s="25"/>
      <c r="S181" s="27">
        <f t="shared" si="330"/>
        <v>5.1099714295303</v>
      </c>
      <c r="T181" s="195">
        <f t="shared" si="331"/>
        <v>5.1099714295303</v>
      </c>
      <c r="U181" s="25">
        <f t="shared" si="332"/>
        <v>1.5</v>
      </c>
      <c r="V181" s="25">
        <f t="shared" si="333"/>
        <v>3.75</v>
      </c>
      <c r="W181" s="25">
        <f t="shared" si="334"/>
        <v>10.2036625370061</v>
      </c>
      <c r="X181" s="24">
        <f t="shared" si="335"/>
        <v>350</v>
      </c>
      <c r="Y181" s="131">
        <f t="shared" si="303"/>
        <v>71.6657721474867</v>
      </c>
      <c r="AA181" s="25">
        <f t="shared" si="336"/>
        <v>0.307139023489229</v>
      </c>
      <c r="AB181" s="5">
        <f t="shared" si="337"/>
        <v>2.08929529841979</v>
      </c>
      <c r="AC181" s="5">
        <f t="shared" si="338"/>
        <v>0.0749029131428851</v>
      </c>
      <c r="AD181" s="5"/>
      <c r="AE181" s="5">
        <f t="shared" si="339"/>
        <v>2.04073250740122</v>
      </c>
      <c r="AF181" s="216">
        <f t="shared" si="340"/>
        <v>1738.70209554067</v>
      </c>
      <c r="AG181" s="217">
        <f t="shared" si="341"/>
        <v>0.0714613505779222</v>
      </c>
      <c r="AI181" s="5">
        <f t="shared" si="342"/>
        <v>0.668651497095162</v>
      </c>
      <c r="AJ181" s="5">
        <f t="shared" si="343"/>
        <v>1.5</v>
      </c>
      <c r="AK181" s="5">
        <f t="shared" si="344"/>
        <v>2</v>
      </c>
      <c r="AM181" s="216">
        <f t="shared" si="345"/>
        <v>355</v>
      </c>
      <c r="AN181" s="220">
        <f t="shared" si="346"/>
        <v>71.6657721474867</v>
      </c>
      <c r="AP181" t="str">
        <f t="shared" si="347"/>
        <v/>
      </c>
      <c r="AQ181" t="str">
        <f t="shared" si="348"/>
        <v/>
      </c>
      <c r="AS181" s="192">
        <f t="shared" si="263"/>
        <v>13.9536625370061</v>
      </c>
      <c r="AT181" s="192">
        <f t="shared" si="349"/>
        <v>3.75</v>
      </c>
      <c r="AU181" s="192">
        <f t="shared" si="304"/>
        <v>10.2036625370061</v>
      </c>
      <c r="AV181" s="192"/>
      <c r="AW181" s="5">
        <f t="shared" si="305"/>
        <v>0.268746645553075</v>
      </c>
      <c r="AX181" s="5">
        <f t="shared" si="259"/>
        <v>2.01559984164806</v>
      </c>
      <c r="AY181" s="5">
        <f t="shared" si="260"/>
        <v>0.365809490562074</v>
      </c>
      <c r="AZ181" s="5">
        <f t="shared" si="264"/>
        <v>5.5099714295303</v>
      </c>
      <c r="BA181" s="220">
        <f t="shared" si="350"/>
        <v>5.22063553448612</v>
      </c>
      <c r="BB181" s="220">
        <f t="shared" si="351"/>
        <v>107.775055427104</v>
      </c>
      <c r="BC181" s="192">
        <f t="shared" ref="BC181:BC244" si="359">H181/Efficiency/I181*AU181/Vinripple1</f>
        <v>12.0743340021239</v>
      </c>
      <c r="BD181" s="220">
        <f t="shared" si="352"/>
        <v>21.1711805463142</v>
      </c>
      <c r="BF181" s="5">
        <f t="shared" si="265"/>
        <v>0.448954323027194</v>
      </c>
      <c r="BG181" s="5">
        <f t="shared" si="261"/>
        <v>0.493958429632397</v>
      </c>
      <c r="BI181" s="217">
        <f t="shared" si="306"/>
        <v>0.0705459944576822</v>
      </c>
      <c r="BJ181" s="217">
        <f t="shared" si="307"/>
        <v>0.0119714805741491</v>
      </c>
      <c r="BK181" s="217">
        <f t="shared" si="308"/>
        <v>0.000895822151843584</v>
      </c>
      <c r="BL181" s="217">
        <f t="shared" si="309"/>
        <v>0.00177758928354605</v>
      </c>
      <c r="BM181">
        <f t="shared" si="310"/>
        <v>0.0029</v>
      </c>
      <c r="BN181">
        <f t="shared" si="353"/>
        <v>8.95822151843584e-7</v>
      </c>
      <c r="BO181" s="217">
        <f t="shared" si="354"/>
        <v>0.123136513038609</v>
      </c>
      <c r="BP181" s="220">
        <f t="shared" si="311"/>
        <v>88.0908864672209</v>
      </c>
      <c r="BQ181" s="217">
        <f t="shared" si="355"/>
        <v>0.389224607961521</v>
      </c>
      <c r="BT181" s="220">
        <f t="shared" si="312"/>
        <v>389.224607961521</v>
      </c>
      <c r="BU181" s="217">
        <f t="shared" si="313"/>
        <v>0.00826395935075706</v>
      </c>
      <c r="BV181" s="217">
        <f t="shared" si="314"/>
        <v>0.0243994930204904</v>
      </c>
      <c r="BW181" s="217">
        <f t="shared" si="315"/>
        <v>0</v>
      </c>
      <c r="BX181" s="217"/>
      <c r="BY181" s="217">
        <f t="shared" si="316"/>
        <v>0.0064499194932738</v>
      </c>
      <c r="BZ181" s="220">
        <f t="shared" si="317"/>
        <v>39.1133718645212</v>
      </c>
      <c r="CA181" s="5">
        <f t="shared" si="318"/>
        <v>0.516428866293264</v>
      </c>
      <c r="CB181" s="192">
        <f t="shared" si="319"/>
        <v>1.81403985748326</v>
      </c>
      <c r="CC181" s="5">
        <f t="shared" si="320"/>
        <v>0.778401288537187</v>
      </c>
      <c r="CD181" s="192">
        <f t="shared" si="321"/>
        <v>77.8401288537187</v>
      </c>
      <c r="CG181" s="227">
        <f t="shared" si="356"/>
        <v>-50</v>
      </c>
      <c r="CH181">
        <f t="shared" si="357"/>
        <v>-50</v>
      </c>
    </row>
    <row r="182" spans="5:86">
      <c r="E182" s="22">
        <v>72</v>
      </c>
      <c r="F182" s="25">
        <f t="shared" si="358"/>
        <v>0.36</v>
      </c>
      <c r="G182" s="25"/>
      <c r="H182" s="25">
        <f t="shared" si="322"/>
        <v>6.48</v>
      </c>
      <c r="I182" s="212">
        <f t="shared" si="323"/>
        <v>10</v>
      </c>
      <c r="J182" s="131">
        <f t="shared" si="324"/>
        <v>3.52905891469657</v>
      </c>
      <c r="K182" s="131">
        <f t="shared" si="325"/>
        <v>22.2728</v>
      </c>
      <c r="L182" s="131"/>
      <c r="M182" s="25">
        <f t="shared" si="326"/>
        <v>0.551021874214288</v>
      </c>
      <c r="N182" s="27">
        <f t="shared" si="327"/>
        <v>3.74915283215402</v>
      </c>
      <c r="O182" s="27">
        <f t="shared" si="262"/>
        <v>1.76073944421404</v>
      </c>
      <c r="P182" s="25">
        <f t="shared" si="328"/>
        <v>0.208286268453001</v>
      </c>
      <c r="Q182" s="25">
        <f t="shared" si="329"/>
        <v>10.41431342265</v>
      </c>
      <c r="R182" s="25"/>
      <c r="S182" s="27">
        <f t="shared" si="330"/>
        <v>4.89094290059456</v>
      </c>
      <c r="T182" s="195">
        <f t="shared" si="331"/>
        <v>4.89094290059456</v>
      </c>
      <c r="U182" s="25">
        <f t="shared" si="332"/>
        <v>1.5</v>
      </c>
      <c r="V182" s="25">
        <f t="shared" si="333"/>
        <v>3.75</v>
      </c>
      <c r="W182" s="25">
        <f t="shared" si="334"/>
        <v>10.6260623317546</v>
      </c>
      <c r="X182" s="24">
        <f t="shared" si="335"/>
        <v>347.80038404228</v>
      </c>
      <c r="Y182" s="131">
        <f t="shared" si="303"/>
        <v>69.5600768084559</v>
      </c>
      <c r="AA182" s="25">
        <f t="shared" si="336"/>
        <v>0.3</v>
      </c>
      <c r="AB182" s="5">
        <f t="shared" si="337"/>
        <v>2.12521246635092</v>
      </c>
      <c r="AC182" s="5">
        <f t="shared" si="338"/>
        <v>0.0739519286824275</v>
      </c>
      <c r="AD182" s="5"/>
      <c r="AE182" s="5">
        <f t="shared" si="339"/>
        <v>2.12521246635092</v>
      </c>
      <c r="AF182" s="216">
        <f t="shared" si="340"/>
        <v>1693.10172819026</v>
      </c>
      <c r="AG182" s="217">
        <f t="shared" si="341"/>
        <v>0.0739519286824274</v>
      </c>
      <c r="AI182" s="5">
        <f t="shared" si="342"/>
        <v>0.659824988781383</v>
      </c>
      <c r="AJ182" s="5">
        <f t="shared" si="343"/>
        <v>1.5</v>
      </c>
      <c r="AK182" s="5">
        <f t="shared" si="344"/>
        <v>2</v>
      </c>
      <c r="AM182" s="216">
        <f t="shared" si="345"/>
        <v>360</v>
      </c>
      <c r="AN182" s="220">
        <f t="shared" si="346"/>
        <v>69.5600768084559</v>
      </c>
      <c r="AP182" t="str">
        <f t="shared" si="347"/>
        <v/>
      </c>
      <c r="AQ182" t="str">
        <f t="shared" si="348"/>
        <v/>
      </c>
      <c r="AS182" s="192">
        <f t="shared" si="263"/>
        <v>14.3760623317546</v>
      </c>
      <c r="AT182" s="192">
        <f t="shared" si="349"/>
        <v>3.75</v>
      </c>
      <c r="AU182" s="192">
        <f t="shared" si="304"/>
        <v>10.6260623317546</v>
      </c>
      <c r="AV182" s="192"/>
      <c r="AW182" s="5">
        <f t="shared" si="305"/>
        <v>0.26085028803171</v>
      </c>
      <c r="AX182" s="5">
        <f t="shared" si="259"/>
        <v>1.95637716023782</v>
      </c>
      <c r="AY182" s="5">
        <f t="shared" si="260"/>
        <v>0.369759643412137</v>
      </c>
      <c r="AZ182" s="5">
        <f t="shared" si="264"/>
        <v>5.29094290059456</v>
      </c>
      <c r="BA182" s="220">
        <f t="shared" si="350"/>
        <v>5.22063553448612</v>
      </c>
      <c r="BB182" s="220">
        <f t="shared" si="351"/>
        <v>110.817140911349</v>
      </c>
      <c r="BC182" s="192">
        <f t="shared" si="359"/>
        <v>12.7512747981055</v>
      </c>
      <c r="BD182" s="220">
        <f t="shared" si="352"/>
        <v>21.3754987971795</v>
      </c>
      <c r="BF182" s="5">
        <f t="shared" si="265"/>
        <v>0.442309525133455</v>
      </c>
      <c r="BG182" s="5">
        <f t="shared" si="261"/>
        <v>0.496618245895069</v>
      </c>
      <c r="BI182" s="217">
        <f t="shared" si="306"/>
        <v>0.0684732006083238</v>
      </c>
      <c r="BJ182" s="217">
        <f t="shared" si="307"/>
        <v>0.0116197325905453</v>
      </c>
      <c r="BK182" s="217">
        <f t="shared" si="308"/>
        <v>0.000869500960105699</v>
      </c>
      <c r="BL182" s="217">
        <f t="shared" si="309"/>
        <v>0.00172535986695132</v>
      </c>
      <c r="BM182">
        <f t="shared" si="310"/>
        <v>0.0029</v>
      </c>
      <c r="BN182">
        <f t="shared" si="353"/>
        <v>8.69500960105699e-7</v>
      </c>
      <c r="BO182" s="217">
        <f t="shared" si="354"/>
        <v>0.119462183181108</v>
      </c>
      <c r="BP182" s="220">
        <f t="shared" si="311"/>
        <v>85.5877940259262</v>
      </c>
      <c r="BQ182" s="217">
        <f t="shared" si="355"/>
        <v>0.394197864812023</v>
      </c>
      <c r="BT182" s="220">
        <f t="shared" si="312"/>
        <v>394.197864812023</v>
      </c>
      <c r="BU182" s="217">
        <f t="shared" si="313"/>
        <v>0.00802114635697508</v>
      </c>
      <c r="BV182" s="217">
        <f t="shared" si="314"/>
        <v>0.0246629682155896</v>
      </c>
      <c r="BW182" s="217">
        <f t="shared" si="315"/>
        <v>0</v>
      </c>
      <c r="BX182" s="217"/>
      <c r="BY182" s="217">
        <f t="shared" si="316"/>
        <v>0.00626040691276104</v>
      </c>
      <c r="BZ182" s="220">
        <f t="shared" si="317"/>
        <v>38.9445214853257</v>
      </c>
      <c r="CA182" s="5">
        <f t="shared" si="318"/>
        <v>0.518730180323275</v>
      </c>
      <c r="CB182" s="192">
        <f t="shared" si="319"/>
        <v>1.76073944421404</v>
      </c>
      <c r="CC182" s="5">
        <f t="shared" si="320"/>
        <v>0.772433826386888</v>
      </c>
      <c r="CD182" s="192">
        <f t="shared" si="321"/>
        <v>77.2433826386888</v>
      </c>
      <c r="CG182" s="227">
        <f t="shared" si="356"/>
        <v>-50</v>
      </c>
      <c r="CH182">
        <f t="shared" si="357"/>
        <v>-50</v>
      </c>
    </row>
    <row r="183" spans="5:86">
      <c r="E183" s="22">
        <v>73</v>
      </c>
      <c r="F183" s="25">
        <f t="shared" si="358"/>
        <v>0.365</v>
      </c>
      <c r="G183" s="25"/>
      <c r="H183" s="25">
        <f t="shared" si="322"/>
        <v>6.57</v>
      </c>
      <c r="I183" s="212">
        <f t="shared" si="323"/>
        <v>10</v>
      </c>
      <c r="J183" s="131">
        <f t="shared" si="324"/>
        <v>3.38898732757524</v>
      </c>
      <c r="K183" s="131">
        <f t="shared" si="325"/>
        <v>22.2728</v>
      </c>
      <c r="L183" s="131"/>
      <c r="M183" s="25">
        <f t="shared" si="326"/>
        <v>0.551021874214288</v>
      </c>
      <c r="N183" s="27">
        <f t="shared" si="327"/>
        <v>3.74915283215402</v>
      </c>
      <c r="O183" s="27">
        <f t="shared" si="262"/>
        <v>1.70854329020234</v>
      </c>
      <c r="P183" s="25">
        <f t="shared" si="328"/>
        <v>0.208286268453001</v>
      </c>
      <c r="Q183" s="25">
        <f t="shared" si="329"/>
        <v>10.2716515949425</v>
      </c>
      <c r="R183" s="25"/>
      <c r="S183" s="27">
        <f t="shared" si="330"/>
        <v>4.68094052110231</v>
      </c>
      <c r="T183" s="195">
        <f t="shared" si="331"/>
        <v>4.68094052110231</v>
      </c>
      <c r="U183" s="25">
        <f t="shared" si="332"/>
        <v>1.5</v>
      </c>
      <c r="V183" s="25">
        <f t="shared" si="333"/>
        <v>3.75</v>
      </c>
      <c r="W183" s="25">
        <f t="shared" si="334"/>
        <v>11.0652523527819</v>
      </c>
      <c r="X183" s="24">
        <f t="shared" si="335"/>
        <v>337.490032632562</v>
      </c>
      <c r="Y183" s="131">
        <f t="shared" si="303"/>
        <v>67.4980065265124</v>
      </c>
      <c r="AA183" s="25">
        <f t="shared" si="336"/>
        <v>0.3</v>
      </c>
      <c r="AB183" s="5">
        <f t="shared" si="337"/>
        <v>2.21305047055638</v>
      </c>
      <c r="AC183" s="5">
        <f t="shared" si="338"/>
        <v>0.0747255916763341</v>
      </c>
      <c r="AD183" s="5"/>
      <c r="AE183" s="5">
        <f t="shared" si="339"/>
        <v>2.21305047055638</v>
      </c>
      <c r="AF183" s="216">
        <f t="shared" si="340"/>
        <v>1648.48292462431</v>
      </c>
      <c r="AG183" s="217">
        <f t="shared" si="341"/>
        <v>0.0747255916763341</v>
      </c>
      <c r="AI183" s="5">
        <f t="shared" si="342"/>
        <v>0.651072660452816</v>
      </c>
      <c r="AJ183" s="5">
        <f t="shared" si="343"/>
        <v>1.5</v>
      </c>
      <c r="AK183" s="5">
        <f t="shared" si="344"/>
        <v>2</v>
      </c>
      <c r="AM183" s="216">
        <f t="shared" si="345"/>
        <v>365</v>
      </c>
      <c r="AN183" s="220">
        <f t="shared" si="346"/>
        <v>67.4980065265124</v>
      </c>
      <c r="AP183" t="str">
        <f t="shared" si="347"/>
        <v/>
      </c>
      <c r="AQ183" t="str">
        <f t="shared" si="348"/>
        <v/>
      </c>
      <c r="AS183" s="192">
        <f t="shared" si="263"/>
        <v>14.8152523527819</v>
      </c>
      <c r="AT183" s="192">
        <f t="shared" si="349"/>
        <v>3.75</v>
      </c>
      <c r="AU183" s="192">
        <f t="shared" si="304"/>
        <v>11.0652523527819</v>
      </c>
      <c r="AV183" s="192"/>
      <c r="AW183" s="5">
        <f t="shared" si="305"/>
        <v>0.253117524474421</v>
      </c>
      <c r="AX183" s="5">
        <f t="shared" si="259"/>
        <v>1.89838143355816</v>
      </c>
      <c r="AY183" s="5">
        <f t="shared" si="260"/>
        <v>0.373627958381671</v>
      </c>
      <c r="AZ183" s="5">
        <f t="shared" si="264"/>
        <v>5.08094052110232</v>
      </c>
      <c r="BA183" s="220">
        <f t="shared" si="350"/>
        <v>5.22063553448612</v>
      </c>
      <c r="BB183" s="220">
        <f t="shared" si="351"/>
        <v>113.901563255513</v>
      </c>
      <c r="BC183" s="192">
        <f t="shared" si="359"/>
        <v>13.4627236958846</v>
      </c>
      <c r="BD183" s="220">
        <f t="shared" si="352"/>
        <v>21.5755840542244</v>
      </c>
      <c r="BF183" s="5">
        <f t="shared" si="265"/>
        <v>0.435704192492815</v>
      </c>
      <c r="BG183" s="5">
        <f t="shared" si="261"/>
        <v>0.499209222912172</v>
      </c>
      <c r="BI183" s="217">
        <f t="shared" si="306"/>
        <v>0.0664433501745356</v>
      </c>
      <c r="BJ183" s="217">
        <f t="shared" si="307"/>
        <v>0.0112752719982278</v>
      </c>
      <c r="BK183" s="217">
        <f t="shared" si="308"/>
        <v>0.000843725081581404</v>
      </c>
      <c r="BL183" s="217">
        <f t="shared" si="309"/>
        <v>0.00167421252108085</v>
      </c>
      <c r="BM183">
        <f t="shared" si="310"/>
        <v>0.0029</v>
      </c>
      <c r="BN183">
        <f t="shared" si="353"/>
        <v>8.43725081581404e-7</v>
      </c>
      <c r="BO183" s="217">
        <f t="shared" si="354"/>
        <v>0.115872602911233</v>
      </c>
      <c r="BP183" s="220">
        <f t="shared" si="311"/>
        <v>83.1365597754256</v>
      </c>
      <c r="BQ183" s="217">
        <f t="shared" si="355"/>
        <v>0.399136484201057</v>
      </c>
      <c r="BT183" s="220">
        <f t="shared" si="312"/>
        <v>399.136484201057</v>
      </c>
      <c r="BU183" s="217">
        <f t="shared" si="313"/>
        <v>0.00778336387758846</v>
      </c>
      <c r="BV183" s="217">
        <f t="shared" si="314"/>
        <v>0.0249209848240575</v>
      </c>
      <c r="BW183" s="217">
        <f t="shared" si="315"/>
        <v>0</v>
      </c>
      <c r="BX183" s="217"/>
      <c r="BY183" s="217">
        <f t="shared" si="316"/>
        <v>0.00607482058738611</v>
      </c>
      <c r="BZ183" s="220">
        <f t="shared" si="317"/>
        <v>38.779169289032</v>
      </c>
      <c r="CA183" s="5">
        <f t="shared" si="318"/>
        <v>0.521052213265514</v>
      </c>
      <c r="CB183" s="192">
        <f t="shared" si="319"/>
        <v>1.70854329020234</v>
      </c>
      <c r="CC183" s="5">
        <f t="shared" si="320"/>
        <v>0.766301908819298</v>
      </c>
      <c r="CD183" s="192">
        <f t="shared" si="321"/>
        <v>76.6301908819298</v>
      </c>
      <c r="CG183" s="227">
        <f t="shared" si="356"/>
        <v>-50</v>
      </c>
      <c r="CH183">
        <f t="shared" si="357"/>
        <v>-50</v>
      </c>
    </row>
    <row r="184" spans="5:86">
      <c r="E184" s="22">
        <v>74</v>
      </c>
      <c r="F184" s="25">
        <f t="shared" si="358"/>
        <v>0.37</v>
      </c>
      <c r="G184" s="25"/>
      <c r="H184" s="25">
        <f t="shared" si="322"/>
        <v>6.66</v>
      </c>
      <c r="I184" s="212">
        <f t="shared" si="323"/>
        <v>10</v>
      </c>
      <c r="J184" s="131">
        <f t="shared" si="324"/>
        <v>3.25476458678708</v>
      </c>
      <c r="K184" s="131">
        <f t="shared" si="325"/>
        <v>22.2728</v>
      </c>
      <c r="L184" s="131"/>
      <c r="M184" s="25">
        <f t="shared" si="326"/>
        <v>0.551021874214288</v>
      </c>
      <c r="N184" s="27">
        <f t="shared" si="327"/>
        <v>3.74915283215402</v>
      </c>
      <c r="O184" s="27">
        <f t="shared" si="262"/>
        <v>1.6574915998669</v>
      </c>
      <c r="P184" s="25">
        <f t="shared" si="328"/>
        <v>0.208286268453001</v>
      </c>
      <c r="Q184" s="25">
        <f t="shared" si="329"/>
        <v>10.1328454923081</v>
      </c>
      <c r="R184" s="25"/>
      <c r="S184" s="27">
        <f t="shared" si="330"/>
        <v>4.47970702666729</v>
      </c>
      <c r="T184" s="195">
        <f t="shared" si="331"/>
        <v>4.47970702666729</v>
      </c>
      <c r="U184" s="25">
        <f t="shared" si="332"/>
        <v>1.5</v>
      </c>
      <c r="V184" s="25">
        <f t="shared" si="333"/>
        <v>3.75</v>
      </c>
      <c r="W184" s="25">
        <f t="shared" si="334"/>
        <v>11.521570608281</v>
      </c>
      <c r="X184" s="24">
        <f t="shared" si="335"/>
        <v>327.405748121856</v>
      </c>
      <c r="Y184" s="131">
        <f t="shared" si="303"/>
        <v>65.4811496243713</v>
      </c>
      <c r="AA184" s="25">
        <f t="shared" si="336"/>
        <v>0.3</v>
      </c>
      <c r="AB184" s="5">
        <f t="shared" si="337"/>
        <v>2.3043141216562</v>
      </c>
      <c r="AC184" s="5">
        <f t="shared" si="338"/>
        <v>0.0754822911753062</v>
      </c>
      <c r="AD184" s="5"/>
      <c r="AE184" s="5">
        <f t="shared" si="339"/>
        <v>2.3043141216562</v>
      </c>
      <c r="AF184" s="216">
        <f t="shared" si="340"/>
        <v>1604.88142210391</v>
      </c>
      <c r="AG184" s="217">
        <f t="shared" si="341"/>
        <v>0.0754822911753062</v>
      </c>
      <c r="AI184" s="5">
        <f t="shared" si="342"/>
        <v>0.642404696632342</v>
      </c>
      <c r="AJ184" s="5">
        <f t="shared" si="343"/>
        <v>1.5</v>
      </c>
      <c r="AK184" s="5">
        <f t="shared" si="344"/>
        <v>2</v>
      </c>
      <c r="AM184" s="216">
        <f t="shared" si="345"/>
        <v>370</v>
      </c>
      <c r="AN184" s="220">
        <f t="shared" si="346"/>
        <v>65.4811496243713</v>
      </c>
      <c r="AP184" t="str">
        <f t="shared" si="347"/>
        <v/>
      </c>
      <c r="AQ184" t="str">
        <f t="shared" si="348"/>
        <v/>
      </c>
      <c r="AS184" s="192">
        <f t="shared" si="263"/>
        <v>15.271570608281</v>
      </c>
      <c r="AT184" s="192">
        <f t="shared" si="349"/>
        <v>3.75</v>
      </c>
      <c r="AU184" s="192">
        <f t="shared" si="304"/>
        <v>11.521570608281</v>
      </c>
      <c r="AV184" s="192"/>
      <c r="AW184" s="5">
        <f t="shared" si="305"/>
        <v>0.245554311091392</v>
      </c>
      <c r="AX184" s="5">
        <f t="shared" si="259"/>
        <v>1.84165733318544</v>
      </c>
      <c r="AY184" s="5">
        <f t="shared" si="260"/>
        <v>0.377411455876531</v>
      </c>
      <c r="AZ184" s="5">
        <f t="shared" si="264"/>
        <v>4.87970702666729</v>
      </c>
      <c r="BA184" s="220">
        <f t="shared" si="350"/>
        <v>5.22063553448612</v>
      </c>
      <c r="BB184" s="220">
        <f t="shared" si="351"/>
        <v>117.028322459596</v>
      </c>
      <c r="BC184" s="192">
        <f t="shared" si="359"/>
        <v>14.2099370835466</v>
      </c>
      <c r="BD184" s="220">
        <f t="shared" si="352"/>
        <v>21.7712822005102</v>
      </c>
      <c r="BF184" s="5">
        <f t="shared" si="265"/>
        <v>0.42914535220429</v>
      </c>
      <c r="BG184" s="5">
        <f t="shared" si="261"/>
        <v>0.501730446624127</v>
      </c>
      <c r="BI184" s="217">
        <f t="shared" si="306"/>
        <v>0.0644580066614905</v>
      </c>
      <c r="BJ184" s="217">
        <f t="shared" si="307"/>
        <v>0.0109383641201527</v>
      </c>
      <c r="BK184" s="217">
        <f t="shared" si="308"/>
        <v>0.000818514370304641</v>
      </c>
      <c r="BL184" s="217">
        <f t="shared" si="309"/>
        <v>0.00162418664250225</v>
      </c>
      <c r="BM184">
        <f t="shared" si="310"/>
        <v>0.0029</v>
      </c>
      <c r="BN184">
        <f t="shared" si="353"/>
        <v>8.18514370304641e-7</v>
      </c>
      <c r="BO184" s="217">
        <f t="shared" si="354"/>
        <v>0.112369956315003</v>
      </c>
      <c r="BP184" s="220">
        <f t="shared" si="311"/>
        <v>80.7390717944501</v>
      </c>
      <c r="BQ184" s="217">
        <f t="shared" si="355"/>
        <v>0.404039205030744</v>
      </c>
      <c r="BT184" s="220">
        <f t="shared" si="312"/>
        <v>404.039205030744</v>
      </c>
      <c r="BU184" s="217">
        <f t="shared" si="313"/>
        <v>0.00755079506606031</v>
      </c>
      <c r="BV184" s="217">
        <f t="shared" si="314"/>
        <v>0.0251733441069646</v>
      </c>
      <c r="BW184" s="217">
        <f t="shared" si="315"/>
        <v>0</v>
      </c>
      <c r="BX184" s="217"/>
      <c r="BY184" s="217">
        <f t="shared" si="316"/>
        <v>0.00589330346619341</v>
      </c>
      <c r="BZ184" s="220">
        <f t="shared" si="317"/>
        <v>38.6174426392184</v>
      </c>
      <c r="CA184" s="5">
        <f t="shared" si="318"/>
        <v>0.523395719464412</v>
      </c>
      <c r="CB184" s="192">
        <f t="shared" si="319"/>
        <v>1.6574915998669</v>
      </c>
      <c r="CC184" s="5">
        <f t="shared" si="320"/>
        <v>0.760007903744017</v>
      </c>
      <c r="CD184" s="192">
        <f t="shared" si="321"/>
        <v>76.0007903744017</v>
      </c>
      <c r="CG184" s="227">
        <f t="shared" si="356"/>
        <v>-50</v>
      </c>
      <c r="CH184">
        <f t="shared" si="357"/>
        <v>-50</v>
      </c>
    </row>
    <row r="185" spans="5:86">
      <c r="E185" s="22">
        <v>75</v>
      </c>
      <c r="F185" s="25">
        <f t="shared" si="358"/>
        <v>0.375</v>
      </c>
      <c r="G185" s="25"/>
      <c r="H185" s="25">
        <f t="shared" si="322"/>
        <v>6.75</v>
      </c>
      <c r="I185" s="212">
        <f t="shared" si="323"/>
        <v>10</v>
      </c>
      <c r="J185" s="131">
        <f t="shared" si="324"/>
        <v>3.126225359171</v>
      </c>
      <c r="K185" s="131">
        <f t="shared" si="325"/>
        <v>22.2728</v>
      </c>
      <c r="L185" s="131"/>
      <c r="M185" s="25">
        <f t="shared" si="326"/>
        <v>0.551021874214288</v>
      </c>
      <c r="N185" s="27">
        <f t="shared" si="327"/>
        <v>3.74915283215402</v>
      </c>
      <c r="O185" s="27">
        <f t="shared" si="262"/>
        <v>1.60762295305716</v>
      </c>
      <c r="P185" s="25">
        <f t="shared" si="328"/>
        <v>0.208286268453001</v>
      </c>
      <c r="Q185" s="25">
        <f t="shared" si="329"/>
        <v>9.99774088574404</v>
      </c>
      <c r="R185" s="25"/>
      <c r="S185" s="27">
        <f t="shared" si="330"/>
        <v>4.28699454148576</v>
      </c>
      <c r="T185" s="195">
        <f t="shared" si="331"/>
        <v>4.28699454148576</v>
      </c>
      <c r="U185" s="25">
        <f t="shared" si="332"/>
        <v>1.5</v>
      </c>
      <c r="V185" s="25">
        <f t="shared" si="333"/>
        <v>3.75</v>
      </c>
      <c r="W185" s="25">
        <f t="shared" si="334"/>
        <v>11.9952964651096</v>
      </c>
      <c r="X185" s="24">
        <f t="shared" si="335"/>
        <v>317.555151221168</v>
      </c>
      <c r="Y185" s="131">
        <f t="shared" si="303"/>
        <v>63.5110302442335</v>
      </c>
      <c r="AA185" s="25">
        <f t="shared" si="336"/>
        <v>0.3</v>
      </c>
      <c r="AB185" s="5">
        <f t="shared" si="337"/>
        <v>2.39905929302192</v>
      </c>
      <c r="AC185" s="5">
        <f t="shared" si="338"/>
        <v>0.0762214553402416</v>
      </c>
      <c r="AD185" s="5"/>
      <c r="AE185" s="5">
        <f t="shared" si="339"/>
        <v>2.39905929302192</v>
      </c>
      <c r="AF185" s="216">
        <f t="shared" si="340"/>
        <v>1562.33151382859</v>
      </c>
      <c r="AG185" s="217">
        <f t="shared" si="341"/>
        <v>0.0762214553402417</v>
      </c>
      <c r="AI185" s="5">
        <f t="shared" si="342"/>
        <v>0.633831514891937</v>
      </c>
      <c r="AJ185" s="5">
        <f t="shared" si="343"/>
        <v>1.5</v>
      </c>
      <c r="AK185" s="5">
        <f t="shared" si="344"/>
        <v>2</v>
      </c>
      <c r="AM185" s="216">
        <f t="shared" si="345"/>
        <v>375</v>
      </c>
      <c r="AN185" s="220">
        <f t="shared" si="346"/>
        <v>63.5110302442335</v>
      </c>
      <c r="AP185" t="str">
        <f t="shared" si="347"/>
        <v/>
      </c>
      <c r="AQ185" t="str">
        <f t="shared" si="348"/>
        <v/>
      </c>
      <c r="AS185" s="192">
        <f t="shared" si="263"/>
        <v>15.7452964651096</v>
      </c>
      <c r="AT185" s="192">
        <f t="shared" si="349"/>
        <v>3.75</v>
      </c>
      <c r="AU185" s="192">
        <f t="shared" si="304"/>
        <v>11.9952964651096</v>
      </c>
      <c r="AV185" s="192"/>
      <c r="AW185" s="5">
        <f t="shared" si="305"/>
        <v>0.238166363415876</v>
      </c>
      <c r="AX185" s="5">
        <f t="shared" si="259"/>
        <v>1.78624772561907</v>
      </c>
      <c r="AY185" s="5">
        <f t="shared" si="260"/>
        <v>0.381107276701208</v>
      </c>
      <c r="AZ185" s="5">
        <f t="shared" si="264"/>
        <v>4.68699454148576</v>
      </c>
      <c r="BA185" s="220">
        <f t="shared" si="350"/>
        <v>5.22063553448612</v>
      </c>
      <c r="BB185" s="220">
        <f t="shared" si="351"/>
        <v>120.197418523599</v>
      </c>
      <c r="BC185" s="192">
        <f t="shared" si="359"/>
        <v>14.994120581387</v>
      </c>
      <c r="BD185" s="220">
        <f t="shared" si="352"/>
        <v>21.9624453466142</v>
      </c>
      <c r="BF185" s="5">
        <f t="shared" si="265"/>
        <v>0.422640240111974</v>
      </c>
      <c r="BG185" s="5">
        <f t="shared" si="261"/>
        <v>0.504181072195006</v>
      </c>
      <c r="BI185" s="217">
        <f t="shared" si="306"/>
        <v>0.0625186703966673</v>
      </c>
      <c r="BJ185" s="217">
        <f t="shared" si="307"/>
        <v>0.0106092635581782</v>
      </c>
      <c r="BK185" s="217">
        <f t="shared" si="308"/>
        <v>0.000793887878052919</v>
      </c>
      <c r="BL185" s="217">
        <f t="shared" si="309"/>
        <v>0.00157532003585728</v>
      </c>
      <c r="BM185">
        <f t="shared" si="310"/>
        <v>0.0029</v>
      </c>
      <c r="BN185">
        <f t="shared" si="353"/>
        <v>7.93887878052919e-7</v>
      </c>
      <c r="BO185" s="217">
        <f t="shared" si="354"/>
        <v>0.108956306781315</v>
      </c>
      <c r="BP185" s="220">
        <f t="shared" si="311"/>
        <v>78.3971418687558</v>
      </c>
      <c r="BQ185" s="217">
        <f t="shared" si="355"/>
        <v>0.408904817161311</v>
      </c>
      <c r="BT185" s="220">
        <f t="shared" si="312"/>
        <v>408.904817161311</v>
      </c>
      <c r="BU185" s="217">
        <f t="shared" si="313"/>
        <v>0.00732361567503818</v>
      </c>
      <c r="BV185" s="217">
        <f t="shared" si="314"/>
        <v>0.0254198553559706</v>
      </c>
      <c r="BW185" s="217">
        <f t="shared" si="315"/>
        <v>0</v>
      </c>
      <c r="BX185" s="217"/>
      <c r="BY185" s="217">
        <f t="shared" si="316"/>
        <v>0.00571599272198102</v>
      </c>
      <c r="BZ185" s="220">
        <f t="shared" si="317"/>
        <v>38.4594637529898</v>
      </c>
      <c r="CA185" s="5">
        <f t="shared" si="318"/>
        <v>0.525761422783057</v>
      </c>
      <c r="CB185" s="192">
        <f t="shared" si="319"/>
        <v>1.60762295305716</v>
      </c>
      <c r="CC185" s="5">
        <f t="shared" si="320"/>
        <v>0.753555229551173</v>
      </c>
      <c r="CD185" s="192">
        <f t="shared" si="321"/>
        <v>75.3555229551173</v>
      </c>
      <c r="CG185" s="227">
        <f t="shared" si="356"/>
        <v>-50</v>
      </c>
      <c r="CH185">
        <f t="shared" si="357"/>
        <v>-50</v>
      </c>
    </row>
    <row r="186" spans="5:86">
      <c r="E186" s="22">
        <v>76</v>
      </c>
      <c r="F186" s="25">
        <f t="shared" si="358"/>
        <v>0.38</v>
      </c>
      <c r="G186" s="25"/>
      <c r="H186" s="25">
        <f t="shared" si="322"/>
        <v>6.84</v>
      </c>
      <c r="I186" s="212">
        <f t="shared" si="323"/>
        <v>10</v>
      </c>
      <c r="J186" s="131">
        <f t="shared" si="324"/>
        <v>3.00320928968474</v>
      </c>
      <c r="K186" s="131">
        <f t="shared" si="325"/>
        <v>22.2728</v>
      </c>
      <c r="L186" s="131"/>
      <c r="M186" s="25">
        <f t="shared" si="326"/>
        <v>0.551021874214288</v>
      </c>
      <c r="N186" s="27">
        <f t="shared" si="327"/>
        <v>3.74915283215402</v>
      </c>
      <c r="O186" s="27">
        <f t="shared" si="262"/>
        <v>1.55897380821619</v>
      </c>
      <c r="P186" s="25">
        <f t="shared" si="328"/>
        <v>0.208286268453001</v>
      </c>
      <c r="Q186" s="25">
        <f t="shared" si="329"/>
        <v>9.8661916635632</v>
      </c>
      <c r="R186" s="25"/>
      <c r="S186" s="27">
        <f t="shared" si="330"/>
        <v>4.1025626532005</v>
      </c>
      <c r="T186" s="195">
        <f t="shared" si="331"/>
        <v>4.1025626532005</v>
      </c>
      <c r="U186" s="25">
        <f t="shared" si="332"/>
        <v>1.5</v>
      </c>
      <c r="V186" s="25">
        <f t="shared" si="333"/>
        <v>3.75</v>
      </c>
      <c r="W186" s="25">
        <f t="shared" si="334"/>
        <v>12.4866422492775</v>
      </c>
      <c r="X186" s="24">
        <f t="shared" si="335"/>
        <v>307.94544359826</v>
      </c>
      <c r="Y186" s="131">
        <f t="shared" si="303"/>
        <v>61.589088719652</v>
      </c>
      <c r="AA186" s="25">
        <f t="shared" si="336"/>
        <v>0.3</v>
      </c>
      <c r="AB186" s="5">
        <f t="shared" si="337"/>
        <v>2.49732844985549</v>
      </c>
      <c r="AC186" s="5">
        <f t="shared" si="338"/>
        <v>0.0769425437759956</v>
      </c>
      <c r="AD186" s="5"/>
      <c r="AE186" s="5">
        <f t="shared" si="339"/>
        <v>2.49732844985549</v>
      </c>
      <c r="AF186" s="216">
        <f t="shared" si="340"/>
        <v>1520.86560730328</v>
      </c>
      <c r="AG186" s="217">
        <f t="shared" si="341"/>
        <v>0.0769425437759956</v>
      </c>
      <c r="AI186" s="5">
        <f t="shared" si="342"/>
        <v>0.625363676265477</v>
      </c>
      <c r="AJ186" s="5">
        <f t="shared" si="343"/>
        <v>1.5</v>
      </c>
      <c r="AK186" s="5">
        <f t="shared" si="344"/>
        <v>2</v>
      </c>
      <c r="AM186" s="216">
        <f t="shared" si="345"/>
        <v>380</v>
      </c>
      <c r="AN186" s="220">
        <f t="shared" si="346"/>
        <v>61.589088719652</v>
      </c>
      <c r="AP186" t="str">
        <f t="shared" si="347"/>
        <v/>
      </c>
      <c r="AQ186" t="str">
        <f t="shared" si="348"/>
        <v/>
      </c>
      <c r="AS186" s="192">
        <f t="shared" si="263"/>
        <v>16.2366422492775</v>
      </c>
      <c r="AT186" s="192">
        <f t="shared" si="349"/>
        <v>3.75</v>
      </c>
      <c r="AU186" s="192">
        <f t="shared" si="304"/>
        <v>12.4866422492775</v>
      </c>
      <c r="AV186" s="192"/>
      <c r="AW186" s="5">
        <f t="shared" si="305"/>
        <v>0.230959082698695</v>
      </c>
      <c r="AX186" s="5">
        <f t="shared" si="259"/>
        <v>1.73219312024021</v>
      </c>
      <c r="AY186" s="5">
        <f t="shared" si="260"/>
        <v>0.384712718879978</v>
      </c>
      <c r="AZ186" s="5">
        <f t="shared" si="264"/>
        <v>4.5025626532005</v>
      </c>
      <c r="BA186" s="220">
        <f t="shared" si="350"/>
        <v>5.22063553448612</v>
      </c>
      <c r="BB186" s="220">
        <f t="shared" si="351"/>
        <v>123.408851447521</v>
      </c>
      <c r="BC186" s="192">
        <f t="shared" si="359"/>
        <v>15.8164135157515</v>
      </c>
      <c r="BD186" s="220">
        <f t="shared" si="352"/>
        <v>22.1489337351713</v>
      </c>
      <c r="BF186" s="5">
        <f t="shared" si="265"/>
        <v>0.416196242203148</v>
      </c>
      <c r="BG186" s="5">
        <f t="shared" si="261"/>
        <v>0.506560345361681</v>
      </c>
      <c r="BI186" s="217">
        <f t="shared" si="306"/>
        <v>0.0606267592084074</v>
      </c>
      <c r="BJ186" s="217">
        <f t="shared" si="307"/>
        <v>0.010288210914263</v>
      </c>
      <c r="BK186" s="217">
        <f t="shared" si="308"/>
        <v>0.00076986360899565</v>
      </c>
      <c r="BL186" s="217">
        <f t="shared" si="309"/>
        <v>0.00152764842700798</v>
      </c>
      <c r="BM186">
        <f t="shared" si="310"/>
        <v>0.0029</v>
      </c>
      <c r="BN186">
        <f t="shared" si="353"/>
        <v>7.6986360899565e-7</v>
      </c>
      <c r="BO186" s="217">
        <f t="shared" si="354"/>
        <v>0.105633565758897</v>
      </c>
      <c r="BP186" s="220">
        <f t="shared" si="311"/>
        <v>76.1124821586741</v>
      </c>
      <c r="BQ186" s="217">
        <f t="shared" si="355"/>
        <v>0.413732176995448</v>
      </c>
      <c r="BT186" s="220">
        <f t="shared" si="312"/>
        <v>413.732176995448</v>
      </c>
      <c r="BU186" s="217">
        <f t="shared" si="313"/>
        <v>0.00710199179298487</v>
      </c>
      <c r="BV186" s="217">
        <f t="shared" si="314"/>
        <v>0.0256603383492945</v>
      </c>
      <c r="BW186" s="217">
        <f t="shared" si="315"/>
        <v>0</v>
      </c>
      <c r="BX186" s="217"/>
      <c r="BY186" s="217">
        <f t="shared" si="316"/>
        <v>0.00554301798476868</v>
      </c>
      <c r="BZ186" s="220">
        <f t="shared" si="317"/>
        <v>38.3053481270481</v>
      </c>
      <c r="CA186" s="5">
        <f t="shared" si="318"/>
        <v>0.528150007281171</v>
      </c>
      <c r="CB186" s="192">
        <f t="shared" si="319"/>
        <v>1.55897380821619</v>
      </c>
      <c r="CC186" s="5">
        <f t="shared" si="320"/>
        <v>0.746948406529819</v>
      </c>
      <c r="CD186" s="192">
        <f t="shared" si="321"/>
        <v>74.6948406529819</v>
      </c>
      <c r="CG186" s="227">
        <f t="shared" si="356"/>
        <v>-50</v>
      </c>
      <c r="CH186">
        <f t="shared" si="357"/>
        <v>-50</v>
      </c>
    </row>
    <row r="187" spans="5:86">
      <c r="E187" s="22">
        <v>77</v>
      </c>
      <c r="F187" s="25">
        <f t="shared" si="358"/>
        <v>0.385</v>
      </c>
      <c r="G187" s="25"/>
      <c r="H187" s="25">
        <f t="shared" si="322"/>
        <v>6.93</v>
      </c>
      <c r="I187" s="212">
        <f t="shared" si="323"/>
        <v>10</v>
      </c>
      <c r="J187" s="131">
        <f t="shared" si="324"/>
        <v>2.88555979845023</v>
      </c>
      <c r="K187" s="131">
        <f t="shared" si="325"/>
        <v>22.2728</v>
      </c>
      <c r="L187" s="131"/>
      <c r="M187" s="25">
        <f t="shared" si="326"/>
        <v>0.551021874214288</v>
      </c>
      <c r="N187" s="27">
        <f t="shared" si="327"/>
        <v>3.74915283215402</v>
      </c>
      <c r="O187" s="27">
        <f t="shared" si="262"/>
        <v>1.5115779946077</v>
      </c>
      <c r="P187" s="25">
        <f t="shared" si="328"/>
        <v>0.208286268453001</v>
      </c>
      <c r="Q187" s="25">
        <f t="shared" si="329"/>
        <v>9.73805930429614</v>
      </c>
      <c r="R187" s="25"/>
      <c r="S187" s="27">
        <f t="shared" si="330"/>
        <v>3.92617660937066</v>
      </c>
      <c r="T187" s="195">
        <f t="shared" si="331"/>
        <v>3.92617660937066</v>
      </c>
      <c r="U187" s="25">
        <f t="shared" si="332"/>
        <v>1.5</v>
      </c>
      <c r="V187" s="25">
        <f t="shared" si="333"/>
        <v>3.75</v>
      </c>
      <c r="W187" s="25">
        <f t="shared" si="334"/>
        <v>12.9957452346475</v>
      </c>
      <c r="X187" s="24">
        <f t="shared" si="335"/>
        <v>298.583307576831</v>
      </c>
      <c r="Y187" s="131">
        <f t="shared" si="303"/>
        <v>59.7166615153661</v>
      </c>
      <c r="AA187" s="25">
        <f t="shared" si="336"/>
        <v>0.3</v>
      </c>
      <c r="AB187" s="5">
        <f t="shared" si="337"/>
        <v>2.5991490469295</v>
      </c>
      <c r="AC187" s="5">
        <f t="shared" si="338"/>
        <v>0.0776450550577036</v>
      </c>
      <c r="AD187" s="5"/>
      <c r="AE187" s="5">
        <f t="shared" si="339"/>
        <v>2.5991490469295</v>
      </c>
      <c r="AF187" s="216">
        <f t="shared" si="340"/>
        <v>1480.51377298463</v>
      </c>
      <c r="AG187" s="217">
        <f t="shared" si="341"/>
        <v>0.0776450550577036</v>
      </c>
      <c r="AI187" s="5">
        <f t="shared" si="342"/>
        <v>0.617011784024113</v>
      </c>
      <c r="AJ187" s="5">
        <f t="shared" si="343"/>
        <v>1.5</v>
      </c>
      <c r="AK187" s="5">
        <f t="shared" si="344"/>
        <v>2</v>
      </c>
      <c r="AM187" s="216">
        <f t="shared" si="345"/>
        <v>385</v>
      </c>
      <c r="AN187" s="220">
        <f t="shared" si="346"/>
        <v>59.7166615153661</v>
      </c>
      <c r="AP187" t="str">
        <f t="shared" si="347"/>
        <v/>
      </c>
      <c r="AQ187" t="str">
        <f t="shared" si="348"/>
        <v/>
      </c>
      <c r="AS187" s="192">
        <f t="shared" si="263"/>
        <v>16.7457452346475</v>
      </c>
      <c r="AT187" s="192">
        <f t="shared" si="349"/>
        <v>3.75</v>
      </c>
      <c r="AU187" s="192">
        <f t="shared" si="304"/>
        <v>12.9957452346475</v>
      </c>
      <c r="AV187" s="192"/>
      <c r="AW187" s="5">
        <f t="shared" si="305"/>
        <v>0.223937480682623</v>
      </c>
      <c r="AX187" s="5">
        <f t="shared" si="259"/>
        <v>1.67953110511967</v>
      </c>
      <c r="AY187" s="5">
        <f t="shared" si="260"/>
        <v>0.388225275288518</v>
      </c>
      <c r="AZ187" s="5">
        <f t="shared" si="264"/>
        <v>4.32617660937066</v>
      </c>
      <c r="BA187" s="220">
        <f t="shared" si="350"/>
        <v>5.22063553448612</v>
      </c>
      <c r="BB187" s="220">
        <f t="shared" si="351"/>
        <v>126.662621231363</v>
      </c>
      <c r="BC187" s="192">
        <f t="shared" si="359"/>
        <v>16.677873051131</v>
      </c>
      <c r="BD187" s="220">
        <f t="shared" si="352"/>
        <v>22.3306176873371</v>
      </c>
      <c r="BF187" s="5">
        <f t="shared" si="265"/>
        <v>0.409820827328196</v>
      </c>
      <c r="BG187" s="5">
        <f t="shared" si="261"/>
        <v>0.50886762386444</v>
      </c>
      <c r="BI187" s="217">
        <f t="shared" si="306"/>
        <v>0.0587835886791885</v>
      </c>
      <c r="BJ187" s="217">
        <f t="shared" si="307"/>
        <v>0.00997542943949585</v>
      </c>
      <c r="BK187" s="217">
        <f t="shared" si="308"/>
        <v>0.000746458268942076</v>
      </c>
      <c r="BL187" s="217">
        <f t="shared" si="309"/>
        <v>0.00148120496546669</v>
      </c>
      <c r="BM187">
        <f t="shared" si="310"/>
        <v>0.0029</v>
      </c>
      <c r="BN187">
        <f t="shared" si="353"/>
        <v>7.46458268942076e-7</v>
      </c>
      <c r="BO187" s="217">
        <f t="shared" si="354"/>
        <v>0.102403461124374</v>
      </c>
      <c r="BP187" s="220">
        <f t="shared" si="311"/>
        <v>73.8866813530931</v>
      </c>
      <c r="BQ187" s="217">
        <f t="shared" si="355"/>
        <v>0.418520223405697</v>
      </c>
      <c r="BT187" s="220">
        <f t="shared" si="312"/>
        <v>418.520223405697</v>
      </c>
      <c r="BU187" s="217">
        <f t="shared" si="313"/>
        <v>0.00688607753099065</v>
      </c>
      <c r="BV187" s="217">
        <f t="shared" si="314"/>
        <v>0.0258946258617442</v>
      </c>
      <c r="BW187" s="217">
        <f t="shared" si="315"/>
        <v>0</v>
      </c>
      <c r="BX187" s="217"/>
      <c r="BY187" s="217">
        <f t="shared" si="316"/>
        <v>0.00537449953638295</v>
      </c>
      <c r="BZ187" s="220">
        <f t="shared" si="317"/>
        <v>38.1552029291178</v>
      </c>
      <c r="CA187" s="5">
        <f t="shared" si="318"/>
        <v>0.530562107687908</v>
      </c>
      <c r="CB187" s="192">
        <f t="shared" si="319"/>
        <v>1.5115779946077</v>
      </c>
      <c r="CC187" s="5">
        <f t="shared" si="320"/>
        <v>0.740193091016874</v>
      </c>
      <c r="CD187" s="192">
        <f t="shared" si="321"/>
        <v>74.0193091016874</v>
      </c>
      <c r="CG187" s="227">
        <f t="shared" si="356"/>
        <v>-50</v>
      </c>
      <c r="CH187">
        <f t="shared" si="357"/>
        <v>-50</v>
      </c>
    </row>
    <row r="188" spans="5:86">
      <c r="E188" s="22">
        <v>78</v>
      </c>
      <c r="F188" s="25">
        <f t="shared" si="358"/>
        <v>0.39</v>
      </c>
      <c r="G188" s="25"/>
      <c r="H188" s="25">
        <f t="shared" si="322"/>
        <v>7.02</v>
      </c>
      <c r="I188" s="212">
        <f t="shared" si="323"/>
        <v>10</v>
      </c>
      <c r="J188" s="131">
        <f t="shared" si="324"/>
        <v>2.77312297503023</v>
      </c>
      <c r="K188" s="131">
        <f t="shared" si="325"/>
        <v>22.2728</v>
      </c>
      <c r="L188" s="131"/>
      <c r="M188" s="25">
        <f t="shared" si="326"/>
        <v>0.551021874214288</v>
      </c>
      <c r="N188" s="27">
        <f t="shared" si="327"/>
        <v>3.74915283215402</v>
      </c>
      <c r="O188" s="27">
        <f t="shared" si="262"/>
        <v>1.46546620728904</v>
      </c>
      <c r="P188" s="25">
        <f t="shared" si="328"/>
        <v>0.208286268453001</v>
      </c>
      <c r="Q188" s="25">
        <f t="shared" si="329"/>
        <v>9.6132123901385</v>
      </c>
      <c r="R188" s="25"/>
      <c r="S188" s="27">
        <f t="shared" si="330"/>
        <v>3.75760565971549</v>
      </c>
      <c r="T188" s="195">
        <f t="shared" si="331"/>
        <v>3.75760565971549</v>
      </c>
      <c r="U188" s="25">
        <f t="shared" si="332"/>
        <v>1.5</v>
      </c>
      <c r="V188" s="25">
        <f t="shared" si="333"/>
        <v>3.75</v>
      </c>
      <c r="W188" s="25">
        <f t="shared" si="334"/>
        <v>13.522660313898</v>
      </c>
      <c r="X188" s="24">
        <f t="shared" si="335"/>
        <v>289.474806378082</v>
      </c>
      <c r="Y188" s="131">
        <f t="shared" si="303"/>
        <v>57.8949612756164</v>
      </c>
      <c r="AA188" s="25">
        <f t="shared" si="336"/>
        <v>0.3</v>
      </c>
      <c r="AB188" s="5">
        <f t="shared" si="337"/>
        <v>2.70453206277959</v>
      </c>
      <c r="AC188" s="5">
        <f t="shared" si="338"/>
        <v>0.0783285342164046</v>
      </c>
      <c r="AD188" s="5"/>
      <c r="AE188" s="5">
        <f t="shared" si="339"/>
        <v>2.70453206277959</v>
      </c>
      <c r="AF188" s="216">
        <f t="shared" si="340"/>
        <v>1441.30329536804</v>
      </c>
      <c r="AG188" s="217">
        <f t="shared" si="341"/>
        <v>0.0783285342164046</v>
      </c>
      <c r="AI188" s="5">
        <f t="shared" si="342"/>
        <v>0.608786372531738</v>
      </c>
      <c r="AJ188" s="5">
        <f t="shared" si="343"/>
        <v>1.5</v>
      </c>
      <c r="AK188" s="5">
        <f t="shared" si="344"/>
        <v>2</v>
      </c>
      <c r="AM188" s="216">
        <f t="shared" si="345"/>
        <v>390</v>
      </c>
      <c r="AN188" s="220">
        <f t="shared" si="346"/>
        <v>57.8949612756164</v>
      </c>
      <c r="AP188" t="str">
        <f t="shared" si="347"/>
        <v/>
      </c>
      <c r="AQ188" t="str">
        <f t="shared" si="348"/>
        <v/>
      </c>
      <c r="AS188" s="192">
        <f t="shared" si="263"/>
        <v>17.272660313898</v>
      </c>
      <c r="AT188" s="192">
        <f t="shared" si="349"/>
        <v>3.75</v>
      </c>
      <c r="AU188" s="192">
        <f t="shared" si="304"/>
        <v>13.522660313898</v>
      </c>
      <c r="AV188" s="192"/>
      <c r="AW188" s="5">
        <f t="shared" si="305"/>
        <v>0.217106104783562</v>
      </c>
      <c r="AX188" s="5">
        <f t="shared" si="259"/>
        <v>1.62829578587671</v>
      </c>
      <c r="AY188" s="5">
        <f t="shared" si="260"/>
        <v>0.391642671082023</v>
      </c>
      <c r="AZ188" s="5">
        <f t="shared" si="264"/>
        <v>4.15760565971549</v>
      </c>
      <c r="BA188" s="220">
        <f t="shared" si="350"/>
        <v>5.22063553448612</v>
      </c>
      <c r="BB188" s="220">
        <f t="shared" si="351"/>
        <v>129.958727875125</v>
      </c>
      <c r="BC188" s="192">
        <f t="shared" si="359"/>
        <v>17.5794584080674</v>
      </c>
      <c r="BD188" s="220">
        <f t="shared" si="352"/>
        <v>22.5073795387253</v>
      </c>
      <c r="BF188" s="5">
        <f t="shared" si="265"/>
        <v>0.403521472275852</v>
      </c>
      <c r="BG188" s="5">
        <f t="shared" si="261"/>
        <v>0.511102398362314</v>
      </c>
      <c r="BI188" s="217">
        <f t="shared" si="306"/>
        <v>0.0569903525056849</v>
      </c>
      <c r="BJ188" s="217">
        <f t="shared" si="307"/>
        <v>0.00967112170124662</v>
      </c>
      <c r="BK188" s="217">
        <f t="shared" si="308"/>
        <v>0.000723687015945206</v>
      </c>
      <c r="BL188" s="217">
        <f t="shared" si="309"/>
        <v>0.00143601972951684</v>
      </c>
      <c r="BM188">
        <f t="shared" si="310"/>
        <v>0.0029</v>
      </c>
      <c r="BN188">
        <f t="shared" si="353"/>
        <v>7.23687015945206e-7</v>
      </c>
      <c r="BO188" s="217">
        <f t="shared" si="354"/>
        <v>0.0992675060518586</v>
      </c>
      <c r="BP188" s="220">
        <f t="shared" si="311"/>
        <v>71.7211809523936</v>
      </c>
      <c r="BQ188" s="217">
        <f t="shared" si="355"/>
        <v>0.42326799357571</v>
      </c>
      <c r="BT188" s="220">
        <f t="shared" si="312"/>
        <v>423.26799357571</v>
      </c>
      <c r="BU188" s="217">
        <f t="shared" si="313"/>
        <v>0.00667601272209452</v>
      </c>
      <c r="BV188" s="217">
        <f t="shared" si="314"/>
        <v>0.026122566161171</v>
      </c>
      <c r="BW188" s="217">
        <f t="shared" si="315"/>
        <v>0</v>
      </c>
      <c r="BX188" s="217"/>
      <c r="BY188" s="217">
        <f t="shared" si="316"/>
        <v>0.00521054651480548</v>
      </c>
      <c r="BZ188" s="220">
        <f t="shared" si="317"/>
        <v>38.009125398071</v>
      </c>
      <c r="CA188" s="5">
        <f t="shared" si="318"/>
        <v>0.532998299926175</v>
      </c>
      <c r="CB188" s="192">
        <f t="shared" si="319"/>
        <v>1.46546620728904</v>
      </c>
      <c r="CC188" s="5">
        <f t="shared" si="320"/>
        <v>0.733296089071461</v>
      </c>
      <c r="CD188" s="192">
        <f t="shared" si="321"/>
        <v>73.3296089071461</v>
      </c>
      <c r="CG188" s="227">
        <f t="shared" si="356"/>
        <v>-50</v>
      </c>
      <c r="CH188">
        <f t="shared" si="357"/>
        <v>-50</v>
      </c>
    </row>
    <row r="189" spans="5:86">
      <c r="E189" s="22">
        <v>79</v>
      </c>
      <c r="F189" s="25">
        <f t="shared" si="358"/>
        <v>0.395</v>
      </c>
      <c r="G189" s="25"/>
      <c r="H189" s="25">
        <f t="shared" si="322"/>
        <v>7.11</v>
      </c>
      <c r="I189" s="212">
        <f t="shared" si="323"/>
        <v>10</v>
      </c>
      <c r="J189" s="131">
        <f t="shared" si="324"/>
        <v>2.66574658726098</v>
      </c>
      <c r="K189" s="131">
        <f t="shared" si="325"/>
        <v>22.2728</v>
      </c>
      <c r="L189" s="131"/>
      <c r="M189" s="25">
        <f t="shared" si="326"/>
        <v>0.551021874214288</v>
      </c>
      <c r="N189" s="27">
        <f t="shared" si="327"/>
        <v>3.74915283215402</v>
      </c>
      <c r="O189" s="27">
        <f t="shared" si="262"/>
        <v>1.42066552019204</v>
      </c>
      <c r="P189" s="25">
        <f t="shared" si="328"/>
        <v>0.208286268453001</v>
      </c>
      <c r="Q189" s="25">
        <f t="shared" si="329"/>
        <v>9.49152615735194</v>
      </c>
      <c r="R189" s="25"/>
      <c r="S189" s="27">
        <f t="shared" si="330"/>
        <v>3.59662157010642</v>
      </c>
      <c r="T189" s="195">
        <f t="shared" si="331"/>
        <v>3.59662157010642</v>
      </c>
      <c r="U189" s="25">
        <f t="shared" si="332"/>
        <v>1.5</v>
      </c>
      <c r="V189" s="25">
        <f t="shared" si="333"/>
        <v>3.75</v>
      </c>
      <c r="W189" s="25">
        <f t="shared" si="334"/>
        <v>14.0673536558967</v>
      </c>
      <c r="X189" s="24">
        <f t="shared" si="335"/>
        <v>280.625287939168</v>
      </c>
      <c r="Y189" s="131">
        <f t="shared" si="303"/>
        <v>56.1250575878335</v>
      </c>
      <c r="AA189" s="25">
        <f t="shared" si="336"/>
        <v>0.3</v>
      </c>
      <c r="AB189" s="5">
        <f t="shared" si="337"/>
        <v>2.81347073117934</v>
      </c>
      <c r="AC189" s="5">
        <f t="shared" si="338"/>
        <v>0.0789925799562647</v>
      </c>
      <c r="AD189" s="5"/>
      <c r="AE189" s="5">
        <f t="shared" si="339"/>
        <v>2.81347073117934</v>
      </c>
      <c r="AF189" s="216">
        <f t="shared" si="340"/>
        <v>1403.2582401707</v>
      </c>
      <c r="AG189" s="217">
        <f t="shared" si="341"/>
        <v>0.0789925799562647</v>
      </c>
      <c r="AI189" s="5">
        <f t="shared" si="342"/>
        <v>0.600697788564892</v>
      </c>
      <c r="AJ189" s="5">
        <f t="shared" si="343"/>
        <v>1.5</v>
      </c>
      <c r="AK189" s="5">
        <f t="shared" si="344"/>
        <v>2</v>
      </c>
      <c r="AM189" s="216">
        <f t="shared" si="345"/>
        <v>395</v>
      </c>
      <c r="AN189" s="220">
        <f t="shared" si="346"/>
        <v>56.1250575878335</v>
      </c>
      <c r="AP189" t="str">
        <f t="shared" si="347"/>
        <v/>
      </c>
      <c r="AQ189" t="str">
        <f t="shared" si="348"/>
        <v/>
      </c>
      <c r="AS189" s="192">
        <f t="shared" si="263"/>
        <v>17.8173536558967</v>
      </c>
      <c r="AT189" s="192">
        <f t="shared" si="349"/>
        <v>3.75</v>
      </c>
      <c r="AU189" s="192">
        <f t="shared" si="304"/>
        <v>14.0673536558967</v>
      </c>
      <c r="AV189" s="192"/>
      <c r="AW189" s="5">
        <f t="shared" si="305"/>
        <v>0.210468965954376</v>
      </c>
      <c r="AX189" s="5">
        <f t="shared" si="259"/>
        <v>1.57851724465782</v>
      </c>
      <c r="AY189" s="5">
        <f t="shared" si="260"/>
        <v>0.394962899781324</v>
      </c>
      <c r="AZ189" s="5">
        <f t="shared" si="264"/>
        <v>3.99662157010642</v>
      </c>
      <c r="BA189" s="220">
        <f t="shared" si="350"/>
        <v>5.22063553448612</v>
      </c>
      <c r="BB189" s="220">
        <f t="shared" si="351"/>
        <v>133.297171378805</v>
      </c>
      <c r="BC189" s="192">
        <f t="shared" si="359"/>
        <v>18.5220156469307</v>
      </c>
      <c r="BD189" s="220">
        <f t="shared" si="352"/>
        <v>22.6791155059305</v>
      </c>
      <c r="BF189" s="5">
        <f t="shared" si="265"/>
        <v>0.39730558071311</v>
      </c>
      <c r="BG189" s="5">
        <f t="shared" si="261"/>
        <v>0.513264312176624</v>
      </c>
      <c r="BI189" s="217">
        <f t="shared" si="306"/>
        <v>0.0552481035630236</v>
      </c>
      <c r="BJ189" s="217">
        <f t="shared" si="307"/>
        <v>0.00937546636981724</v>
      </c>
      <c r="BK189" s="217">
        <f t="shared" si="308"/>
        <v>0.000701563219847919</v>
      </c>
      <c r="BL189" s="217">
        <f t="shared" si="309"/>
        <v>0.00139211924907777</v>
      </c>
      <c r="BM189">
        <f t="shared" si="310"/>
        <v>0.0029</v>
      </c>
      <c r="BN189">
        <f t="shared" si="353"/>
        <v>7.01563219847919e-7</v>
      </c>
      <c r="BO189" s="217">
        <f t="shared" si="354"/>
        <v>0.0962269693709451</v>
      </c>
      <c r="BP189" s="220">
        <f t="shared" si="311"/>
        <v>69.6172524017666</v>
      </c>
      <c r="BQ189" s="217">
        <f t="shared" si="355"/>
        <v>0.427974638273511</v>
      </c>
      <c r="BT189" s="220">
        <f t="shared" si="312"/>
        <v>427.974638273511</v>
      </c>
      <c r="BU189" s="217">
        <f t="shared" si="313"/>
        <v>0.00647192070309706</v>
      </c>
      <c r="BV189" s="217">
        <f t="shared" si="314"/>
        <v>0.0263440254154143</v>
      </c>
      <c r="BW189" s="217">
        <f t="shared" si="315"/>
        <v>0</v>
      </c>
      <c r="BX189" s="217"/>
      <c r="BY189" s="217">
        <f t="shared" si="316"/>
        <v>0.00505125518290502</v>
      </c>
      <c r="BZ189" s="220">
        <f t="shared" si="317"/>
        <v>37.8672013014164</v>
      </c>
      <c r="CA189" s="5">
        <f t="shared" si="318"/>
        <v>0.535459091976694</v>
      </c>
      <c r="CB189" s="192">
        <f t="shared" si="319"/>
        <v>1.42066552019204</v>
      </c>
      <c r="CC189" s="5">
        <f t="shared" si="320"/>
        <v>0.726265346979589</v>
      </c>
      <c r="CD189" s="192">
        <f t="shared" si="321"/>
        <v>72.6265346979589</v>
      </c>
      <c r="CG189" s="227">
        <f t="shared" si="356"/>
        <v>-50</v>
      </c>
      <c r="CH189">
        <f t="shared" si="357"/>
        <v>-50</v>
      </c>
    </row>
    <row r="190" spans="5:86">
      <c r="E190" s="22">
        <v>80</v>
      </c>
      <c r="F190" s="25">
        <f t="shared" si="358"/>
        <v>0.4</v>
      </c>
      <c r="G190" s="25"/>
      <c r="H190" s="25">
        <f t="shared" si="322"/>
        <v>7.2</v>
      </c>
      <c r="I190" s="212">
        <f t="shared" si="323"/>
        <v>10</v>
      </c>
      <c r="J190" s="131">
        <f t="shared" si="324"/>
        <v>2.56327922189357</v>
      </c>
      <c r="K190" s="131">
        <f t="shared" si="325"/>
        <v>22.2728</v>
      </c>
      <c r="L190" s="131"/>
      <c r="M190" s="25">
        <f t="shared" si="326"/>
        <v>0.551021874214288</v>
      </c>
      <c r="N190" s="27">
        <f t="shared" si="327"/>
        <v>3.74915283215402</v>
      </c>
      <c r="O190" s="27">
        <f t="shared" si="262"/>
        <v>1.37719893366931</v>
      </c>
      <c r="P190" s="25">
        <f t="shared" si="328"/>
        <v>0.208286268453001</v>
      </c>
      <c r="Q190" s="25">
        <f t="shared" si="329"/>
        <v>9.37288208038504</v>
      </c>
      <c r="R190" s="25"/>
      <c r="S190" s="27">
        <f t="shared" si="330"/>
        <v>3.44299733417327</v>
      </c>
      <c r="T190" s="195">
        <f t="shared" si="331"/>
        <v>3.44299733417327</v>
      </c>
      <c r="U190" s="25">
        <f t="shared" si="332"/>
        <v>1.5</v>
      </c>
      <c r="V190" s="25">
        <f t="shared" si="333"/>
        <v>3.75</v>
      </c>
      <c r="W190" s="25">
        <f t="shared" si="334"/>
        <v>14.6296976465551</v>
      </c>
      <c r="X190" s="24">
        <f t="shared" si="335"/>
        <v>272.039295539617</v>
      </c>
      <c r="Y190" s="131">
        <f t="shared" si="303"/>
        <v>54.4078591079233</v>
      </c>
      <c r="AA190" s="25">
        <f t="shared" si="336"/>
        <v>0.3</v>
      </c>
      <c r="AB190" s="5">
        <f t="shared" si="337"/>
        <v>2.92593952931102</v>
      </c>
      <c r="AC190" s="5">
        <f t="shared" si="338"/>
        <v>0.079636851360946</v>
      </c>
      <c r="AD190" s="5"/>
      <c r="AE190" s="5">
        <f t="shared" si="339"/>
        <v>2.92593952931102</v>
      </c>
      <c r="AF190" s="216">
        <f t="shared" si="340"/>
        <v>1366.3990521505</v>
      </c>
      <c r="AG190" s="217">
        <f t="shared" si="341"/>
        <v>0.079636851360946</v>
      </c>
      <c r="AI190" s="5">
        <f t="shared" si="342"/>
        <v>0.592756068098228</v>
      </c>
      <c r="AJ190" s="5">
        <f t="shared" si="343"/>
        <v>1.5</v>
      </c>
      <c r="AK190" s="5">
        <f t="shared" si="344"/>
        <v>2</v>
      </c>
      <c r="AM190" s="216">
        <f t="shared" si="345"/>
        <v>400</v>
      </c>
      <c r="AN190" s="220">
        <f t="shared" si="346"/>
        <v>54.4078591079233</v>
      </c>
      <c r="AP190" t="str">
        <f t="shared" si="347"/>
        <v/>
      </c>
      <c r="AQ190" t="str">
        <f t="shared" si="348"/>
        <v/>
      </c>
      <c r="AS190" s="192">
        <f t="shared" si="263"/>
        <v>18.3796976465551</v>
      </c>
      <c r="AT190" s="192">
        <f t="shared" si="349"/>
        <v>3.75</v>
      </c>
      <c r="AU190" s="192">
        <f t="shared" si="304"/>
        <v>14.6296976465551</v>
      </c>
      <c r="AV190" s="192"/>
      <c r="AW190" s="5">
        <f t="shared" si="305"/>
        <v>0.204029471654713</v>
      </c>
      <c r="AX190" s="5">
        <f t="shared" si="259"/>
        <v>1.53022103741034</v>
      </c>
      <c r="AY190" s="5">
        <f t="shared" si="260"/>
        <v>0.39818425680473</v>
      </c>
      <c r="AZ190" s="5">
        <f t="shared" si="264"/>
        <v>3.84299733417327</v>
      </c>
      <c r="BA190" s="220">
        <f t="shared" si="350"/>
        <v>5.22063553448612</v>
      </c>
      <c r="BB190" s="220">
        <f t="shared" si="351"/>
        <v>136.677951742406</v>
      </c>
      <c r="BC190" s="192">
        <f t="shared" si="359"/>
        <v>19.5062635287401</v>
      </c>
      <c r="BD190" s="220">
        <f t="shared" si="352"/>
        <v>22.8457374209343</v>
      </c>
      <c r="BF190" s="5">
        <f t="shared" si="265"/>
        <v>0.391180397950913</v>
      </c>
      <c r="BG190" s="5">
        <f t="shared" si="261"/>
        <v>0.515353179177887</v>
      </c>
      <c r="BI190" s="217">
        <f t="shared" si="306"/>
        <v>0.053557736309362</v>
      </c>
      <c r="BJ190" s="217">
        <f t="shared" si="307"/>
        <v>0.00908861523254216</v>
      </c>
      <c r="BK190" s="217">
        <f t="shared" si="308"/>
        <v>0.000680098238849042</v>
      </c>
      <c r="BL190" s="217">
        <f t="shared" si="309"/>
        <v>0.00134952606234243</v>
      </c>
      <c r="BM190">
        <f t="shared" si="310"/>
        <v>0.0029</v>
      </c>
      <c r="BN190">
        <f t="shared" si="353"/>
        <v>6.80098238849042e-7</v>
      </c>
      <c r="BO190" s="217">
        <f t="shared" si="354"/>
        <v>0.0932828484508139</v>
      </c>
      <c r="BP190" s="220">
        <f t="shared" si="311"/>
        <v>67.5759758430957</v>
      </c>
      <c r="BQ190" s="217">
        <f t="shared" si="355"/>
        <v>0.432639436043679</v>
      </c>
      <c r="BT190" s="220">
        <f t="shared" si="312"/>
        <v>432.639436043679</v>
      </c>
      <c r="BU190" s="217">
        <f t="shared" si="313"/>
        <v>0.00627390625338241</v>
      </c>
      <c r="BV190" s="217">
        <f t="shared" si="314"/>
        <v>0.0265588899288755</v>
      </c>
      <c r="BW190" s="217">
        <f t="shared" si="315"/>
        <v>0</v>
      </c>
      <c r="BX190" s="217"/>
      <c r="BY190" s="217">
        <f t="shared" si="316"/>
        <v>0.0048967073197131</v>
      </c>
      <c r="BZ190" s="220">
        <f t="shared" si="317"/>
        <v>37.729503501971</v>
      </c>
      <c r="CA190" s="5">
        <f t="shared" si="318"/>
        <v>0.537944915388746</v>
      </c>
      <c r="CB190" s="192">
        <f t="shared" si="319"/>
        <v>1.37719893366931</v>
      </c>
      <c r="CC190" s="5">
        <f t="shared" si="320"/>
        <v>0.719109916650215</v>
      </c>
      <c r="CD190" s="192">
        <f t="shared" si="321"/>
        <v>71.9109916650215</v>
      </c>
      <c r="CG190" s="227">
        <f t="shared" si="356"/>
        <v>-50</v>
      </c>
      <c r="CH190">
        <f t="shared" si="357"/>
        <v>-50</v>
      </c>
    </row>
    <row r="191" spans="5:86">
      <c r="E191" s="22">
        <v>81</v>
      </c>
      <c r="F191" s="25">
        <f t="shared" si="358"/>
        <v>0.405</v>
      </c>
      <c r="G191" s="25"/>
      <c r="H191" s="25">
        <f t="shared" si="322"/>
        <v>7.29</v>
      </c>
      <c r="I191" s="212">
        <f t="shared" si="323"/>
        <v>10</v>
      </c>
      <c r="J191" s="131">
        <f t="shared" si="324"/>
        <v>2.46556957279977</v>
      </c>
      <c r="K191" s="131">
        <f t="shared" si="325"/>
        <v>22.2728</v>
      </c>
      <c r="L191" s="131"/>
      <c r="M191" s="25">
        <f t="shared" si="326"/>
        <v>0.551021874214288</v>
      </c>
      <c r="N191" s="27">
        <f t="shared" si="327"/>
        <v>3.74915283215402</v>
      </c>
      <c r="O191" s="27">
        <f t="shared" si="262"/>
        <v>1.33508497298937</v>
      </c>
      <c r="P191" s="25">
        <f t="shared" si="328"/>
        <v>0.208286268453001</v>
      </c>
      <c r="Q191" s="25">
        <f t="shared" si="329"/>
        <v>9.25716748680004</v>
      </c>
      <c r="R191" s="25"/>
      <c r="S191" s="27">
        <f t="shared" si="330"/>
        <v>3.29650610614659</v>
      </c>
      <c r="T191" s="195">
        <f t="shared" si="331"/>
        <v>3.29650610614659</v>
      </c>
      <c r="U191" s="25">
        <f t="shared" si="332"/>
        <v>1.5</v>
      </c>
      <c r="V191" s="25">
        <f t="shared" si="333"/>
        <v>3.75</v>
      </c>
      <c r="W191" s="25">
        <f t="shared" si="334"/>
        <v>15.2094673838049</v>
      </c>
      <c r="X191" s="24">
        <f t="shared" si="335"/>
        <v>263.720488491727</v>
      </c>
      <c r="Y191" s="131">
        <f t="shared" si="303"/>
        <v>52.7440976983454</v>
      </c>
      <c r="AA191" s="25">
        <f t="shared" si="336"/>
        <v>0.3</v>
      </c>
      <c r="AB191" s="5">
        <f t="shared" si="337"/>
        <v>3.04189347676098</v>
      </c>
      <c r="AC191" s="5">
        <f t="shared" si="338"/>
        <v>0.080261073844802</v>
      </c>
      <c r="AD191" s="5"/>
      <c r="AE191" s="5">
        <f t="shared" si="339"/>
        <v>3.04189347676098</v>
      </c>
      <c r="AF191" s="216">
        <f t="shared" si="340"/>
        <v>1330.74219821277</v>
      </c>
      <c r="AG191" s="217">
        <f t="shared" si="341"/>
        <v>0.080261073844802</v>
      </c>
      <c r="AI191" s="5">
        <f t="shared" si="342"/>
        <v>0.584970812065866</v>
      </c>
      <c r="AJ191" s="5">
        <f t="shared" si="343"/>
        <v>1.5</v>
      </c>
      <c r="AK191" s="5">
        <f t="shared" si="344"/>
        <v>2</v>
      </c>
      <c r="AM191" s="216">
        <f t="shared" si="345"/>
        <v>405</v>
      </c>
      <c r="AN191" s="220">
        <f t="shared" si="346"/>
        <v>52.7440976983454</v>
      </c>
      <c r="AP191" t="str">
        <f t="shared" si="347"/>
        <v/>
      </c>
      <c r="AQ191" t="str">
        <f t="shared" si="348"/>
        <v/>
      </c>
      <c r="AS191" s="192">
        <f t="shared" si="263"/>
        <v>18.9594673838049</v>
      </c>
      <c r="AT191" s="192">
        <f t="shared" si="349"/>
        <v>3.75</v>
      </c>
      <c r="AU191" s="192">
        <f t="shared" si="304"/>
        <v>15.2094673838049</v>
      </c>
      <c r="AV191" s="192"/>
      <c r="AW191" s="5">
        <f t="shared" si="305"/>
        <v>0.197790366368795</v>
      </c>
      <c r="AX191" s="5">
        <f t="shared" si="259"/>
        <v>1.48342774776596</v>
      </c>
      <c r="AY191" s="5">
        <f t="shared" si="260"/>
        <v>0.40130536922401</v>
      </c>
      <c r="AZ191" s="5">
        <f t="shared" si="264"/>
        <v>3.69650610614659</v>
      </c>
      <c r="BA191" s="220">
        <f t="shared" si="350"/>
        <v>5.22063553448612</v>
      </c>
      <c r="BB191" s="220">
        <f t="shared" si="351"/>
        <v>140.101068965926</v>
      </c>
      <c r="BC191" s="192">
        <f t="shared" si="359"/>
        <v>20.5327809681366</v>
      </c>
      <c r="BD191" s="220">
        <f t="shared" si="352"/>
        <v>23.0071742702074</v>
      </c>
      <c r="BF191" s="5">
        <f t="shared" si="265"/>
        <v>0.385152923884262</v>
      </c>
      <c r="BG191" s="5">
        <f t="shared" si="261"/>
        <v>0.517368999141246</v>
      </c>
      <c r="BI191" s="217">
        <f t="shared" si="306"/>
        <v>0.0519199711718088</v>
      </c>
      <c r="BJ191" s="217">
        <f t="shared" si="307"/>
        <v>0.00881069054411781</v>
      </c>
      <c r="BK191" s="217">
        <f t="shared" si="308"/>
        <v>0.000659301221229318</v>
      </c>
      <c r="BL191" s="217">
        <f t="shared" si="309"/>
        <v>0.00130825832234018</v>
      </c>
      <c r="BM191">
        <f t="shared" si="310"/>
        <v>0.0029</v>
      </c>
      <c r="BN191">
        <f t="shared" si="353"/>
        <v>6.59301221229318e-7</v>
      </c>
      <c r="BO191" s="217">
        <f t="shared" si="354"/>
        <v>0.0904358456421497</v>
      </c>
      <c r="BP191" s="220">
        <f t="shared" si="311"/>
        <v>65.5982212594961</v>
      </c>
      <c r="BQ191" s="217">
        <f t="shared" si="355"/>
        <v>0.437261805801411</v>
      </c>
      <c r="BT191" s="220">
        <f t="shared" si="312"/>
        <v>437.261805801411</v>
      </c>
      <c r="BU191" s="217">
        <f t="shared" si="313"/>
        <v>0.00608205376584046</v>
      </c>
      <c r="BV191" s="217">
        <f t="shared" si="314"/>
        <v>0.0267670681272415</v>
      </c>
      <c r="BW191" s="217">
        <f t="shared" si="315"/>
        <v>0</v>
      </c>
      <c r="BX191" s="217"/>
      <c r="BY191" s="217">
        <f t="shared" si="316"/>
        <v>0.00474696879285109</v>
      </c>
      <c r="BZ191" s="220">
        <f t="shared" si="317"/>
        <v>37.596090685933</v>
      </c>
      <c r="CA191" s="5">
        <f t="shared" si="318"/>
        <v>0.54045611774684</v>
      </c>
      <c r="CB191" s="192">
        <f t="shared" si="319"/>
        <v>1.33508497298937</v>
      </c>
      <c r="CC191" s="5">
        <f t="shared" si="320"/>
        <v>0.711839894942161</v>
      </c>
      <c r="CD191" s="192">
        <f t="shared" si="321"/>
        <v>71.1839894942161</v>
      </c>
      <c r="CG191" s="227">
        <f t="shared" si="356"/>
        <v>-50</v>
      </c>
      <c r="CH191">
        <f t="shared" si="357"/>
        <v>-50</v>
      </c>
    </row>
    <row r="192" spans="5:86">
      <c r="E192" s="22">
        <v>82</v>
      </c>
      <c r="F192" s="25">
        <f t="shared" si="358"/>
        <v>0.41</v>
      </c>
      <c r="G192" s="25"/>
      <c r="H192" s="25">
        <f t="shared" si="322"/>
        <v>7.38</v>
      </c>
      <c r="I192" s="212">
        <f t="shared" si="323"/>
        <v>10</v>
      </c>
      <c r="J192" s="131">
        <f t="shared" si="324"/>
        <v>2.37246588954686</v>
      </c>
      <c r="K192" s="131">
        <f t="shared" si="325"/>
        <v>22.2728</v>
      </c>
      <c r="L192" s="131"/>
      <c r="M192" s="25">
        <f t="shared" si="326"/>
        <v>0.551021874214288</v>
      </c>
      <c r="N192" s="27">
        <f t="shared" si="327"/>
        <v>3.74915283215402</v>
      </c>
      <c r="O192" s="27">
        <f t="shared" si="262"/>
        <v>1.29433735339462</v>
      </c>
      <c r="P192" s="25">
        <f t="shared" si="328"/>
        <v>0.208286268453001</v>
      </c>
      <c r="Q192" s="25">
        <f t="shared" si="329"/>
        <v>9.14427520037565</v>
      </c>
      <c r="R192" s="25"/>
      <c r="S192" s="27">
        <f t="shared" si="330"/>
        <v>3.15692037413322</v>
      </c>
      <c r="T192" s="195">
        <f t="shared" si="331"/>
        <v>3.15692037413322</v>
      </c>
      <c r="U192" s="25">
        <f t="shared" si="332"/>
        <v>1.5</v>
      </c>
      <c r="V192" s="25">
        <f t="shared" si="333"/>
        <v>3.75</v>
      </c>
      <c r="W192" s="25">
        <f t="shared" si="334"/>
        <v>15.8063389510576</v>
      </c>
      <c r="X192" s="24">
        <f t="shared" si="335"/>
        <v>255.671575979184</v>
      </c>
      <c r="Y192" s="131">
        <f t="shared" si="303"/>
        <v>51.1343151958368</v>
      </c>
      <c r="AA192" s="25">
        <f t="shared" si="336"/>
        <v>0.3</v>
      </c>
      <c r="AB192" s="5">
        <f t="shared" si="337"/>
        <v>3.16126779021152</v>
      </c>
      <c r="AC192" s="5">
        <f t="shared" si="338"/>
        <v>0.080865044117462</v>
      </c>
      <c r="AD192" s="5"/>
      <c r="AE192" s="5">
        <f t="shared" si="339"/>
        <v>3.16126779021152</v>
      </c>
      <c r="AF192" s="216">
        <f t="shared" si="340"/>
        <v>1296.29986968411</v>
      </c>
      <c r="AG192" s="217">
        <f t="shared" si="341"/>
        <v>0.080865044117462</v>
      </c>
      <c r="AI192" s="5">
        <f t="shared" si="342"/>
        <v>0.577351064954837</v>
      </c>
      <c r="AJ192" s="5">
        <f t="shared" si="343"/>
        <v>1.5</v>
      </c>
      <c r="AK192" s="5">
        <f t="shared" si="344"/>
        <v>2</v>
      </c>
      <c r="AM192" s="216">
        <f t="shared" si="345"/>
        <v>410</v>
      </c>
      <c r="AN192" s="220">
        <f t="shared" si="346"/>
        <v>51.1343151958368</v>
      </c>
      <c r="AP192" t="str">
        <f t="shared" si="347"/>
        <v/>
      </c>
      <c r="AQ192" t="str">
        <f t="shared" si="348"/>
        <v/>
      </c>
      <c r="AS192" s="192">
        <f t="shared" si="263"/>
        <v>19.5563389510576</v>
      </c>
      <c r="AT192" s="192">
        <f t="shared" si="349"/>
        <v>3.75</v>
      </c>
      <c r="AU192" s="192">
        <f t="shared" si="304"/>
        <v>15.8063389510576</v>
      </c>
      <c r="AV192" s="192"/>
      <c r="AW192" s="5">
        <f t="shared" si="305"/>
        <v>0.191753681984388</v>
      </c>
      <c r="AX192" s="5">
        <f t="shared" si="259"/>
        <v>1.43815261488291</v>
      </c>
      <c r="AY192" s="5">
        <f t="shared" si="260"/>
        <v>0.40432522058731</v>
      </c>
      <c r="AZ192" s="5">
        <f t="shared" si="264"/>
        <v>3.55692037413322</v>
      </c>
      <c r="BA192" s="220">
        <f t="shared" si="350"/>
        <v>5.22063553448612</v>
      </c>
      <c r="BB192" s="220">
        <f t="shared" si="351"/>
        <v>143.566523049365</v>
      </c>
      <c r="BC192" s="192">
        <f t="shared" si="359"/>
        <v>21.6019965664454</v>
      </c>
      <c r="BD192" s="220">
        <f t="shared" si="352"/>
        <v>23.163373478654</v>
      </c>
      <c r="BF192" s="5">
        <f t="shared" si="265"/>
        <v>0.379229826738735</v>
      </c>
      <c r="BG192" s="5">
        <f t="shared" si="261"/>
        <v>0.519311969948446</v>
      </c>
      <c r="BI192" s="217">
        <f t="shared" si="306"/>
        <v>0.0503353415209019</v>
      </c>
      <c r="BJ192" s="217">
        <f t="shared" si="307"/>
        <v>0.00854178281620376</v>
      </c>
      <c r="BK192" s="217">
        <f t="shared" si="308"/>
        <v>0.00063917893994796</v>
      </c>
      <c r="BL192" s="217">
        <f t="shared" si="309"/>
        <v>0.00126832946872495</v>
      </c>
      <c r="BM192">
        <f t="shared" si="310"/>
        <v>0.0029</v>
      </c>
      <c r="BN192">
        <f t="shared" si="353"/>
        <v>6.3917893994796e-7</v>
      </c>
      <c r="BO192" s="217">
        <f t="shared" si="354"/>
        <v>0.087686349238708</v>
      </c>
      <c r="BP192" s="220">
        <f t="shared" si="311"/>
        <v>63.6846327457785</v>
      </c>
      <c r="BQ192" s="217">
        <f t="shared" si="355"/>
        <v>0.441841317338693</v>
      </c>
      <c r="BT192" s="220">
        <f t="shared" si="312"/>
        <v>441.841317338693</v>
      </c>
      <c r="BU192" s="217">
        <f t="shared" si="313"/>
        <v>0.00589642572101993</v>
      </c>
      <c r="BV192" s="217">
        <f t="shared" si="314"/>
        <v>0.0269684922131736</v>
      </c>
      <c r="BW192" s="217">
        <f t="shared" si="315"/>
        <v>0</v>
      </c>
      <c r="BX192" s="217"/>
      <c r="BY192" s="217">
        <f t="shared" si="316"/>
        <v>0.00460208836762531</v>
      </c>
      <c r="BZ192" s="220">
        <f t="shared" si="317"/>
        <v>37.4670063018188</v>
      </c>
      <c r="CA192" s="5">
        <f t="shared" si="318"/>
        <v>0.54299295638629</v>
      </c>
      <c r="CB192" s="192">
        <f t="shared" si="319"/>
        <v>1.29433735339462</v>
      </c>
      <c r="CC192" s="5">
        <f t="shared" si="320"/>
        <v>0.704466337111132</v>
      </c>
      <c r="CD192" s="192">
        <f t="shared" si="321"/>
        <v>70.4466337111132</v>
      </c>
      <c r="CG192" s="227">
        <f t="shared" si="356"/>
        <v>-50</v>
      </c>
      <c r="CH192">
        <f t="shared" si="357"/>
        <v>-50</v>
      </c>
    </row>
    <row r="193" spans="5:86">
      <c r="E193" s="22">
        <v>83</v>
      </c>
      <c r="F193" s="25">
        <f t="shared" si="358"/>
        <v>0.415</v>
      </c>
      <c r="G193" s="25"/>
      <c r="H193" s="25">
        <f t="shared" si="322"/>
        <v>7.47</v>
      </c>
      <c r="I193" s="212">
        <f t="shared" si="323"/>
        <v>10</v>
      </c>
      <c r="J193" s="131">
        <f t="shared" si="324"/>
        <v>2.28381559484838</v>
      </c>
      <c r="K193" s="131">
        <f t="shared" si="325"/>
        <v>22.2728</v>
      </c>
      <c r="L193" s="131"/>
      <c r="M193" s="25">
        <f t="shared" si="326"/>
        <v>0.551021874214288</v>
      </c>
      <c r="N193" s="27">
        <f t="shared" si="327"/>
        <v>3.74915283215402</v>
      </c>
      <c r="O193" s="27">
        <f t="shared" si="262"/>
        <v>1.2549647254304</v>
      </c>
      <c r="P193" s="25">
        <f t="shared" si="328"/>
        <v>0.208286268453001</v>
      </c>
      <c r="Q193" s="25">
        <f t="shared" si="329"/>
        <v>9.03410321000968</v>
      </c>
      <c r="R193" s="25"/>
      <c r="S193" s="27">
        <f t="shared" si="330"/>
        <v>3.02401138657928</v>
      </c>
      <c r="T193" s="195">
        <f t="shared" si="331"/>
        <v>3.02401138657928</v>
      </c>
      <c r="U193" s="25">
        <f t="shared" si="332"/>
        <v>1.5</v>
      </c>
      <c r="V193" s="25">
        <f t="shared" si="333"/>
        <v>3.75</v>
      </c>
      <c r="W193" s="25">
        <f t="shared" si="334"/>
        <v>16.4198896288251</v>
      </c>
      <c r="X193" s="24">
        <f t="shared" si="335"/>
        <v>247.894266751684</v>
      </c>
      <c r="Y193" s="131">
        <f t="shared" si="303"/>
        <v>49.5788533503368</v>
      </c>
      <c r="AA193" s="25">
        <f t="shared" si="336"/>
        <v>0.3</v>
      </c>
      <c r="AB193" s="5">
        <f t="shared" si="337"/>
        <v>3.28397792576503</v>
      </c>
      <c r="AC193" s="5">
        <f t="shared" si="338"/>
        <v>0.0814486339586205</v>
      </c>
      <c r="AD193" s="5"/>
      <c r="AE193" s="5">
        <f t="shared" si="339"/>
        <v>3.28397792576503</v>
      </c>
      <c r="AF193" s="216">
        <f t="shared" si="340"/>
        <v>1263.07975593813</v>
      </c>
      <c r="AG193" s="217">
        <f t="shared" si="341"/>
        <v>0.0814486339586205</v>
      </c>
      <c r="AI193" s="5">
        <f t="shared" si="342"/>
        <v>0.569905200223014</v>
      </c>
      <c r="AJ193" s="5">
        <f t="shared" si="343"/>
        <v>1.5</v>
      </c>
      <c r="AK193" s="5">
        <f t="shared" si="344"/>
        <v>2</v>
      </c>
      <c r="AM193" s="216">
        <f t="shared" si="345"/>
        <v>415</v>
      </c>
      <c r="AN193" s="220">
        <f t="shared" si="346"/>
        <v>49.5788533503368</v>
      </c>
      <c r="AP193" t="str">
        <f t="shared" si="347"/>
        <v/>
      </c>
      <c r="AQ193" t="str">
        <f t="shared" si="348"/>
        <v/>
      </c>
      <c r="AS193" s="192">
        <f t="shared" si="263"/>
        <v>20.1698896288251</v>
      </c>
      <c r="AT193" s="192">
        <f t="shared" si="349"/>
        <v>3.75</v>
      </c>
      <c r="AU193" s="192">
        <f t="shared" si="304"/>
        <v>16.4198896288251</v>
      </c>
      <c r="AV193" s="192"/>
      <c r="AW193" s="5">
        <f t="shared" si="305"/>
        <v>0.185920700063763</v>
      </c>
      <c r="AX193" s="5">
        <f t="shared" si="259"/>
        <v>1.39440525047822</v>
      </c>
      <c r="AY193" s="5">
        <f t="shared" si="260"/>
        <v>0.407243169793103</v>
      </c>
      <c r="AZ193" s="5">
        <f t="shared" si="264"/>
        <v>3.42401138657928</v>
      </c>
      <c r="BA193" s="220">
        <f t="shared" si="350"/>
        <v>5.22063553448612</v>
      </c>
      <c r="BB193" s="220">
        <f t="shared" si="351"/>
        <v>147.074313992724</v>
      </c>
      <c r="BC193" s="192">
        <f t="shared" si="359"/>
        <v>22.7141806532081</v>
      </c>
      <c r="BD193" s="220">
        <f t="shared" si="352"/>
        <v>23.3143018858501</v>
      </c>
      <c r="BF193" s="5">
        <f t="shared" si="265"/>
        <v>0.373417360399623</v>
      </c>
      <c r="BG193" s="5">
        <f t="shared" si="261"/>
        <v>0.521182496110527</v>
      </c>
      <c r="BI193" s="217">
        <f t="shared" si="306"/>
        <v>0.0488041837667377</v>
      </c>
      <c r="BJ193" s="217">
        <f t="shared" si="307"/>
        <v>0.00828194913676035</v>
      </c>
      <c r="BK193" s="217">
        <f t="shared" si="308"/>
        <v>0.000619735666879209</v>
      </c>
      <c r="BL193" s="217">
        <f t="shared" si="309"/>
        <v>0.00122974797822157</v>
      </c>
      <c r="BM193">
        <f t="shared" si="310"/>
        <v>0.0029</v>
      </c>
      <c r="BN193">
        <f t="shared" si="353"/>
        <v>6.19735666879209e-7</v>
      </c>
      <c r="BO193" s="217">
        <f t="shared" si="354"/>
        <v>0.0850344197849938</v>
      </c>
      <c r="BP193" s="220">
        <f t="shared" si="311"/>
        <v>61.8356165485989</v>
      </c>
      <c r="BQ193" s="217">
        <f t="shared" si="355"/>
        <v>0.446377699312606</v>
      </c>
      <c r="BT193" s="220">
        <f t="shared" si="312"/>
        <v>446.377699312606</v>
      </c>
      <c r="BU193" s="217">
        <f t="shared" si="313"/>
        <v>0.00571706152696071</v>
      </c>
      <c r="BV193" s="217">
        <f t="shared" si="314"/>
        <v>0.0271631194252</v>
      </c>
      <c r="BW193" s="217">
        <f t="shared" si="315"/>
        <v>0</v>
      </c>
      <c r="BX193" s="217"/>
      <c r="BY193" s="217">
        <f t="shared" si="316"/>
        <v>0.00446209680153031</v>
      </c>
      <c r="BZ193" s="220">
        <f t="shared" si="317"/>
        <v>37.342277753691</v>
      </c>
      <c r="CA193" s="5">
        <f t="shared" si="318"/>
        <v>0.545555593614896</v>
      </c>
      <c r="CB193" s="192">
        <f t="shared" si="319"/>
        <v>1.2549647254304</v>
      </c>
      <c r="CC193" s="5">
        <f t="shared" si="320"/>
        <v>0.697001145810912</v>
      </c>
      <c r="CD193" s="192">
        <f t="shared" si="321"/>
        <v>69.7001145810912</v>
      </c>
      <c r="CG193" s="227">
        <f t="shared" si="356"/>
        <v>-50</v>
      </c>
      <c r="CH193">
        <f t="shared" si="357"/>
        <v>-50</v>
      </c>
    </row>
    <row r="194" spans="5:86">
      <c r="E194" s="22">
        <v>84</v>
      </c>
      <c r="F194" s="25">
        <f t="shared" si="358"/>
        <v>0.42</v>
      </c>
      <c r="G194" s="25"/>
      <c r="H194" s="25">
        <f t="shared" si="322"/>
        <v>7.56</v>
      </c>
      <c r="I194" s="212">
        <f t="shared" si="323"/>
        <v>10</v>
      </c>
      <c r="J194" s="131">
        <f t="shared" si="324"/>
        <v>2.19946507401075</v>
      </c>
      <c r="K194" s="131">
        <f t="shared" si="325"/>
        <v>22.2728</v>
      </c>
      <c r="L194" s="131"/>
      <c r="M194" s="25">
        <f t="shared" si="326"/>
        <v>0.551021874214288</v>
      </c>
      <c r="N194" s="27">
        <f t="shared" si="327"/>
        <v>3.74915283215402</v>
      </c>
      <c r="O194" s="27">
        <f t="shared" si="262"/>
        <v>1.21697051137108</v>
      </c>
      <c r="P194" s="25">
        <f t="shared" si="328"/>
        <v>0.208286268453001</v>
      </c>
      <c r="Q194" s="25">
        <f t="shared" si="329"/>
        <v>8.92655436227147</v>
      </c>
      <c r="R194" s="25"/>
      <c r="S194" s="27">
        <f t="shared" si="330"/>
        <v>2.89754883659782</v>
      </c>
      <c r="T194" s="195">
        <f t="shared" si="331"/>
        <v>2.89754883659782</v>
      </c>
      <c r="U194" s="25">
        <f t="shared" si="332"/>
        <v>1.5</v>
      </c>
      <c r="V194" s="25">
        <f t="shared" si="333"/>
        <v>3.75</v>
      </c>
      <c r="W194" s="25">
        <f t="shared" si="334"/>
        <v>17.0496001246423</v>
      </c>
      <c r="X194" s="24">
        <f t="shared" si="335"/>
        <v>240.389236814041</v>
      </c>
      <c r="Y194" s="131">
        <f t="shared" si="303"/>
        <v>48.0778473628083</v>
      </c>
      <c r="AA194" s="25">
        <f t="shared" si="336"/>
        <v>0.3</v>
      </c>
      <c r="AB194" s="5">
        <f t="shared" si="337"/>
        <v>3.40992002492846</v>
      </c>
      <c r="AC194" s="5">
        <f t="shared" si="338"/>
        <v>0.0820117926425664</v>
      </c>
      <c r="AD194" s="5"/>
      <c r="AE194" s="5">
        <f t="shared" si="339"/>
        <v>3.40992002492846</v>
      </c>
      <c r="AF194" s="216">
        <f t="shared" si="340"/>
        <v>1231.08489899652</v>
      </c>
      <c r="AG194" s="217">
        <f t="shared" si="341"/>
        <v>0.0820117926425664</v>
      </c>
      <c r="AI194" s="5">
        <f t="shared" si="342"/>
        <v>0.562640816430332</v>
      </c>
      <c r="AJ194" s="5">
        <f t="shared" si="343"/>
        <v>1.5</v>
      </c>
      <c r="AK194" s="5">
        <f t="shared" si="344"/>
        <v>2</v>
      </c>
      <c r="AM194" s="216">
        <f t="shared" si="345"/>
        <v>420</v>
      </c>
      <c r="AN194" s="220">
        <f t="shared" si="346"/>
        <v>48.0778473628083</v>
      </c>
      <c r="AP194" t="str">
        <f t="shared" si="347"/>
        <v/>
      </c>
      <c r="AQ194" t="str">
        <f t="shared" si="348"/>
        <v/>
      </c>
      <c r="AS194" s="192">
        <f t="shared" si="263"/>
        <v>20.7996001246423</v>
      </c>
      <c r="AT194" s="192">
        <f t="shared" si="349"/>
        <v>3.75</v>
      </c>
      <c r="AU194" s="192">
        <f t="shared" si="304"/>
        <v>17.0496001246423</v>
      </c>
      <c r="AV194" s="192"/>
      <c r="AW194" s="5">
        <f t="shared" si="305"/>
        <v>0.180291927610531</v>
      </c>
      <c r="AX194" s="5">
        <f t="shared" si="259"/>
        <v>1.35218945707898</v>
      </c>
      <c r="AY194" s="5">
        <f t="shared" si="260"/>
        <v>0.410058963212832</v>
      </c>
      <c r="AZ194" s="5">
        <f t="shared" si="264"/>
        <v>3.29754883659782</v>
      </c>
      <c r="BA194" s="220">
        <f t="shared" si="350"/>
        <v>5.22063553448612</v>
      </c>
      <c r="BB194" s="220">
        <f t="shared" si="351"/>
        <v>150.624441796002</v>
      </c>
      <c r="BC194" s="192">
        <f t="shared" si="359"/>
        <v>23.8694401744992</v>
      </c>
      <c r="BD194" s="220">
        <f t="shared" si="352"/>
        <v>23.4599463730775</v>
      </c>
      <c r="BF194" s="5">
        <f t="shared" si="265"/>
        <v>0.36772128808093</v>
      </c>
      <c r="BG194" s="5">
        <f t="shared" si="261"/>
        <v>0.522981193221094</v>
      </c>
      <c r="BI194" s="217">
        <f t="shared" si="306"/>
        <v>0.0473266309977644</v>
      </c>
      <c r="BJ194" s="217">
        <f t="shared" si="307"/>
        <v>0.00803121209056767</v>
      </c>
      <c r="BK194" s="217">
        <f t="shared" si="308"/>
        <v>0.000600973092035103</v>
      </c>
      <c r="BL194" s="217">
        <f t="shared" si="309"/>
        <v>0.00119251720433864</v>
      </c>
      <c r="BM194">
        <f t="shared" si="310"/>
        <v>0.0029</v>
      </c>
      <c r="BN194">
        <f t="shared" si="353"/>
        <v>6.00973092035103e-7</v>
      </c>
      <c r="BO194" s="217">
        <f t="shared" si="354"/>
        <v>0.0824797823606564</v>
      </c>
      <c r="BP194" s="220">
        <f t="shared" si="311"/>
        <v>60.0513333847058</v>
      </c>
      <c r="BQ194" s="217">
        <f t="shared" si="355"/>
        <v>0.450870844376171</v>
      </c>
      <c r="BT194" s="220">
        <f t="shared" si="312"/>
        <v>450.870844376171</v>
      </c>
      <c r="BU194" s="217">
        <f t="shared" si="313"/>
        <v>0.00554397677402383</v>
      </c>
      <c r="BV194" s="217">
        <f t="shared" si="314"/>
        <v>0.0273509328462959</v>
      </c>
      <c r="BW194" s="217">
        <f t="shared" si="315"/>
        <v>0</v>
      </c>
      <c r="BX194" s="217"/>
      <c r="BY194" s="217">
        <f t="shared" si="316"/>
        <v>0.00432700626265274</v>
      </c>
      <c r="BZ194" s="220">
        <f t="shared" si="317"/>
        <v>37.2219158829725</v>
      </c>
      <c r="CA194" s="5">
        <f t="shared" si="318"/>
        <v>0.548144093643849</v>
      </c>
      <c r="CB194" s="192">
        <f t="shared" si="319"/>
        <v>1.21697051137108</v>
      </c>
      <c r="CC194" s="5">
        <f t="shared" si="320"/>
        <v>0.689456938327689</v>
      </c>
      <c r="CD194" s="192">
        <f t="shared" si="321"/>
        <v>68.9456938327689</v>
      </c>
      <c r="CG194" s="227">
        <f t="shared" si="356"/>
        <v>-50</v>
      </c>
      <c r="CH194">
        <f t="shared" si="357"/>
        <v>-50</v>
      </c>
    </row>
    <row r="195" spans="5:86">
      <c r="E195" s="22">
        <v>85</v>
      </c>
      <c r="F195" s="25">
        <f t="shared" si="358"/>
        <v>0.425</v>
      </c>
      <c r="G195" s="25"/>
      <c r="H195" s="25">
        <f t="shared" si="322"/>
        <v>7.65</v>
      </c>
      <c r="I195" s="212">
        <f t="shared" si="323"/>
        <v>10</v>
      </c>
      <c r="J195" s="131">
        <f t="shared" si="324"/>
        <v>2.11925963340622</v>
      </c>
      <c r="K195" s="131">
        <f t="shared" si="325"/>
        <v>22.2728</v>
      </c>
      <c r="L195" s="131"/>
      <c r="M195" s="25">
        <f t="shared" si="326"/>
        <v>0.551021874214288</v>
      </c>
      <c r="N195" s="27">
        <f t="shared" si="327"/>
        <v>3.74915283215402</v>
      </c>
      <c r="O195" s="27">
        <f t="shared" si="262"/>
        <v>1.18035283987653</v>
      </c>
      <c r="P195" s="25">
        <f t="shared" si="328"/>
        <v>0.208286268453001</v>
      </c>
      <c r="Q195" s="25">
        <f t="shared" si="329"/>
        <v>8.82153607565651</v>
      </c>
      <c r="R195" s="25"/>
      <c r="S195" s="27">
        <f t="shared" si="330"/>
        <v>2.77730079970948</v>
      </c>
      <c r="T195" s="195">
        <f t="shared" si="331"/>
        <v>2.77730079970948</v>
      </c>
      <c r="U195" s="25">
        <f t="shared" si="332"/>
        <v>1.5</v>
      </c>
      <c r="V195" s="25">
        <f t="shared" si="333"/>
        <v>3.75</v>
      </c>
      <c r="W195" s="25">
        <f t="shared" si="334"/>
        <v>17.6948588124275</v>
      </c>
      <c r="X195" s="24">
        <f t="shared" si="335"/>
        <v>233.15611651882</v>
      </c>
      <c r="Y195" s="131">
        <f t="shared" si="303"/>
        <v>46.6312233037641</v>
      </c>
      <c r="AA195" s="25">
        <f t="shared" si="336"/>
        <v>0.3</v>
      </c>
      <c r="AB195" s="5">
        <f t="shared" si="337"/>
        <v>3.5389717624855</v>
      </c>
      <c r="AC195" s="5">
        <f t="shared" si="338"/>
        <v>0.082554547906719</v>
      </c>
      <c r="AD195" s="5"/>
      <c r="AE195" s="5">
        <f t="shared" si="339"/>
        <v>3.5389717624855</v>
      </c>
      <c r="AF195" s="216">
        <f t="shared" si="340"/>
        <v>1200.3136354458</v>
      </c>
      <c r="AG195" s="217">
        <f t="shared" si="341"/>
        <v>0.082554547906719</v>
      </c>
      <c r="AI195" s="5">
        <f t="shared" si="342"/>
        <v>0.555564647620836</v>
      </c>
      <c r="AJ195" s="5">
        <f t="shared" si="343"/>
        <v>1.5</v>
      </c>
      <c r="AK195" s="5">
        <f t="shared" si="344"/>
        <v>2</v>
      </c>
      <c r="AM195" s="216">
        <f t="shared" si="345"/>
        <v>425</v>
      </c>
      <c r="AN195" s="220">
        <f t="shared" si="346"/>
        <v>46.6312233037641</v>
      </c>
      <c r="AP195" t="str">
        <f t="shared" si="347"/>
        <v/>
      </c>
      <c r="AQ195" t="str">
        <f t="shared" si="348"/>
        <v/>
      </c>
      <c r="AS195" s="192">
        <f t="shared" si="263"/>
        <v>21.4448588124275</v>
      </c>
      <c r="AT195" s="192">
        <f t="shared" si="349"/>
        <v>3.75</v>
      </c>
      <c r="AU195" s="192">
        <f t="shared" si="304"/>
        <v>17.6948588124275</v>
      </c>
      <c r="AV195" s="192"/>
      <c r="AW195" s="5">
        <f t="shared" si="305"/>
        <v>0.174867087389115</v>
      </c>
      <c r="AX195" s="5">
        <f t="shared" si="259"/>
        <v>1.31150315541837</v>
      </c>
      <c r="AY195" s="5">
        <f t="shared" si="260"/>
        <v>0.412772739533595</v>
      </c>
      <c r="AZ195" s="5">
        <f t="shared" si="264"/>
        <v>3.17730079970948</v>
      </c>
      <c r="BA195" s="220">
        <f t="shared" si="350"/>
        <v>5.22063553448612</v>
      </c>
      <c r="BB195" s="220">
        <f t="shared" si="351"/>
        <v>154.2169064592</v>
      </c>
      <c r="BC195" s="192">
        <f t="shared" si="359"/>
        <v>25.067716650939</v>
      </c>
      <c r="BD195" s="220">
        <f t="shared" si="352"/>
        <v>23.6003141138067</v>
      </c>
      <c r="BF195" s="5">
        <f t="shared" si="265"/>
        <v>0.362146814899478</v>
      </c>
      <c r="BG195" s="5">
        <f t="shared" si="261"/>
        <v>0.524708888116933</v>
      </c>
      <c r="BI195" s="217">
        <f t="shared" si="306"/>
        <v>0.0459026104396428</v>
      </c>
      <c r="BJ195" s="217">
        <f t="shared" si="307"/>
        <v>0.00778955932800058</v>
      </c>
      <c r="BK195" s="217">
        <f t="shared" si="308"/>
        <v>0.000582890291297051</v>
      </c>
      <c r="BL195" s="217">
        <f t="shared" si="309"/>
        <v>0.00115663531333794</v>
      </c>
      <c r="BM195">
        <f t="shared" si="310"/>
        <v>0.0029</v>
      </c>
      <c r="BN195">
        <f t="shared" si="353"/>
        <v>5.82890291297051e-7</v>
      </c>
      <c r="BO195" s="217">
        <f t="shared" si="354"/>
        <v>0.0800218252274394</v>
      </c>
      <c r="BP195" s="220">
        <f t="shared" si="311"/>
        <v>58.3316953722783</v>
      </c>
      <c r="BQ195" s="217">
        <f t="shared" si="355"/>
        <v>0.455320811227985</v>
      </c>
      <c r="BT195" s="220">
        <f t="shared" si="312"/>
        <v>455.320811227985</v>
      </c>
      <c r="BU195" s="217">
        <f t="shared" si="313"/>
        <v>0.0053771629372153</v>
      </c>
      <c r="BV195" s="217">
        <f t="shared" si="314"/>
        <v>0.0275319417268908</v>
      </c>
      <c r="BW195" s="217">
        <f t="shared" si="315"/>
        <v>0</v>
      </c>
      <c r="BX195" s="217"/>
      <c r="BY195" s="217">
        <f t="shared" si="316"/>
        <v>0.00419681009733877</v>
      </c>
      <c r="BZ195" s="220">
        <f t="shared" si="317"/>
        <v>37.1059147614449</v>
      </c>
      <c r="CA195" s="5">
        <f t="shared" si="318"/>
        <v>0.550758421361709</v>
      </c>
      <c r="CB195" s="192">
        <f t="shared" si="319"/>
        <v>1.18035283987653</v>
      </c>
      <c r="CC195" s="5">
        <f t="shared" si="320"/>
        <v>0.681846895867479</v>
      </c>
      <c r="CD195" s="192">
        <f t="shared" si="321"/>
        <v>68.1846895867479</v>
      </c>
      <c r="CG195" s="227">
        <f t="shared" si="356"/>
        <v>-50</v>
      </c>
      <c r="CH195">
        <f t="shared" si="357"/>
        <v>-50</v>
      </c>
    </row>
    <row r="196" spans="5:86">
      <c r="E196" s="22">
        <v>86</v>
      </c>
      <c r="F196" s="25">
        <f t="shared" si="358"/>
        <v>0.43</v>
      </c>
      <c r="G196" s="25"/>
      <c r="H196" s="25">
        <f t="shared" si="322"/>
        <v>7.74</v>
      </c>
      <c r="I196" s="212">
        <f t="shared" si="323"/>
        <v>10</v>
      </c>
      <c r="J196" s="131">
        <f t="shared" si="324"/>
        <v>2.04304361869456</v>
      </c>
      <c r="K196" s="131">
        <f t="shared" si="325"/>
        <v>22.2728</v>
      </c>
      <c r="L196" s="131"/>
      <c r="M196" s="25">
        <f t="shared" si="326"/>
        <v>0.551021874214288</v>
      </c>
      <c r="N196" s="27">
        <f t="shared" si="327"/>
        <v>3.74915283215402</v>
      </c>
      <c r="O196" s="27">
        <f t="shared" si="262"/>
        <v>1.14510458176711</v>
      </c>
      <c r="P196" s="25">
        <f t="shared" si="328"/>
        <v>0.208286268453001</v>
      </c>
      <c r="Q196" s="25">
        <f t="shared" si="329"/>
        <v>8.71896007477678</v>
      </c>
      <c r="R196" s="25"/>
      <c r="S196" s="27">
        <f t="shared" si="330"/>
        <v>2.6630339110863</v>
      </c>
      <c r="T196" s="195">
        <f t="shared" si="331"/>
        <v>2.6630339110863</v>
      </c>
      <c r="U196" s="25">
        <f t="shared" si="332"/>
        <v>1.5</v>
      </c>
      <c r="V196" s="25">
        <f t="shared" si="333"/>
        <v>3.75</v>
      </c>
      <c r="W196" s="25">
        <f t="shared" si="334"/>
        <v>18.3549678806962</v>
      </c>
      <c r="X196" s="24">
        <f t="shared" si="335"/>
        <v>226.193497633009</v>
      </c>
      <c r="Y196" s="131">
        <f t="shared" si="303"/>
        <v>45.2386995266019</v>
      </c>
      <c r="AA196" s="25">
        <f t="shared" si="336"/>
        <v>0.3</v>
      </c>
      <c r="AB196" s="5">
        <f t="shared" si="337"/>
        <v>3.67099357613923</v>
      </c>
      <c r="AC196" s="5">
        <f t="shared" si="338"/>
        <v>0.0830770054213631</v>
      </c>
      <c r="AD196" s="5"/>
      <c r="AE196" s="5">
        <f t="shared" si="339"/>
        <v>3.67099357613923</v>
      </c>
      <c r="AF196" s="216">
        <f t="shared" si="340"/>
        <v>1170.75962823743</v>
      </c>
      <c r="AG196" s="217">
        <f t="shared" si="341"/>
        <v>0.083077005421363</v>
      </c>
      <c r="AI196" s="5">
        <f t="shared" si="342"/>
        <v>0.548682490911166</v>
      </c>
      <c r="AJ196" s="5">
        <f t="shared" si="343"/>
        <v>1.5</v>
      </c>
      <c r="AK196" s="5">
        <f t="shared" si="344"/>
        <v>2</v>
      </c>
      <c r="AM196" s="216">
        <f t="shared" si="345"/>
        <v>430</v>
      </c>
      <c r="AN196" s="220">
        <f t="shared" si="346"/>
        <v>45.2386995266019</v>
      </c>
      <c r="AP196" t="str">
        <f t="shared" si="347"/>
        <v/>
      </c>
      <c r="AQ196" t="str">
        <f t="shared" si="348"/>
        <v/>
      </c>
      <c r="AS196" s="192">
        <f t="shared" si="263"/>
        <v>22.1049678806962</v>
      </c>
      <c r="AT196" s="192">
        <f t="shared" si="349"/>
        <v>3.75</v>
      </c>
      <c r="AU196" s="192">
        <f t="shared" si="304"/>
        <v>18.3549678806962</v>
      </c>
      <c r="AV196" s="192"/>
      <c r="AW196" s="5">
        <f t="shared" si="305"/>
        <v>0.169645123224757</v>
      </c>
      <c r="AX196" s="5">
        <f t="shared" si="259"/>
        <v>1.27233842418568</v>
      </c>
      <c r="AY196" s="5">
        <f t="shared" si="260"/>
        <v>0.415385027106815</v>
      </c>
      <c r="AZ196" s="5">
        <f t="shared" si="264"/>
        <v>3.0630339110863</v>
      </c>
      <c r="BA196" s="220">
        <f t="shared" si="350"/>
        <v>5.22063553448612</v>
      </c>
      <c r="BB196" s="220">
        <f t="shared" si="351"/>
        <v>157.851707982318</v>
      </c>
      <c r="BC196" s="192">
        <f t="shared" si="359"/>
        <v>26.3087872956645</v>
      </c>
      <c r="BD196" s="220">
        <f t="shared" si="352"/>
        <v>23.7354324365594</v>
      </c>
      <c r="BF196" s="5">
        <f t="shared" si="265"/>
        <v>0.356698531562113</v>
      </c>
      <c r="BG196" s="5">
        <f t="shared" si="261"/>
        <v>0.526366614709031</v>
      </c>
      <c r="BI196" s="217">
        <f t="shared" si="306"/>
        <v>0.0445318448464987</v>
      </c>
      <c r="BJ196" s="217">
        <f t="shared" si="307"/>
        <v>0.00755694380112074</v>
      </c>
      <c r="BK196" s="217">
        <f t="shared" si="308"/>
        <v>0.000565483744082524</v>
      </c>
      <c r="BL196" s="217">
        <f t="shared" si="309"/>
        <v>0.00112209531929068</v>
      </c>
      <c r="BM196">
        <f t="shared" si="310"/>
        <v>0.0029</v>
      </c>
      <c r="BN196">
        <f t="shared" si="353"/>
        <v>5.65483744082524e-7</v>
      </c>
      <c r="BO196" s="217">
        <f t="shared" si="354"/>
        <v>0.0776596049482117</v>
      </c>
      <c r="BP196" s="220">
        <f t="shared" si="311"/>
        <v>56.6763677109927</v>
      </c>
      <c r="BQ196" s="217">
        <f t="shared" si="355"/>
        <v>0.45972782349007</v>
      </c>
      <c r="BT196" s="220">
        <f t="shared" si="312"/>
        <v>459.72782349007</v>
      </c>
      <c r="BU196" s="217">
        <f t="shared" si="313"/>
        <v>0.00521658753916128</v>
      </c>
      <c r="BV196" s="217">
        <f t="shared" si="314"/>
        <v>0.0277061813080246</v>
      </c>
      <c r="BW196" s="217">
        <f t="shared" si="315"/>
        <v>0</v>
      </c>
      <c r="BX196" s="217"/>
      <c r="BY196" s="217">
        <f t="shared" si="316"/>
        <v>0.00407148295739417</v>
      </c>
      <c r="BZ196" s="220">
        <f t="shared" si="317"/>
        <v>36.9942518045801</v>
      </c>
      <c r="CA196" s="5">
        <f t="shared" si="318"/>
        <v>0.553398443005643</v>
      </c>
      <c r="CB196" s="192">
        <f t="shared" si="319"/>
        <v>1.14510458176711</v>
      </c>
      <c r="CC196" s="5">
        <f t="shared" si="320"/>
        <v>0.674184599653755</v>
      </c>
      <c r="CD196" s="192">
        <f t="shared" si="321"/>
        <v>67.4184599653755</v>
      </c>
      <c r="CG196" s="227">
        <f t="shared" si="356"/>
        <v>-50</v>
      </c>
      <c r="CH196">
        <f t="shared" si="357"/>
        <v>-50</v>
      </c>
    </row>
    <row r="197" spans="5:86">
      <c r="E197" s="22">
        <v>87</v>
      </c>
      <c r="F197" s="25">
        <f t="shared" si="358"/>
        <v>0.435</v>
      </c>
      <c r="G197" s="25"/>
      <c r="H197" s="25">
        <f t="shared" si="322"/>
        <v>7.83</v>
      </c>
      <c r="I197" s="212">
        <f t="shared" si="323"/>
        <v>10</v>
      </c>
      <c r="J197" s="131">
        <f t="shared" si="324"/>
        <v>1.9706606775112</v>
      </c>
      <c r="K197" s="131">
        <f t="shared" si="325"/>
        <v>22.2728</v>
      </c>
      <c r="L197" s="131"/>
      <c r="M197" s="25">
        <f t="shared" si="326"/>
        <v>0.551021874214288</v>
      </c>
      <c r="N197" s="27">
        <f t="shared" si="327"/>
        <v>3.74915283215402</v>
      </c>
      <c r="O197" s="27">
        <f t="shared" si="262"/>
        <v>1.11121348533339</v>
      </c>
      <c r="P197" s="25">
        <f t="shared" si="328"/>
        <v>0.208286268453001</v>
      </c>
      <c r="Q197" s="25">
        <f t="shared" si="329"/>
        <v>8.61874214288279</v>
      </c>
      <c r="R197" s="25"/>
      <c r="S197" s="27">
        <f t="shared" si="330"/>
        <v>2.55451375938711</v>
      </c>
      <c r="T197" s="195">
        <f t="shared" si="331"/>
        <v>2.55451375938711</v>
      </c>
      <c r="U197" s="25">
        <f t="shared" si="332"/>
        <v>1.5</v>
      </c>
      <c r="V197" s="25">
        <f t="shared" si="333"/>
        <v>3.75</v>
      </c>
      <c r="W197" s="25">
        <f t="shared" si="334"/>
        <v>19.0291512019003</v>
      </c>
      <c r="X197" s="24">
        <f t="shared" si="335"/>
        <v>219.498960065855</v>
      </c>
      <c r="Y197" s="131">
        <f t="shared" si="303"/>
        <v>43.8997920131711</v>
      </c>
      <c r="AA197" s="25">
        <f t="shared" si="336"/>
        <v>0.3</v>
      </c>
      <c r="AB197" s="5">
        <f t="shared" si="337"/>
        <v>3.80583024038006</v>
      </c>
      <c r="AC197" s="5">
        <f t="shared" si="338"/>
        <v>0.0835793467840584</v>
      </c>
      <c r="AD197" s="5"/>
      <c r="AE197" s="5">
        <f t="shared" si="339"/>
        <v>3.80583024038006</v>
      </c>
      <c r="AF197" s="216">
        <f t="shared" si="340"/>
        <v>1142.41198696302</v>
      </c>
      <c r="AG197" s="217">
        <f t="shared" si="341"/>
        <v>0.0835793467840584</v>
      </c>
      <c r="AI197" s="5">
        <f t="shared" si="342"/>
        <v>0.541999153469743</v>
      </c>
      <c r="AJ197" s="5">
        <f t="shared" si="343"/>
        <v>1.5</v>
      </c>
      <c r="AK197" s="5">
        <f t="shared" si="344"/>
        <v>2</v>
      </c>
      <c r="AM197" s="216">
        <f t="shared" si="345"/>
        <v>435</v>
      </c>
      <c r="AN197" s="220">
        <f t="shared" si="346"/>
        <v>43.8997920131711</v>
      </c>
      <c r="AP197" t="str">
        <f t="shared" si="347"/>
        <v/>
      </c>
      <c r="AQ197" t="str">
        <f t="shared" si="348"/>
        <v/>
      </c>
      <c r="AS197" s="192">
        <f t="shared" si="263"/>
        <v>22.7791512019003</v>
      </c>
      <c r="AT197" s="192">
        <f t="shared" si="349"/>
        <v>3.75</v>
      </c>
      <c r="AU197" s="192">
        <f t="shared" si="304"/>
        <v>19.0291512019003</v>
      </c>
      <c r="AV197" s="192"/>
      <c r="AW197" s="5">
        <f t="shared" si="305"/>
        <v>0.164624220049392</v>
      </c>
      <c r="AX197" s="5">
        <f t="shared" ref="AX197:AX210" si="360">0.5*L*AJ197^2*AN197*1000</f>
        <v>1.23468165037044</v>
      </c>
      <c r="AY197" s="5">
        <f t="shared" ref="AY197:AY210" si="361">AJ197*Nps/2*(1-AW197)</f>
        <v>0.417896733920292</v>
      </c>
      <c r="AZ197" s="5">
        <f t="shared" si="264"/>
        <v>2.95451375938711</v>
      </c>
      <c r="BA197" s="220">
        <f t="shared" si="350"/>
        <v>5.22063553448612</v>
      </c>
      <c r="BB197" s="220">
        <f t="shared" si="351"/>
        <v>161.528846365355</v>
      </c>
      <c r="BC197" s="192">
        <f t="shared" si="359"/>
        <v>27.5922692427555</v>
      </c>
      <c r="BD197" s="220">
        <f t="shared" si="352"/>
        <v>23.865348306222</v>
      </c>
      <c r="BF197" s="5">
        <f t="shared" si="265"/>
        <v>0.351380370876126</v>
      </c>
      <c r="BG197" s="5">
        <f t="shared" ref="BG197:BG210" si="362">AJ197*Nps*SQRT((1-AW197)/3)</f>
        <v>0.527955605638234</v>
      </c>
      <c r="BI197" s="217">
        <f t="shared" si="306"/>
        <v>0.0432138577629653</v>
      </c>
      <c r="BJ197" s="217">
        <f t="shared" si="307"/>
        <v>0.00733328465663217</v>
      </c>
      <c r="BK197" s="217">
        <f t="shared" si="308"/>
        <v>0.000548747400164638</v>
      </c>
      <c r="BL197" s="217">
        <f t="shared" si="309"/>
        <v>0.00108888521666825</v>
      </c>
      <c r="BM197">
        <f t="shared" si="310"/>
        <v>0.0029</v>
      </c>
      <c r="BN197">
        <f t="shared" si="353"/>
        <v>5.48747400164638e-7</v>
      </c>
      <c r="BO197" s="217">
        <f t="shared" si="354"/>
        <v>0.075391857800965</v>
      </c>
      <c r="BP197" s="220">
        <f t="shared" si="311"/>
        <v>55.0847750364304</v>
      </c>
      <c r="BQ197" s="217">
        <f t="shared" si="355"/>
        <v>0.464092265463584</v>
      </c>
      <c r="BT197" s="220">
        <f t="shared" si="312"/>
        <v>464.092265463584</v>
      </c>
      <c r="BU197" s="217">
        <f t="shared" si="313"/>
        <v>0.00506219476651879</v>
      </c>
      <c r="BV197" s="217">
        <f t="shared" si="314"/>
        <v>0.0278737121524835</v>
      </c>
      <c r="BW197" s="217">
        <f t="shared" si="315"/>
        <v>0</v>
      </c>
      <c r="BX197" s="217"/>
      <c r="BY197" s="217">
        <f t="shared" si="316"/>
        <v>0.0039509812811854</v>
      </c>
      <c r="BZ197" s="220">
        <f t="shared" si="317"/>
        <v>36.8868882001877</v>
      </c>
      <c r="CA197" s="5">
        <f t="shared" si="318"/>
        <v>0.556063928700202</v>
      </c>
      <c r="CB197" s="192">
        <f t="shared" si="319"/>
        <v>1.11121348533339</v>
      </c>
      <c r="CC197" s="5">
        <f t="shared" si="320"/>
        <v>0.666483859242756</v>
      </c>
      <c r="CD197" s="192">
        <f t="shared" si="321"/>
        <v>66.6483859242756</v>
      </c>
      <c r="CG197" s="227">
        <f t="shared" si="356"/>
        <v>-50</v>
      </c>
      <c r="CH197">
        <f t="shared" si="357"/>
        <v>-50</v>
      </c>
    </row>
    <row r="198" spans="5:86">
      <c r="E198" s="22">
        <v>88</v>
      </c>
      <c r="F198" s="25">
        <f t="shared" si="358"/>
        <v>0.44</v>
      </c>
      <c r="G198" s="25"/>
      <c r="H198" s="25">
        <f t="shared" si="322"/>
        <v>7.92</v>
      </c>
      <c r="I198" s="212">
        <f t="shared" si="323"/>
        <v>10</v>
      </c>
      <c r="J198" s="131">
        <f t="shared" si="324"/>
        <v>1.90195414613867</v>
      </c>
      <c r="K198" s="131">
        <f t="shared" si="325"/>
        <v>22.2728</v>
      </c>
      <c r="L198" s="131"/>
      <c r="M198" s="25">
        <f t="shared" si="326"/>
        <v>0.551021874214288</v>
      </c>
      <c r="N198" s="27">
        <f t="shared" si="327"/>
        <v>3.74915283215402</v>
      </c>
      <c r="O198" s="27">
        <f t="shared" ref="O198:O261" si="363">T198*F198</f>
        <v>1.0786624052489</v>
      </c>
      <c r="P198" s="25">
        <f t="shared" si="328"/>
        <v>0.208286268453001</v>
      </c>
      <c r="Q198" s="25">
        <f t="shared" si="329"/>
        <v>8.52080189125913</v>
      </c>
      <c r="R198" s="25"/>
      <c r="S198" s="27">
        <f t="shared" si="330"/>
        <v>2.45150546647476</v>
      </c>
      <c r="T198" s="195">
        <f t="shared" si="331"/>
        <v>2.45150546647476</v>
      </c>
      <c r="U198" s="25">
        <f t="shared" si="332"/>
        <v>1.5</v>
      </c>
      <c r="V198" s="25">
        <f t="shared" si="333"/>
        <v>3.75</v>
      </c>
      <c r="W198" s="25">
        <f t="shared" si="334"/>
        <v>19.7165636596088</v>
      </c>
      <c r="X198" s="24">
        <f t="shared" si="335"/>
        <v>213.069117086202</v>
      </c>
      <c r="Y198" s="131">
        <f t="shared" si="303"/>
        <v>42.6138234172403</v>
      </c>
      <c r="AA198" s="25">
        <f t="shared" si="336"/>
        <v>0.3</v>
      </c>
      <c r="AB198" s="5">
        <f t="shared" si="337"/>
        <v>3.94331273192177</v>
      </c>
      <c r="AC198" s="5">
        <f t="shared" si="338"/>
        <v>0.0840618261266441</v>
      </c>
      <c r="AD198" s="5"/>
      <c r="AE198" s="5">
        <f t="shared" si="339"/>
        <v>3.94331273192177</v>
      </c>
      <c r="AF198" s="216">
        <f t="shared" si="340"/>
        <v>1115.25547133235</v>
      </c>
      <c r="AG198" s="217">
        <f t="shared" si="341"/>
        <v>0.0840618261266441</v>
      </c>
      <c r="AI198" s="5">
        <f t="shared" si="342"/>
        <v>0.53551842017115</v>
      </c>
      <c r="AJ198" s="5">
        <f t="shared" si="343"/>
        <v>1.5</v>
      </c>
      <c r="AK198" s="5">
        <f t="shared" si="344"/>
        <v>2</v>
      </c>
      <c r="AM198" s="216">
        <f t="shared" si="345"/>
        <v>440</v>
      </c>
      <c r="AN198" s="220">
        <f t="shared" si="346"/>
        <v>42.6138234172403</v>
      </c>
      <c r="AP198" t="str">
        <f t="shared" si="347"/>
        <v/>
      </c>
      <c r="AQ198" t="str">
        <f t="shared" si="348"/>
        <v/>
      </c>
      <c r="AS198" s="192">
        <f t="shared" ref="AS198:AS262" si="364">1/AN198*1000</f>
        <v>23.4665636596088</v>
      </c>
      <c r="AT198" s="192">
        <f t="shared" si="349"/>
        <v>3.75</v>
      </c>
      <c r="AU198" s="192">
        <f t="shared" si="304"/>
        <v>19.7165636596088</v>
      </c>
      <c r="AV198" s="192"/>
      <c r="AW198" s="5">
        <f t="shared" si="305"/>
        <v>0.159801837814651</v>
      </c>
      <c r="AX198" s="5">
        <f t="shared" si="360"/>
        <v>1.19851378360988</v>
      </c>
      <c r="AY198" s="5">
        <f t="shared" si="361"/>
        <v>0.420309130633221</v>
      </c>
      <c r="AZ198" s="5">
        <f t="shared" ref="AZ198:AZ210" si="365">AX198/AY198</f>
        <v>2.85150546647476</v>
      </c>
      <c r="BA198" s="220">
        <f t="shared" si="350"/>
        <v>5.22063553448612</v>
      </c>
      <c r="BB198" s="220">
        <f t="shared" si="351"/>
        <v>165.248321608311</v>
      </c>
      <c r="BC198" s="192">
        <f t="shared" si="359"/>
        <v>28.9176267007596</v>
      </c>
      <c r="BD198" s="220">
        <f t="shared" si="352"/>
        <v>23.9901274465459</v>
      </c>
      <c r="BF198" s="5">
        <f t="shared" ref="BF198:BF210" si="366">AJ198*SQRT(AW198/3)</f>
        <v>0.346195578193871</v>
      </c>
      <c r="BG198" s="5">
        <f t="shared" si="362"/>
        <v>0.529477280090807</v>
      </c>
      <c r="BI198" s="217">
        <f t="shared" si="306"/>
        <v>0.041947982426346</v>
      </c>
      <c r="BJ198" s="217">
        <f t="shared" si="307"/>
        <v>0.00711846874655633</v>
      </c>
      <c r="BK198" s="217">
        <f t="shared" si="308"/>
        <v>0.000532672792715504</v>
      </c>
      <c r="BL198" s="217">
        <f t="shared" si="309"/>
        <v>0.00105698820465533</v>
      </c>
      <c r="BM198">
        <f t="shared" si="310"/>
        <v>0.0029</v>
      </c>
      <c r="BN198">
        <f t="shared" si="353"/>
        <v>5.32672792715504e-7</v>
      </c>
      <c r="BO198" s="217">
        <f t="shared" si="354"/>
        <v>0.0732170170362996</v>
      </c>
      <c r="BP198" s="220">
        <f t="shared" si="311"/>
        <v>53.5561121702731</v>
      </c>
      <c r="BQ198" s="217">
        <f t="shared" si="355"/>
        <v>0.468414674948488</v>
      </c>
      <c r="BT198" s="220">
        <f t="shared" si="312"/>
        <v>468.414674948488</v>
      </c>
      <c r="BU198" s="217">
        <f t="shared" si="313"/>
        <v>0.00491390651280053</v>
      </c>
      <c r="BV198" s="217">
        <f t="shared" si="314"/>
        <v>0.0280346190132358</v>
      </c>
      <c r="BW198" s="217">
        <f t="shared" si="315"/>
        <v>0</v>
      </c>
      <c r="BX198" s="217"/>
      <c r="BY198" s="217">
        <f t="shared" si="316"/>
        <v>0.00383524410755163</v>
      </c>
      <c r="BZ198" s="220">
        <f t="shared" si="317"/>
        <v>36.783769633588</v>
      </c>
      <c r="CA198" s="5">
        <f t="shared" si="318"/>
        <v>0.558754556752349</v>
      </c>
      <c r="CB198" s="192">
        <f t="shared" si="319"/>
        <v>1.0786624052489</v>
      </c>
      <c r="CC198" s="5">
        <f t="shared" si="320"/>
        <v>0.658758538772286</v>
      </c>
      <c r="CD198" s="192">
        <f t="shared" si="321"/>
        <v>65.8758538772286</v>
      </c>
      <c r="CG198" s="227">
        <f t="shared" si="356"/>
        <v>-50</v>
      </c>
      <c r="CH198">
        <f t="shared" si="357"/>
        <v>-50</v>
      </c>
    </row>
    <row r="199" spans="5:86">
      <c r="E199" s="22">
        <v>89</v>
      </c>
      <c r="F199" s="25">
        <f t="shared" si="358"/>
        <v>0.445</v>
      </c>
      <c r="G199" s="25"/>
      <c r="H199" s="25">
        <f t="shared" si="322"/>
        <v>8.01</v>
      </c>
      <c r="I199" s="212">
        <f t="shared" si="323"/>
        <v>10</v>
      </c>
      <c r="J199" s="131">
        <f t="shared" si="324"/>
        <v>1.83676753569604</v>
      </c>
      <c r="K199" s="131">
        <f t="shared" si="325"/>
        <v>22.2728</v>
      </c>
      <c r="L199" s="131"/>
      <c r="M199" s="25">
        <f t="shared" si="326"/>
        <v>0.551021874214288</v>
      </c>
      <c r="N199" s="27">
        <f t="shared" si="327"/>
        <v>3.74915283215402</v>
      </c>
      <c r="O199" s="27">
        <f t="shared" si="363"/>
        <v>1.04742961526947</v>
      </c>
      <c r="P199" s="25">
        <f t="shared" si="328"/>
        <v>0.208286268453001</v>
      </c>
      <c r="Q199" s="25">
        <f t="shared" si="329"/>
        <v>8.42506254416633</v>
      </c>
      <c r="R199" s="25"/>
      <c r="S199" s="27">
        <f t="shared" si="330"/>
        <v>2.35377441633589</v>
      </c>
      <c r="T199" s="195">
        <f t="shared" si="331"/>
        <v>2.35377441633589</v>
      </c>
      <c r="U199" s="25">
        <f t="shared" si="332"/>
        <v>1.5</v>
      </c>
      <c r="V199" s="25">
        <f t="shared" si="333"/>
        <v>3.75</v>
      </c>
      <c r="W199" s="25">
        <f t="shared" si="334"/>
        <v>20.4163016120543</v>
      </c>
      <c r="X199" s="24">
        <f t="shared" si="335"/>
        <v>206.899677090266</v>
      </c>
      <c r="Y199" s="131">
        <f t="shared" si="303"/>
        <v>41.3799354180532</v>
      </c>
      <c r="AA199" s="25">
        <f t="shared" si="336"/>
        <v>0.3</v>
      </c>
      <c r="AB199" s="5">
        <f t="shared" si="337"/>
        <v>4.08326032241085</v>
      </c>
      <c r="AC199" s="5">
        <f t="shared" si="338"/>
        <v>0.0845247654803392</v>
      </c>
      <c r="AD199" s="5"/>
      <c r="AE199" s="5">
        <f t="shared" si="339"/>
        <v>4.08326032241085</v>
      </c>
      <c r="AF199" s="216">
        <f t="shared" si="340"/>
        <v>1089.27076912842</v>
      </c>
      <c r="AG199" s="217">
        <f t="shared" si="341"/>
        <v>0.0845247654803392</v>
      </c>
      <c r="AI199" s="5">
        <f t="shared" si="342"/>
        <v>0.529243042255521</v>
      </c>
      <c r="AJ199" s="5">
        <f t="shared" si="343"/>
        <v>1.5</v>
      </c>
      <c r="AK199" s="5">
        <f t="shared" si="344"/>
        <v>2</v>
      </c>
      <c r="AM199" s="216">
        <f t="shared" si="345"/>
        <v>445</v>
      </c>
      <c r="AN199" s="220">
        <f t="shared" si="346"/>
        <v>41.3799354180532</v>
      </c>
      <c r="AP199" t="str">
        <f t="shared" si="347"/>
        <v/>
      </c>
      <c r="AQ199" t="str">
        <f t="shared" si="348"/>
        <v/>
      </c>
      <c r="AS199" s="192">
        <f t="shared" si="364"/>
        <v>24.1663016120543</v>
      </c>
      <c r="AT199" s="192">
        <f t="shared" si="349"/>
        <v>3.75</v>
      </c>
      <c r="AU199" s="192">
        <f t="shared" si="304"/>
        <v>20.4163016120543</v>
      </c>
      <c r="AV199" s="192"/>
      <c r="AW199" s="5">
        <f t="shared" si="305"/>
        <v>0.155174757817699</v>
      </c>
      <c r="AX199" s="5">
        <f t="shared" si="360"/>
        <v>1.16381068363275</v>
      </c>
      <c r="AY199" s="5">
        <f t="shared" si="361"/>
        <v>0.422623827401696</v>
      </c>
      <c r="AZ199" s="5">
        <f t="shared" si="365"/>
        <v>2.75377441633589</v>
      </c>
      <c r="BA199" s="220">
        <f t="shared" si="350"/>
        <v>5.22063553448612</v>
      </c>
      <c r="BB199" s="220">
        <f t="shared" si="351"/>
        <v>169.010133711187</v>
      </c>
      <c r="BC199" s="192">
        <f t="shared" si="359"/>
        <v>30.2841807245472</v>
      </c>
      <c r="BD199" s="220">
        <f t="shared" si="352"/>
        <v>24.109853141467</v>
      </c>
      <c r="BF199" s="5">
        <f t="shared" si="366"/>
        <v>0.341146696251443</v>
      </c>
      <c r="BG199" s="5">
        <f t="shared" si="362"/>
        <v>0.530933228265976</v>
      </c>
      <c r="BI199" s="217">
        <f t="shared" si="306"/>
        <v>0.0407333739271461</v>
      </c>
      <c r="BJ199" s="217">
        <f t="shared" si="307"/>
        <v>0.00691235269184411</v>
      </c>
      <c r="BK199" s="217">
        <f t="shared" si="308"/>
        <v>0.000517249192725665</v>
      </c>
      <c r="BL199" s="217">
        <f t="shared" si="309"/>
        <v>0.00102638299356604</v>
      </c>
      <c r="BM199">
        <f t="shared" si="310"/>
        <v>0.0029</v>
      </c>
      <c r="BN199">
        <f t="shared" si="353"/>
        <v>5.17249192725665e-7</v>
      </c>
      <c r="BO199" s="217">
        <f t="shared" si="354"/>
        <v>0.0711332352860796</v>
      </c>
      <c r="BP199" s="220">
        <f t="shared" si="311"/>
        <v>52.0893588052819</v>
      </c>
      <c r="BQ199" s="217">
        <f t="shared" si="355"/>
        <v>0.472695733435057</v>
      </c>
      <c r="BT199" s="220">
        <f t="shared" si="312"/>
        <v>472.695733435057</v>
      </c>
      <c r="BU199" s="217">
        <f t="shared" si="313"/>
        <v>0.00477162380289426</v>
      </c>
      <c r="BV199" s="217">
        <f t="shared" si="314"/>
        <v>0.0281890092876931</v>
      </c>
      <c r="BW199" s="217">
        <f t="shared" si="315"/>
        <v>0</v>
      </c>
      <c r="BX199" s="217"/>
      <c r="BY199" s="217">
        <f t="shared" si="316"/>
        <v>0.00372419418762479</v>
      </c>
      <c r="BZ199" s="220">
        <f t="shared" si="317"/>
        <v>36.6848272782122</v>
      </c>
      <c r="CA199" s="5">
        <f t="shared" si="318"/>
        <v>0.561469919518551</v>
      </c>
      <c r="CB199" s="192">
        <f t="shared" si="319"/>
        <v>1.04742961526947</v>
      </c>
      <c r="CC199" s="5">
        <f t="shared" si="320"/>
        <v>0.651022386806441</v>
      </c>
      <c r="CD199" s="192">
        <f t="shared" si="321"/>
        <v>65.1022386806441</v>
      </c>
      <c r="CG199" s="227">
        <f t="shared" si="356"/>
        <v>-50</v>
      </c>
      <c r="CH199">
        <f t="shared" si="357"/>
        <v>-50</v>
      </c>
    </row>
    <row r="200" spans="5:86">
      <c r="E200" s="22">
        <v>90</v>
      </c>
      <c r="F200" s="25">
        <f t="shared" si="358"/>
        <v>0.45</v>
      </c>
      <c r="G200" s="25"/>
      <c r="H200" s="25">
        <f t="shared" si="322"/>
        <v>8.1</v>
      </c>
      <c r="I200" s="212">
        <f t="shared" si="323"/>
        <v>10</v>
      </c>
      <c r="J200" s="131">
        <f t="shared" si="324"/>
        <v>1.77494509089897</v>
      </c>
      <c r="K200" s="131">
        <f t="shared" si="325"/>
        <v>22.2728</v>
      </c>
      <c r="L200" s="131"/>
      <c r="M200" s="25">
        <f t="shared" si="326"/>
        <v>0.551021874214288</v>
      </c>
      <c r="N200" s="27">
        <f t="shared" si="327"/>
        <v>3.74915283215402</v>
      </c>
      <c r="O200" s="27">
        <f t="shared" si="363"/>
        <v>1.01748919176092</v>
      </c>
      <c r="P200" s="25">
        <f t="shared" si="328"/>
        <v>0.208286268453001</v>
      </c>
      <c r="Q200" s="25">
        <f t="shared" si="329"/>
        <v>8.33145073812003</v>
      </c>
      <c r="R200" s="25"/>
      <c r="S200" s="27">
        <f t="shared" si="330"/>
        <v>2.26108709280205</v>
      </c>
      <c r="T200" s="195">
        <f t="shared" si="331"/>
        <v>2.26108709280205</v>
      </c>
      <c r="U200" s="25">
        <f t="shared" si="332"/>
        <v>1.5</v>
      </c>
      <c r="V200" s="25">
        <f t="shared" si="333"/>
        <v>3.75</v>
      </c>
      <c r="W200" s="25">
        <f t="shared" si="334"/>
        <v>21.1274141336998</v>
      </c>
      <c r="X200" s="24">
        <f t="shared" si="335"/>
        <v>200.985519360182</v>
      </c>
      <c r="Y200" s="131">
        <f t="shared" si="303"/>
        <v>40.1971038720364</v>
      </c>
      <c r="AA200" s="25">
        <f t="shared" si="336"/>
        <v>0.3</v>
      </c>
      <c r="AB200" s="5">
        <f t="shared" si="337"/>
        <v>4.22548282673997</v>
      </c>
      <c r="AC200" s="5">
        <f t="shared" si="338"/>
        <v>0.0849685490910103</v>
      </c>
      <c r="AD200" s="5"/>
      <c r="AE200" s="5">
        <f t="shared" si="339"/>
        <v>4.22548282673997</v>
      </c>
      <c r="AF200" s="216">
        <f t="shared" si="340"/>
        <v>1064.43483712082</v>
      </c>
      <c r="AG200" s="217">
        <f t="shared" si="341"/>
        <v>0.0849685490910103</v>
      </c>
      <c r="AI200" s="5">
        <f t="shared" si="342"/>
        <v>0.523174746389425</v>
      </c>
      <c r="AJ200" s="5">
        <f t="shared" si="343"/>
        <v>1.5</v>
      </c>
      <c r="AK200" s="5">
        <f t="shared" si="344"/>
        <v>2</v>
      </c>
      <c r="AM200" s="216">
        <f t="shared" si="345"/>
        <v>450</v>
      </c>
      <c r="AN200" s="220">
        <f t="shared" si="346"/>
        <v>40.1971038720364</v>
      </c>
      <c r="AP200" t="str">
        <f t="shared" si="347"/>
        <v/>
      </c>
      <c r="AQ200" t="str">
        <f t="shared" si="348"/>
        <v/>
      </c>
      <c r="AS200" s="192">
        <f t="shared" si="364"/>
        <v>24.8774141336998</v>
      </c>
      <c r="AT200" s="192">
        <f t="shared" si="349"/>
        <v>3.75</v>
      </c>
      <c r="AU200" s="192">
        <f t="shared" si="304"/>
        <v>21.1274141336998</v>
      </c>
      <c r="AV200" s="192"/>
      <c r="AW200" s="5">
        <f t="shared" si="305"/>
        <v>0.150739139520137</v>
      </c>
      <c r="AX200" s="5">
        <f t="shared" si="360"/>
        <v>1.13054354640102</v>
      </c>
      <c r="AY200" s="5">
        <f t="shared" si="361"/>
        <v>0.424842745455052</v>
      </c>
      <c r="AZ200" s="5">
        <f t="shared" si="365"/>
        <v>2.66108709280205</v>
      </c>
      <c r="BA200" s="220">
        <f t="shared" si="350"/>
        <v>5.22063553448612</v>
      </c>
      <c r="BB200" s="220">
        <f t="shared" si="351"/>
        <v>172.814282673982</v>
      </c>
      <c r="BC200" s="192">
        <f t="shared" si="359"/>
        <v>31.6911212005498</v>
      </c>
      <c r="BD200" s="220">
        <f t="shared" si="352"/>
        <v>24.2246247649165</v>
      </c>
      <c r="BF200" s="5">
        <f t="shared" si="366"/>
        <v>0.336235564210722</v>
      </c>
      <c r="BG200" s="5">
        <f t="shared" si="362"/>
        <v>0.532325193108986</v>
      </c>
      <c r="BI200" s="217">
        <f t="shared" si="306"/>
        <v>0.0395690241240359</v>
      </c>
      <c r="BJ200" s="217">
        <f t="shared" si="307"/>
        <v>0.0067147654134082</v>
      </c>
      <c r="BK200" s="217">
        <f t="shared" si="308"/>
        <v>0.000502463798400456</v>
      </c>
      <c r="BL200" s="217">
        <f t="shared" si="309"/>
        <v>0.000997044180665054</v>
      </c>
      <c r="BM200">
        <f t="shared" si="310"/>
        <v>0.0029</v>
      </c>
      <c r="BN200">
        <f t="shared" si="353"/>
        <v>5.02463798400455e-7</v>
      </c>
      <c r="BO200" s="217">
        <f t="shared" si="354"/>
        <v>0.06913841124087</v>
      </c>
      <c r="BP200" s="220">
        <f t="shared" si="311"/>
        <v>50.6832975165096</v>
      </c>
      <c r="BQ200" s="217">
        <f t="shared" si="355"/>
        <v>0.476936254073712</v>
      </c>
      <c r="BT200" s="220">
        <f t="shared" si="312"/>
        <v>476.936254073712</v>
      </c>
      <c r="BU200" s="217">
        <f t="shared" si="313"/>
        <v>0.0046352285402442</v>
      </c>
      <c r="BV200" s="217">
        <f t="shared" si="314"/>
        <v>0.028337011121852</v>
      </c>
      <c r="BW200" s="217">
        <f t="shared" si="315"/>
        <v>0</v>
      </c>
      <c r="BX200" s="217"/>
      <c r="BY200" s="217">
        <f t="shared" si="316"/>
        <v>0.00361773934848328</v>
      </c>
      <c r="BZ200" s="220">
        <f t="shared" si="317"/>
        <v>36.5899790105794</v>
      </c>
      <c r="CA200" s="5">
        <f t="shared" si="318"/>
        <v>0.564209530600801</v>
      </c>
      <c r="CB200" s="192">
        <f t="shared" si="319"/>
        <v>1.01748919176092</v>
      </c>
      <c r="CC200" s="5">
        <f t="shared" si="320"/>
        <v>0.643288875040407</v>
      </c>
      <c r="CD200" s="192">
        <f t="shared" si="321"/>
        <v>64.3288875040407</v>
      </c>
      <c r="CG200" s="227">
        <f t="shared" si="356"/>
        <v>-50</v>
      </c>
      <c r="CH200">
        <f t="shared" si="357"/>
        <v>-50</v>
      </c>
    </row>
    <row r="201" spans="5:86">
      <c r="E201" s="22">
        <v>91</v>
      </c>
      <c r="F201" s="25">
        <f t="shared" si="358"/>
        <v>0.455</v>
      </c>
      <c r="G201" s="25"/>
      <c r="H201" s="25">
        <f t="shared" si="322"/>
        <v>8.19</v>
      </c>
      <c r="I201" s="212">
        <f t="shared" si="323"/>
        <v>10</v>
      </c>
      <c r="J201" s="131">
        <f t="shared" si="324"/>
        <v>1.7163323935821</v>
      </c>
      <c r="K201" s="131">
        <f t="shared" si="325"/>
        <v>22.2728</v>
      </c>
      <c r="L201" s="131"/>
      <c r="M201" s="25">
        <f t="shared" si="326"/>
        <v>0.551021874214288</v>
      </c>
      <c r="N201" s="27">
        <f t="shared" si="327"/>
        <v>3.74915283215402</v>
      </c>
      <c r="O201" s="27">
        <f t="shared" si="363"/>
        <v>0.988811452893336</v>
      </c>
      <c r="P201" s="25">
        <f t="shared" si="328"/>
        <v>0.208286268453001</v>
      </c>
      <c r="Q201" s="25">
        <f t="shared" si="329"/>
        <v>8.23989633440443</v>
      </c>
      <c r="R201" s="25"/>
      <c r="S201" s="27">
        <f t="shared" si="330"/>
        <v>2.17321198438096</v>
      </c>
      <c r="T201" s="195">
        <f t="shared" si="331"/>
        <v>2.17321198438096</v>
      </c>
      <c r="U201" s="25">
        <f t="shared" si="332"/>
        <v>1.5</v>
      </c>
      <c r="V201" s="25">
        <f t="shared" si="333"/>
        <v>3.75</v>
      </c>
      <c r="W201" s="25">
        <f t="shared" si="334"/>
        <v>21.8489146625818</v>
      </c>
      <c r="X201" s="24">
        <f t="shared" si="335"/>
        <v>195.320780818437</v>
      </c>
      <c r="Y201" s="131">
        <f t="shared" si="303"/>
        <v>39.0641561636873</v>
      </c>
      <c r="AA201" s="25">
        <f t="shared" si="336"/>
        <v>0.3</v>
      </c>
      <c r="AB201" s="5">
        <f t="shared" si="337"/>
        <v>4.36978293251635</v>
      </c>
      <c r="AC201" s="5">
        <f t="shared" si="338"/>
        <v>0.0853936169093366</v>
      </c>
      <c r="AD201" s="5"/>
      <c r="AE201" s="5">
        <f t="shared" si="339"/>
        <v>4.36978293251635</v>
      </c>
      <c r="AF201" s="216">
        <f t="shared" si="340"/>
        <v>1040.72129146074</v>
      </c>
      <c r="AG201" s="217">
        <f t="shared" si="341"/>
        <v>0.0853936169093366</v>
      </c>
      <c r="AI201" s="5">
        <f t="shared" si="342"/>
        <v>0.517314262683352</v>
      </c>
      <c r="AJ201" s="5">
        <f t="shared" si="343"/>
        <v>1.5</v>
      </c>
      <c r="AK201" s="5">
        <f t="shared" si="344"/>
        <v>2</v>
      </c>
      <c r="AM201" s="216">
        <f t="shared" si="345"/>
        <v>455</v>
      </c>
      <c r="AN201" s="220">
        <f t="shared" si="346"/>
        <v>39.0641561636873</v>
      </c>
      <c r="AP201" t="str">
        <f t="shared" si="347"/>
        <v/>
      </c>
      <c r="AQ201" t="str">
        <f t="shared" si="348"/>
        <v/>
      </c>
      <c r="AS201" s="192">
        <f t="shared" si="364"/>
        <v>25.5989146625818</v>
      </c>
      <c r="AT201" s="192">
        <f t="shared" si="349"/>
        <v>3.75</v>
      </c>
      <c r="AU201" s="192">
        <f t="shared" si="304"/>
        <v>21.8489146625818</v>
      </c>
      <c r="AV201" s="192"/>
      <c r="AW201" s="5">
        <f t="shared" si="305"/>
        <v>0.146490585613828</v>
      </c>
      <c r="AX201" s="5">
        <f t="shared" si="360"/>
        <v>1.09867939210371</v>
      </c>
      <c r="AY201" s="5">
        <f t="shared" si="361"/>
        <v>0.426968084546683</v>
      </c>
      <c r="AZ201" s="5">
        <f t="shared" si="365"/>
        <v>2.57321198438096</v>
      </c>
      <c r="BA201" s="220">
        <f t="shared" si="350"/>
        <v>5.22063553448612</v>
      </c>
      <c r="BB201" s="220">
        <f t="shared" si="351"/>
        <v>176.660768496697</v>
      </c>
      <c r="BC201" s="192">
        <f t="shared" si="359"/>
        <v>33.1375205715823</v>
      </c>
      <c r="BD201" s="220">
        <f t="shared" si="352"/>
        <v>24.3345560972422</v>
      </c>
      <c r="BF201" s="5">
        <f t="shared" si="366"/>
        <v>0.331463330114163</v>
      </c>
      <c r="BG201" s="5">
        <f t="shared" si="362"/>
        <v>0.533655050002</v>
      </c>
      <c r="BI201" s="217">
        <f t="shared" si="306"/>
        <v>0.0384537787236297</v>
      </c>
      <c r="BJ201" s="217">
        <f t="shared" si="307"/>
        <v>0.00652551103051932</v>
      </c>
      <c r="BK201" s="217">
        <f t="shared" si="308"/>
        <v>0.000488301952046092</v>
      </c>
      <c r="BL201" s="217">
        <f t="shared" si="309"/>
        <v>0.000968942680537004</v>
      </c>
      <c r="BM201">
        <f t="shared" si="310"/>
        <v>0.0029</v>
      </c>
      <c r="BN201">
        <f t="shared" si="353"/>
        <v>4.88301952046092e-7</v>
      </c>
      <c r="BO201" s="217">
        <f t="shared" si="354"/>
        <v>0.0672302195860053</v>
      </c>
      <c r="BP201" s="220">
        <f t="shared" si="311"/>
        <v>49.3365343867321</v>
      </c>
      <c r="BQ201" s="217">
        <f t="shared" si="355"/>
        <v>0.481137167898748</v>
      </c>
      <c r="BT201" s="220">
        <f t="shared" si="312"/>
        <v>481.137167898748</v>
      </c>
      <c r="BU201" s="217">
        <f t="shared" si="313"/>
        <v>0.0045045855076252</v>
      </c>
      <c r="BV201" s="217">
        <f t="shared" si="314"/>
        <v>0.0284787712392637</v>
      </c>
      <c r="BW201" s="217">
        <f t="shared" si="315"/>
        <v>0</v>
      </c>
      <c r="BX201" s="217"/>
      <c r="BY201" s="217">
        <f t="shared" si="316"/>
        <v>0.00351577405473186</v>
      </c>
      <c r="BZ201" s="220">
        <f t="shared" si="317"/>
        <v>36.4991308016208</v>
      </c>
      <c r="CA201" s="5">
        <f t="shared" si="318"/>
        <v>0.566972833087101</v>
      </c>
      <c r="CB201" s="192">
        <f t="shared" si="319"/>
        <v>0.988811452893336</v>
      </c>
      <c r="CC201" s="5">
        <f t="shared" si="320"/>
        <v>0.635571050436596</v>
      </c>
      <c r="CD201" s="192">
        <f t="shared" si="321"/>
        <v>63.5571050436596</v>
      </c>
      <c r="CG201" s="227">
        <f t="shared" si="356"/>
        <v>-50</v>
      </c>
      <c r="CH201">
        <f t="shared" si="357"/>
        <v>-50</v>
      </c>
    </row>
    <row r="202" spans="5:86">
      <c r="E202" s="22">
        <v>92</v>
      </c>
      <c r="F202" s="25">
        <f t="shared" si="358"/>
        <v>0.46</v>
      </c>
      <c r="G202" s="25"/>
      <c r="H202" s="25">
        <f t="shared" si="322"/>
        <v>8.28</v>
      </c>
      <c r="I202" s="212">
        <f t="shared" si="323"/>
        <v>10</v>
      </c>
      <c r="J202" s="131">
        <f t="shared" si="324"/>
        <v>1.66077698389198</v>
      </c>
      <c r="K202" s="131">
        <f t="shared" si="325"/>
        <v>22.2728</v>
      </c>
      <c r="L202" s="131"/>
      <c r="M202" s="25">
        <f t="shared" si="326"/>
        <v>0.551021874214288</v>
      </c>
      <c r="N202" s="27">
        <f t="shared" si="327"/>
        <v>3.74915283215402</v>
      </c>
      <c r="O202" s="27">
        <f t="shared" si="363"/>
        <v>0.961363437166881</v>
      </c>
      <c r="P202" s="25">
        <f t="shared" si="328"/>
        <v>0.208286268453001</v>
      </c>
      <c r="Q202" s="25">
        <f t="shared" si="329"/>
        <v>8.15033224381308</v>
      </c>
      <c r="R202" s="25"/>
      <c r="S202" s="27">
        <f t="shared" si="330"/>
        <v>2.08992051558018</v>
      </c>
      <c r="T202" s="195">
        <f t="shared" si="331"/>
        <v>2.08992051558018</v>
      </c>
      <c r="U202" s="25">
        <f t="shared" si="332"/>
        <v>1.5</v>
      </c>
      <c r="V202" s="25">
        <f t="shared" si="333"/>
        <v>3.75</v>
      </c>
      <c r="W202" s="25">
        <f t="shared" si="334"/>
        <v>22.5797926896361</v>
      </c>
      <c r="X202" s="24">
        <f t="shared" si="335"/>
        <v>189.898950551483</v>
      </c>
      <c r="Y202" s="131">
        <f t="shared" si="303"/>
        <v>37.9797901102965</v>
      </c>
      <c r="AA202" s="25">
        <f t="shared" si="336"/>
        <v>0.3</v>
      </c>
      <c r="AB202" s="5">
        <f t="shared" si="337"/>
        <v>4.51595853792722</v>
      </c>
      <c r="AC202" s="5">
        <f t="shared" si="338"/>
        <v>0.0858004574979931</v>
      </c>
      <c r="AD202" s="5"/>
      <c r="AE202" s="5">
        <f t="shared" si="339"/>
        <v>4.51595853792722</v>
      </c>
      <c r="AF202" s="216">
        <f t="shared" si="340"/>
        <v>1018.10083303723</v>
      </c>
      <c r="AG202" s="217">
        <f t="shared" si="341"/>
        <v>0.0858004574979931</v>
      </c>
      <c r="AI202" s="5">
        <f t="shared" si="342"/>
        <v>0.51166136952746</v>
      </c>
      <c r="AJ202" s="5">
        <f t="shared" si="343"/>
        <v>1.5</v>
      </c>
      <c r="AK202" s="5">
        <f t="shared" si="344"/>
        <v>2</v>
      </c>
      <c r="AM202" s="216">
        <f t="shared" si="345"/>
        <v>460</v>
      </c>
      <c r="AN202" s="220">
        <f t="shared" si="346"/>
        <v>37.9797901102965</v>
      </c>
      <c r="AP202" t="str">
        <f t="shared" si="347"/>
        <v/>
      </c>
      <c r="AQ202" t="str">
        <f t="shared" si="348"/>
        <v/>
      </c>
      <c r="AS202" s="192">
        <f t="shared" si="364"/>
        <v>26.3297926896361</v>
      </c>
      <c r="AT202" s="192">
        <f t="shared" si="349"/>
        <v>3.75</v>
      </c>
      <c r="AU202" s="192">
        <f t="shared" si="304"/>
        <v>22.5797926896361</v>
      </c>
      <c r="AV202" s="192"/>
      <c r="AW202" s="5">
        <f t="shared" si="305"/>
        <v>0.142424212913612</v>
      </c>
      <c r="AX202" s="5">
        <f t="shared" si="360"/>
        <v>1.06818159685209</v>
      </c>
      <c r="AY202" s="5">
        <f t="shared" si="361"/>
        <v>0.429002287489966</v>
      </c>
      <c r="AZ202" s="5">
        <f t="shared" si="365"/>
        <v>2.48992051558018</v>
      </c>
      <c r="BA202" s="220">
        <f t="shared" si="350"/>
        <v>5.22063553448612</v>
      </c>
      <c r="BB202" s="220">
        <f t="shared" si="351"/>
        <v>180.549591179332</v>
      </c>
      <c r="BC202" s="192">
        <f t="shared" si="359"/>
        <v>34.6223487907754</v>
      </c>
      <c r="BD202" s="220">
        <f t="shared" si="352"/>
        <v>24.4397734908603</v>
      </c>
      <c r="BF202" s="5">
        <f t="shared" si="366"/>
        <v>0.326830475453574</v>
      </c>
      <c r="BG202" s="5">
        <f t="shared" si="362"/>
        <v>0.534924785138815</v>
      </c>
      <c r="BI202" s="217">
        <f t="shared" si="306"/>
        <v>0.0373863558898231</v>
      </c>
      <c r="BJ202" s="217">
        <f t="shared" si="307"/>
        <v>0.00634437201876459</v>
      </c>
      <c r="BK202" s="217">
        <f t="shared" si="308"/>
        <v>0.000474747376378707</v>
      </c>
      <c r="BL202" s="217">
        <f t="shared" si="309"/>
        <v>0.000942046193996934</v>
      </c>
      <c r="BM202">
        <f t="shared" si="310"/>
        <v>0.0029</v>
      </c>
      <c r="BN202">
        <f t="shared" si="353"/>
        <v>4.74747376378707e-7</v>
      </c>
      <c r="BO202" s="217">
        <f t="shared" si="354"/>
        <v>0.0654061431253891</v>
      </c>
      <c r="BP202" s="220">
        <f t="shared" si="311"/>
        <v>48.0475214789634</v>
      </c>
      <c r="BQ202" s="217">
        <f t="shared" si="355"/>
        <v>0.485299508818347</v>
      </c>
      <c r="BT202" s="220">
        <f t="shared" si="312"/>
        <v>485.299508818347</v>
      </c>
      <c r="BU202" s="217">
        <f t="shared" si="313"/>
        <v>0.00437954454709357</v>
      </c>
      <c r="BV202" s="217">
        <f t="shared" si="314"/>
        <v>0.0286144525755807</v>
      </c>
      <c r="BW202" s="217">
        <f t="shared" si="315"/>
        <v>0</v>
      </c>
      <c r="BX202" s="217"/>
      <c r="BY202" s="217">
        <f t="shared" si="316"/>
        <v>0.00341818110992669</v>
      </c>
      <c r="BZ202" s="220">
        <f t="shared" si="317"/>
        <v>36.412178232601</v>
      </c>
      <c r="CA202" s="5">
        <f t="shared" si="318"/>
        <v>0.569759208529912</v>
      </c>
      <c r="CB202" s="192">
        <f t="shared" si="319"/>
        <v>0.961363437166881</v>
      </c>
      <c r="CC202" s="5">
        <f t="shared" si="320"/>
        <v>0.627881404451031</v>
      </c>
      <c r="CD202" s="192">
        <f t="shared" si="321"/>
        <v>62.7881404451031</v>
      </c>
      <c r="CG202" s="227">
        <f t="shared" si="356"/>
        <v>-50</v>
      </c>
      <c r="CH202">
        <f t="shared" si="357"/>
        <v>-50</v>
      </c>
    </row>
    <row r="203" spans="5:86">
      <c r="E203" s="22">
        <v>93</v>
      </c>
      <c r="F203" s="25">
        <f t="shared" si="358"/>
        <v>0.465</v>
      </c>
      <c r="G203" s="25"/>
      <c r="H203" s="25">
        <f t="shared" si="322"/>
        <v>8.37</v>
      </c>
      <c r="I203" s="212">
        <f t="shared" si="323"/>
        <v>10</v>
      </c>
      <c r="J203" s="131">
        <f t="shared" si="324"/>
        <v>1.60812897416481</v>
      </c>
      <c r="K203" s="131">
        <f t="shared" si="325"/>
        <v>22.2728</v>
      </c>
      <c r="L203" s="131"/>
      <c r="M203" s="25">
        <f t="shared" si="326"/>
        <v>0.551021874214288</v>
      </c>
      <c r="N203" s="27">
        <f t="shared" si="327"/>
        <v>3.74915283215402</v>
      </c>
      <c r="O203" s="27">
        <f t="shared" si="363"/>
        <v>0.935109404777566</v>
      </c>
      <c r="P203" s="25">
        <f t="shared" si="328"/>
        <v>0.208286268453001</v>
      </c>
      <c r="Q203" s="25">
        <f t="shared" si="329"/>
        <v>8.06269426269681</v>
      </c>
      <c r="R203" s="25"/>
      <c r="S203" s="27">
        <f t="shared" si="330"/>
        <v>2.01098796726358</v>
      </c>
      <c r="T203" s="195">
        <f t="shared" si="331"/>
        <v>2.01098796726358</v>
      </c>
      <c r="U203" s="25">
        <f t="shared" si="332"/>
        <v>1.5</v>
      </c>
      <c r="V203" s="25">
        <f t="shared" si="333"/>
        <v>3.75</v>
      </c>
      <c r="W203" s="25">
        <f t="shared" si="334"/>
        <v>23.3190251543573</v>
      </c>
      <c r="X203" s="24">
        <f t="shared" si="335"/>
        <v>184.712968844951</v>
      </c>
      <c r="Y203" s="131">
        <f t="shared" si="303"/>
        <v>36.9425937689902</v>
      </c>
      <c r="AA203" s="25">
        <f t="shared" si="336"/>
        <v>0.3</v>
      </c>
      <c r="AB203" s="5">
        <f t="shared" si="337"/>
        <v>4.66380503087146</v>
      </c>
      <c r="AC203" s="5">
        <f t="shared" si="338"/>
        <v>0.086189600600297</v>
      </c>
      <c r="AD203" s="5"/>
      <c r="AE203" s="5">
        <f t="shared" si="339"/>
        <v>4.66380503087146</v>
      </c>
      <c r="AF203" s="216">
        <f t="shared" si="340"/>
        <v>996.541693135614</v>
      </c>
      <c r="AG203" s="217">
        <f t="shared" si="341"/>
        <v>0.086189600600297</v>
      </c>
      <c r="AI203" s="5">
        <f t="shared" si="342"/>
        <v>0.506214952599063</v>
      </c>
      <c r="AJ203" s="5">
        <f t="shared" si="343"/>
        <v>1.5</v>
      </c>
      <c r="AK203" s="5">
        <f t="shared" si="344"/>
        <v>2</v>
      </c>
      <c r="AM203" s="216">
        <f t="shared" si="345"/>
        <v>465</v>
      </c>
      <c r="AN203" s="220">
        <f t="shared" si="346"/>
        <v>36.9425937689902</v>
      </c>
      <c r="AP203" t="str">
        <f t="shared" si="347"/>
        <v/>
      </c>
      <c r="AQ203" t="str">
        <f t="shared" si="348"/>
        <v/>
      </c>
      <c r="AS203" s="192">
        <f t="shared" si="364"/>
        <v>27.0690251543573</v>
      </c>
      <c r="AT203" s="192">
        <f t="shared" si="349"/>
        <v>3.75</v>
      </c>
      <c r="AU203" s="192">
        <f t="shared" si="304"/>
        <v>23.3190251543573</v>
      </c>
      <c r="AV203" s="192"/>
      <c r="AW203" s="5">
        <f t="shared" si="305"/>
        <v>0.138534726633713</v>
      </c>
      <c r="AX203" s="5">
        <f t="shared" si="360"/>
        <v>1.03901044975285</v>
      </c>
      <c r="AY203" s="5">
        <f t="shared" si="361"/>
        <v>0.430948003001485</v>
      </c>
      <c r="AZ203" s="5">
        <f t="shared" si="365"/>
        <v>2.41098796726358</v>
      </c>
      <c r="BA203" s="220">
        <f t="shared" si="350"/>
        <v>5.22063553448612</v>
      </c>
      <c r="BB203" s="220">
        <f t="shared" si="351"/>
        <v>184.480750721886</v>
      </c>
      <c r="BC203" s="192">
        <f t="shared" si="359"/>
        <v>36.1444889892538</v>
      </c>
      <c r="BD203" s="220">
        <f t="shared" si="352"/>
        <v>24.5404139483527</v>
      </c>
      <c r="BF203" s="5">
        <f t="shared" si="366"/>
        <v>0.322336850166538</v>
      </c>
      <c r="BG203" s="5">
        <f t="shared" si="362"/>
        <v>0.536136473299467</v>
      </c>
      <c r="BI203" s="217">
        <f t="shared" si="306"/>
        <v>0.0363653657413498</v>
      </c>
      <c r="BJ203" s="217">
        <f t="shared" si="307"/>
        <v>0.00617111251873474</v>
      </c>
      <c r="BK203" s="217">
        <f t="shared" si="308"/>
        <v>0.000461782422112378</v>
      </c>
      <c r="BL203" s="217">
        <f t="shared" si="309"/>
        <v>0.000916319699381834</v>
      </c>
      <c r="BM203">
        <f t="shared" si="310"/>
        <v>0.0029</v>
      </c>
      <c r="BN203">
        <f t="shared" si="353"/>
        <v>4.61782422112378e-7</v>
      </c>
      <c r="BO203" s="217">
        <f t="shared" si="354"/>
        <v>0.0636635060265075</v>
      </c>
      <c r="BP203" s="220">
        <f t="shared" si="311"/>
        <v>46.8145803815787</v>
      </c>
      <c r="BQ203" s="217">
        <f t="shared" si="355"/>
        <v>0.489424397888163</v>
      </c>
      <c r="BT203" s="220">
        <f t="shared" si="312"/>
        <v>489.424397888163</v>
      </c>
      <c r="BU203" s="217">
        <f t="shared" si="313"/>
        <v>0.00425994284398669</v>
      </c>
      <c r="BV203" s="217">
        <f t="shared" si="314"/>
        <v>0.0287442318001991</v>
      </c>
      <c r="BW203" s="217">
        <f t="shared" si="315"/>
        <v>0</v>
      </c>
      <c r="BX203" s="217"/>
      <c r="BY203" s="217">
        <f t="shared" si="316"/>
        <v>0.00332483343920912</v>
      </c>
      <c r="BZ203" s="220">
        <f t="shared" si="317"/>
        <v>36.3290080833949</v>
      </c>
      <c r="CA203" s="5">
        <f t="shared" si="318"/>
        <v>0.572567986353137</v>
      </c>
      <c r="CB203" s="192">
        <f t="shared" si="319"/>
        <v>0.935109404777566</v>
      </c>
      <c r="CC203" s="5">
        <f t="shared" si="320"/>
        <v>0.620231761966178</v>
      </c>
      <c r="CD203" s="192">
        <f t="shared" si="321"/>
        <v>62.0231761966178</v>
      </c>
      <c r="CG203" s="227">
        <f t="shared" si="356"/>
        <v>-50</v>
      </c>
      <c r="CH203">
        <f t="shared" si="357"/>
        <v>-50</v>
      </c>
    </row>
    <row r="204" spans="5:86">
      <c r="E204" s="22">
        <v>94</v>
      </c>
      <c r="F204" s="25">
        <f t="shared" si="358"/>
        <v>0.47</v>
      </c>
      <c r="G204" s="25"/>
      <c r="H204" s="25">
        <f t="shared" si="322"/>
        <v>8.46</v>
      </c>
      <c r="I204" s="212">
        <f t="shared" si="323"/>
        <v>10</v>
      </c>
      <c r="J204" s="131">
        <f t="shared" si="324"/>
        <v>1.55824163370464</v>
      </c>
      <c r="K204" s="131">
        <f t="shared" si="325"/>
        <v>22.2728</v>
      </c>
      <c r="L204" s="131"/>
      <c r="M204" s="25">
        <f t="shared" si="326"/>
        <v>0.551021874214288</v>
      </c>
      <c r="N204" s="27">
        <f t="shared" si="327"/>
        <v>3.74915283215402</v>
      </c>
      <c r="O204" s="27">
        <f t="shared" si="363"/>
        <v>0.910011346088727</v>
      </c>
      <c r="P204" s="25">
        <f t="shared" si="328"/>
        <v>0.208286268453001</v>
      </c>
      <c r="Q204" s="25">
        <f t="shared" si="329"/>
        <v>7.97692091947663</v>
      </c>
      <c r="R204" s="25"/>
      <c r="S204" s="27">
        <f t="shared" si="330"/>
        <v>1.93619435338027</v>
      </c>
      <c r="T204" s="195">
        <f t="shared" si="331"/>
        <v>1.93619435338027</v>
      </c>
      <c r="U204" s="25">
        <f t="shared" si="332"/>
        <v>1.5</v>
      </c>
      <c r="V204" s="25">
        <f t="shared" si="333"/>
        <v>3.75</v>
      </c>
      <c r="W204" s="25">
        <f t="shared" si="334"/>
        <v>24.0655872548121</v>
      </c>
      <c r="X204" s="24">
        <f t="shared" si="335"/>
        <v>179.755327622465</v>
      </c>
      <c r="Y204" s="131">
        <f t="shared" si="303"/>
        <v>35.9510655244929</v>
      </c>
      <c r="AA204" s="25">
        <f t="shared" si="336"/>
        <v>0.3</v>
      </c>
      <c r="AB204" s="5">
        <f t="shared" si="337"/>
        <v>4.81311745096242</v>
      </c>
      <c r="AC204" s="5">
        <f t="shared" si="338"/>
        <v>0.0865616096035293</v>
      </c>
      <c r="AD204" s="5"/>
      <c r="AE204" s="5">
        <f t="shared" si="339"/>
        <v>4.81311745096242</v>
      </c>
      <c r="AF204" s="216">
        <f t="shared" si="340"/>
        <v>976.010085412202</v>
      </c>
      <c r="AG204" s="217">
        <f t="shared" si="341"/>
        <v>0.0865616096035293</v>
      </c>
      <c r="AI204" s="5">
        <f t="shared" si="342"/>
        <v>0.500973075088011</v>
      </c>
      <c r="AJ204" s="5">
        <f t="shared" si="343"/>
        <v>1.5</v>
      </c>
      <c r="AK204" s="5">
        <f t="shared" si="344"/>
        <v>2</v>
      </c>
      <c r="AM204" s="216">
        <f t="shared" si="345"/>
        <v>470</v>
      </c>
      <c r="AN204" s="220">
        <f t="shared" si="346"/>
        <v>35.9510655244929</v>
      </c>
      <c r="AP204" t="str">
        <f t="shared" si="347"/>
        <v/>
      </c>
      <c r="AQ204" t="str">
        <f t="shared" si="348"/>
        <v/>
      </c>
      <c r="AS204" s="192">
        <f t="shared" si="364"/>
        <v>27.8155872548121</v>
      </c>
      <c r="AT204" s="192">
        <f t="shared" si="349"/>
        <v>3.75</v>
      </c>
      <c r="AU204" s="192">
        <f t="shared" si="304"/>
        <v>24.0655872548121</v>
      </c>
      <c r="AV204" s="192"/>
      <c r="AW204" s="5">
        <f t="shared" si="305"/>
        <v>0.134816495716848</v>
      </c>
      <c r="AX204" s="5">
        <f t="shared" si="360"/>
        <v>1.01112371787636</v>
      </c>
      <c r="AY204" s="5">
        <f t="shared" si="361"/>
        <v>0.432808048017647</v>
      </c>
      <c r="AZ204" s="5">
        <f t="shared" si="365"/>
        <v>2.33619435338027</v>
      </c>
      <c r="BA204" s="220">
        <f t="shared" si="350"/>
        <v>5.22063553448612</v>
      </c>
      <c r="BB204" s="220">
        <f t="shared" si="351"/>
        <v>188.454247124359</v>
      </c>
      <c r="BC204" s="192">
        <f t="shared" si="359"/>
        <v>37.7027533658723</v>
      </c>
      <c r="BD204" s="220">
        <f t="shared" si="352"/>
        <v>24.6366231733266</v>
      </c>
      <c r="BF204" s="5">
        <f t="shared" si="366"/>
        <v>0.317981716121598</v>
      </c>
      <c r="BG204" s="5">
        <f t="shared" si="362"/>
        <v>0.537292255693091</v>
      </c>
      <c r="BI204" s="217">
        <f t="shared" si="306"/>
        <v>0.0353893301256727</v>
      </c>
      <c r="BJ204" s="217">
        <f t="shared" si="307"/>
        <v>0.00600548169160444</v>
      </c>
      <c r="BK204" s="217">
        <f t="shared" si="308"/>
        <v>0.000449388319056161</v>
      </c>
      <c r="BL204" s="217">
        <f t="shared" si="309"/>
        <v>0.000891725950805116</v>
      </c>
      <c r="BM204">
        <f t="shared" si="310"/>
        <v>0.0029</v>
      </c>
      <c r="BN204">
        <f t="shared" si="353"/>
        <v>4.49388319056161e-7</v>
      </c>
      <c r="BO204" s="217">
        <f t="shared" si="354"/>
        <v>0.0619995071820355</v>
      </c>
      <c r="BP204" s="220">
        <f t="shared" si="311"/>
        <v>45.6359260871384</v>
      </c>
      <c r="BQ204" s="217">
        <f t="shared" si="355"/>
        <v>0.493513027362022</v>
      </c>
      <c r="BT204" s="220">
        <f t="shared" si="312"/>
        <v>493.513027362022</v>
      </c>
      <c r="BU204" s="217">
        <f t="shared" si="313"/>
        <v>0.00414560724329309</v>
      </c>
      <c r="BV204" s="217">
        <f t="shared" si="314"/>
        <v>0.028868296802777</v>
      </c>
      <c r="BW204" s="217">
        <f t="shared" si="315"/>
        <v>0</v>
      </c>
      <c r="BX204" s="217"/>
      <c r="BY204" s="217">
        <f t="shared" si="316"/>
        <v>0.00323559589720436</v>
      </c>
      <c r="BZ204" s="220">
        <f t="shared" si="317"/>
        <v>36.2494999432745</v>
      </c>
      <c r="CA204" s="5">
        <f t="shared" si="318"/>
        <v>0.575398453392435</v>
      </c>
      <c r="CB204" s="192">
        <f t="shared" si="319"/>
        <v>0.910011346088727</v>
      </c>
      <c r="CC204" s="5">
        <f t="shared" si="320"/>
        <v>0.61263319146446</v>
      </c>
      <c r="CD204" s="192">
        <f t="shared" si="321"/>
        <v>61.263319146446</v>
      </c>
      <c r="CG204" s="227">
        <f t="shared" si="356"/>
        <v>-50</v>
      </c>
      <c r="CH204">
        <f t="shared" si="357"/>
        <v>-50</v>
      </c>
    </row>
    <row r="205" spans="5:86">
      <c r="E205" s="22">
        <v>95</v>
      </c>
      <c r="F205" s="25">
        <f t="shared" si="358"/>
        <v>0.475</v>
      </c>
      <c r="G205" s="25"/>
      <c r="H205" s="25">
        <f t="shared" si="322"/>
        <v>8.55</v>
      </c>
      <c r="I205" s="212">
        <f t="shared" si="323"/>
        <v>10</v>
      </c>
      <c r="J205" s="131">
        <f t="shared" si="324"/>
        <v>1.51097192661963</v>
      </c>
      <c r="K205" s="131">
        <f t="shared" si="325"/>
        <v>22.2728</v>
      </c>
      <c r="L205" s="131"/>
      <c r="M205" s="25">
        <f t="shared" si="326"/>
        <v>0.551021874214288</v>
      </c>
      <c r="N205" s="27">
        <f t="shared" si="327"/>
        <v>3.74915283215402</v>
      </c>
      <c r="O205" s="27">
        <f t="shared" si="363"/>
        <v>0.886029482974998</v>
      </c>
      <c r="P205" s="25">
        <f t="shared" si="328"/>
        <v>0.208286268453001</v>
      </c>
      <c r="Q205" s="25">
        <f t="shared" si="329"/>
        <v>7.89295333085056</v>
      </c>
      <c r="R205" s="25"/>
      <c r="S205" s="27">
        <f t="shared" si="330"/>
        <v>1.86532522731579</v>
      </c>
      <c r="T205" s="195">
        <f t="shared" si="331"/>
        <v>1.86532522731579</v>
      </c>
      <c r="U205" s="25">
        <f t="shared" si="332"/>
        <v>1.5</v>
      </c>
      <c r="V205" s="25">
        <f t="shared" si="333"/>
        <v>3.75</v>
      </c>
      <c r="W205" s="25">
        <f t="shared" si="334"/>
        <v>24.8184624342397</v>
      </c>
      <c r="X205" s="24">
        <f t="shared" si="335"/>
        <v>175.018169476543</v>
      </c>
      <c r="Y205" s="131">
        <f t="shared" si="303"/>
        <v>35.0036338953085</v>
      </c>
      <c r="AA205" s="25">
        <f t="shared" si="336"/>
        <v>0.3</v>
      </c>
      <c r="AB205" s="5">
        <f t="shared" si="337"/>
        <v>4.96369248684793</v>
      </c>
      <c r="AC205" s="5">
        <f t="shared" si="338"/>
        <v>0.0869170741079039</v>
      </c>
      <c r="AD205" s="5"/>
      <c r="AE205" s="5">
        <f t="shared" si="339"/>
        <v>4.96369248684793</v>
      </c>
      <c r="AF205" s="216">
        <f t="shared" si="340"/>
        <v>956.470651533332</v>
      </c>
      <c r="AG205" s="217">
        <f t="shared" si="341"/>
        <v>0.0869170741079039</v>
      </c>
      <c r="AI205" s="5">
        <f t="shared" si="342"/>
        <v>0.495933056075687</v>
      </c>
      <c r="AJ205" s="5">
        <f t="shared" si="343"/>
        <v>1.5</v>
      </c>
      <c r="AK205" s="5">
        <f t="shared" si="344"/>
        <v>2</v>
      </c>
      <c r="AM205" s="216">
        <f t="shared" si="345"/>
        <v>475</v>
      </c>
      <c r="AN205" s="220">
        <f t="shared" si="346"/>
        <v>35.0036338953085</v>
      </c>
      <c r="AP205" t="str">
        <f t="shared" si="347"/>
        <v/>
      </c>
      <c r="AQ205" t="str">
        <f t="shared" si="348"/>
        <v/>
      </c>
      <c r="AS205" s="192">
        <f t="shared" si="364"/>
        <v>28.5684624342397</v>
      </c>
      <c r="AT205" s="192">
        <f t="shared" si="349"/>
        <v>3.75</v>
      </c>
      <c r="AU205" s="192">
        <f t="shared" si="304"/>
        <v>24.8184624342397</v>
      </c>
      <c r="AV205" s="192"/>
      <c r="AW205" s="5">
        <f t="shared" si="305"/>
        <v>0.131263627107407</v>
      </c>
      <c r="AX205" s="5">
        <f t="shared" si="360"/>
        <v>0.984477203305552</v>
      </c>
      <c r="AY205" s="5">
        <f t="shared" si="361"/>
        <v>0.43458537053952</v>
      </c>
      <c r="AZ205" s="5">
        <f t="shared" si="365"/>
        <v>2.26532522731578</v>
      </c>
      <c r="BA205" s="220">
        <f t="shared" si="350"/>
        <v>5.22063553448612</v>
      </c>
      <c r="BB205" s="220">
        <f t="shared" si="351"/>
        <v>192.470080386752</v>
      </c>
      <c r="BC205" s="192">
        <f t="shared" si="359"/>
        <v>39.2958988542128</v>
      </c>
      <c r="BD205" s="220">
        <f t="shared" si="352"/>
        <v>24.7285536485959</v>
      </c>
      <c r="BF205" s="5">
        <f t="shared" si="366"/>
        <v>0.313763797036171</v>
      </c>
      <c r="BG205" s="5">
        <f t="shared" si="362"/>
        <v>0.538394318459862</v>
      </c>
      <c r="BI205" s="217">
        <f t="shared" si="306"/>
        <v>0.0344567021156943</v>
      </c>
      <c r="BJ205" s="217">
        <f t="shared" si="307"/>
        <v>0.00584721702767571</v>
      </c>
      <c r="BK205" s="217">
        <f t="shared" si="308"/>
        <v>0.000437545423691356</v>
      </c>
      <c r="BL205" s="217">
        <f t="shared" si="309"/>
        <v>0.00086822596942677</v>
      </c>
      <c r="BM205">
        <f t="shared" si="310"/>
        <v>0.0029</v>
      </c>
      <c r="BN205">
        <f t="shared" si="353"/>
        <v>4.37545423691356e-7</v>
      </c>
      <c r="BO205" s="217">
        <f t="shared" si="354"/>
        <v>0.0604112527911681</v>
      </c>
      <c r="BP205" s="220">
        <f t="shared" si="311"/>
        <v>44.5096905364882</v>
      </c>
      <c r="BQ205" s="217">
        <f t="shared" si="355"/>
        <v>0.497566644966193</v>
      </c>
      <c r="BT205" s="220">
        <f t="shared" si="312"/>
        <v>497.566644966193</v>
      </c>
      <c r="BU205" s="217">
        <f t="shared" si="313"/>
        <v>0.00403635653355276</v>
      </c>
      <c r="BV205" s="217">
        <f t="shared" si="314"/>
        <v>0.028986844214986</v>
      </c>
      <c r="BW205" s="217">
        <f t="shared" si="315"/>
        <v>0</v>
      </c>
      <c r="BX205" s="217"/>
      <c r="BY205" s="217">
        <f t="shared" si="316"/>
        <v>0.00315032705057777</v>
      </c>
      <c r="BZ205" s="220">
        <f t="shared" si="317"/>
        <v>36.1735277991165</v>
      </c>
      <c r="CA205" s="5">
        <f t="shared" si="318"/>
        <v>0.578249863301798</v>
      </c>
      <c r="CB205" s="192">
        <f t="shared" si="319"/>
        <v>0.886029482974998</v>
      </c>
      <c r="CC205" s="5">
        <f t="shared" si="320"/>
        <v>0.605095936938463</v>
      </c>
      <c r="CD205" s="192">
        <f t="shared" si="321"/>
        <v>60.5095936938463</v>
      </c>
      <c r="CG205" s="227">
        <f t="shared" si="356"/>
        <v>-50</v>
      </c>
      <c r="CH205">
        <f t="shared" si="357"/>
        <v>-50</v>
      </c>
    </row>
    <row r="206" spans="5:86">
      <c r="E206" s="22">
        <v>96</v>
      </c>
      <c r="F206" s="25">
        <f t="shared" si="358"/>
        <v>0.48</v>
      </c>
      <c r="G206" s="25"/>
      <c r="H206" s="25">
        <f t="shared" ref="H206:H210" si="367">F206*Vout</f>
        <v>8.64</v>
      </c>
      <c r="I206" s="212">
        <f t="shared" si="323"/>
        <v>10</v>
      </c>
      <c r="J206" s="131">
        <f t="shared" si="324"/>
        <v>1.46618098918903</v>
      </c>
      <c r="K206" s="131">
        <f t="shared" si="325"/>
        <v>22.2728</v>
      </c>
      <c r="L206" s="131"/>
      <c r="M206" s="25">
        <f t="shared" si="326"/>
        <v>0.551021874214288</v>
      </c>
      <c r="N206" s="27">
        <f t="shared" ref="N206:N210" si="368">M206*I206*(Isw_max+VIN_min/Lmag*ILIM_delay)*0.5*Efficiency</f>
        <v>3.74915283215402</v>
      </c>
      <c r="O206" s="27">
        <f t="shared" si="363"/>
        <v>0.863122750840681</v>
      </c>
      <c r="P206" s="25">
        <f t="shared" ref="P206:P210" si="369">N206/Vout</f>
        <v>0.208286268453001</v>
      </c>
      <c r="Q206" s="25">
        <f t="shared" si="329"/>
        <v>7.81073506698753</v>
      </c>
      <c r="R206" s="25"/>
      <c r="S206" s="27">
        <f t="shared" si="330"/>
        <v>1.79817239758475</v>
      </c>
      <c r="T206" s="195">
        <f t="shared" ref="T206:T210" si="370">MIN(Vout,S206)</f>
        <v>1.79817239758475</v>
      </c>
      <c r="U206" s="25">
        <f t="shared" si="332"/>
        <v>1.5</v>
      </c>
      <c r="V206" s="25">
        <f t="shared" ref="V206:V210" si="371">L*U206/I206*1000000</f>
        <v>3.75</v>
      </c>
      <c r="W206" s="25">
        <f t="shared" si="334"/>
        <v>25.5766513660376</v>
      </c>
      <c r="X206" s="24">
        <f t="shared" si="335"/>
        <v>170.49338288211</v>
      </c>
      <c r="Y206" s="131">
        <f t="shared" si="303"/>
        <v>34.0986765764219</v>
      </c>
      <c r="AA206" s="25">
        <f t="shared" si="336"/>
        <v>0.3</v>
      </c>
      <c r="AB206" s="5">
        <f t="shared" ref="AB206:AB210" si="372">L*AA206/J206*1000000</f>
        <v>5.11533027320753</v>
      </c>
      <c r="AC206" s="5">
        <f t="shared" ref="AC206:AC210" si="373">0.5*AB206*AA206*Nps*X206/1000</f>
        <v>0.0872566027819837</v>
      </c>
      <c r="AD206" s="5"/>
      <c r="AE206" s="5">
        <f t="shared" si="339"/>
        <v>5.11533027320753</v>
      </c>
      <c r="AF206" s="216">
        <f t="shared" ref="AF206:AF210" si="374">MAX(12000,F206/(0.5*AE206/1000000*Isw_min*Nps))/1000</f>
        <v>937.886889636161</v>
      </c>
      <c r="AG206" s="217">
        <f t="shared" si="341"/>
        <v>0.0872566027819837</v>
      </c>
      <c r="AI206" s="5">
        <f t="shared" si="342"/>
        <v>0.491091554068964</v>
      </c>
      <c r="AJ206" s="5">
        <f t="shared" ref="AJ206:AJ210" si="375">MAX(IF(F206&gt;AC206,U206,AI206),Isw_min)</f>
        <v>1.5</v>
      </c>
      <c r="AK206" s="5">
        <f t="shared" ref="AK206:AK210" si="376">IF(F206&gt;AG206,(AJ206-Isw_min)/1.2*0.8+1.2,AF206*0.2/350+1)</f>
        <v>2</v>
      </c>
      <c r="AM206" s="216">
        <f t="shared" si="345"/>
        <v>480</v>
      </c>
      <c r="AN206" s="220">
        <f t="shared" si="346"/>
        <v>34.0986765764219</v>
      </c>
      <c r="AP206" t="str">
        <f t="shared" si="347"/>
        <v/>
      </c>
      <c r="AQ206" t="str">
        <f t="shared" si="348"/>
        <v/>
      </c>
      <c r="AS206" s="192">
        <f t="shared" si="364"/>
        <v>29.3266513660376</v>
      </c>
      <c r="AT206" s="192">
        <f t="shared" si="349"/>
        <v>3.75</v>
      </c>
      <c r="AU206" s="192">
        <f t="shared" si="304"/>
        <v>25.5766513660376</v>
      </c>
      <c r="AV206" s="192"/>
      <c r="AW206" s="5">
        <f t="shared" si="305"/>
        <v>0.127870037161582</v>
      </c>
      <c r="AX206" s="5">
        <f t="shared" si="360"/>
        <v>0.959025278711867</v>
      </c>
      <c r="AY206" s="5">
        <f t="shared" si="361"/>
        <v>0.436283013909919</v>
      </c>
      <c r="AZ206" s="5">
        <f t="shared" si="365"/>
        <v>2.19817239758475</v>
      </c>
      <c r="BA206" s="220">
        <f t="shared" si="350"/>
        <v>5.22063553448612</v>
      </c>
      <c r="BB206" s="220">
        <f t="shared" si="351"/>
        <v>196.528250509064</v>
      </c>
      <c r="BC206" s="192">
        <f t="shared" si="359"/>
        <v>40.9226421856602</v>
      </c>
      <c r="BD206" s="220">
        <f t="shared" si="352"/>
        <v>24.8163627884441</v>
      </c>
      <c r="BF206" s="5">
        <f t="shared" si="366"/>
        <v>0.309681332778046</v>
      </c>
      <c r="BG206" s="5">
        <f t="shared" si="362"/>
        <v>0.539444872325167</v>
      </c>
      <c r="BI206" s="217">
        <f t="shared" si="306"/>
        <v>0.0335658847549153</v>
      </c>
      <c r="BJ206" s="217">
        <f t="shared" si="307"/>
        <v>0.00569604752738498</v>
      </c>
      <c r="BK206" s="217">
        <f t="shared" si="308"/>
        <v>0.000426233457205274</v>
      </c>
      <c r="BL206" s="217">
        <f t="shared" si="309"/>
        <v>0.000845779515786268</v>
      </c>
      <c r="BM206">
        <f t="shared" si="310"/>
        <v>0.0029</v>
      </c>
      <c r="BN206">
        <f t="shared" si="353"/>
        <v>4.26233457205274e-7</v>
      </c>
      <c r="BO206" s="217">
        <f t="shared" ref="BO206:BO210" si="377">(BJ206+BK206+BL206+BM206+BN206+BI206*(1+RdsonTC*(Ta-25)))/(1-BI206*RdsonTC*ThetaJA)</f>
        <v>0.0588957874035273</v>
      </c>
      <c r="BP206" s="220">
        <f t="shared" si="311"/>
        <v>43.4339452552919</v>
      </c>
      <c r="BQ206" s="217">
        <f t="shared" si="355"/>
        <v>0.501586538779851</v>
      </c>
      <c r="BT206" s="220">
        <f t="shared" si="312"/>
        <v>501.586538779851</v>
      </c>
      <c r="BU206" s="217">
        <f t="shared" si="313"/>
        <v>0.00393200364271865</v>
      </c>
      <c r="BV206" s="217">
        <f t="shared" si="314"/>
        <v>0.0291000770277916</v>
      </c>
      <c r="BW206" s="217">
        <f t="shared" si="315"/>
        <v>0</v>
      </c>
      <c r="BX206" s="217"/>
      <c r="BY206" s="217">
        <f t="shared" si="316"/>
        <v>0.00306888089187797</v>
      </c>
      <c r="BZ206" s="220">
        <f t="shared" si="317"/>
        <v>36.1009615623882</v>
      </c>
      <c r="CA206" s="5">
        <f t="shared" si="318"/>
        <v>0.581121445597531</v>
      </c>
      <c r="CB206" s="192">
        <f t="shared" si="319"/>
        <v>0.863122750840681</v>
      </c>
      <c r="CC206" s="5">
        <f t="shared" si="320"/>
        <v>0.597629371105876</v>
      </c>
      <c r="CD206" s="192">
        <f t="shared" si="321"/>
        <v>59.7629371105876</v>
      </c>
      <c r="CG206" s="227">
        <f t="shared" si="356"/>
        <v>-50</v>
      </c>
      <c r="CH206">
        <f t="shared" si="357"/>
        <v>-50</v>
      </c>
    </row>
    <row r="207" spans="5:86">
      <c r="E207" s="22">
        <v>97</v>
      </c>
      <c r="F207" s="25">
        <f t="shared" ref="F207:F210" si="378">IF(PLOT_TYPE=1,E207/100*Iout_max,min_I*EXP(N207*rr/100))</f>
        <v>0.485</v>
      </c>
      <c r="G207" s="25"/>
      <c r="H207" s="25">
        <f t="shared" si="367"/>
        <v>8.73</v>
      </c>
      <c r="I207" s="212">
        <f t="shared" si="323"/>
        <v>10</v>
      </c>
      <c r="J207" s="131">
        <f t="shared" si="324"/>
        <v>1.42373453758233</v>
      </c>
      <c r="K207" s="131">
        <f t="shared" si="325"/>
        <v>22.2728</v>
      </c>
      <c r="L207" s="131"/>
      <c r="M207" s="25">
        <f t="shared" si="326"/>
        <v>0.551021874214288</v>
      </c>
      <c r="N207" s="27">
        <f t="shared" si="368"/>
        <v>3.74915283215402</v>
      </c>
      <c r="O207" s="27">
        <f t="shared" si="363"/>
        <v>0.841249251465416</v>
      </c>
      <c r="P207" s="25">
        <f t="shared" si="369"/>
        <v>0.208286268453001</v>
      </c>
      <c r="Q207" s="25">
        <f t="shared" si="329"/>
        <v>7.73021202505983</v>
      </c>
      <c r="R207" s="25"/>
      <c r="S207" s="27">
        <f t="shared" si="330"/>
        <v>1.73453453910395</v>
      </c>
      <c r="T207" s="195">
        <f t="shared" si="370"/>
        <v>1.73453453910395</v>
      </c>
      <c r="U207" s="25">
        <f t="shared" si="332"/>
        <v>1.5</v>
      </c>
      <c r="V207" s="25">
        <f t="shared" si="371"/>
        <v>3.75</v>
      </c>
      <c r="W207" s="25">
        <f t="shared" si="334"/>
        <v>26.3391798190689</v>
      </c>
      <c r="X207" s="24">
        <f t="shared" si="335"/>
        <v>166.17269164749</v>
      </c>
      <c r="Y207" s="131">
        <f t="shared" si="303"/>
        <v>33.2345383294979</v>
      </c>
      <c r="AA207" s="25">
        <f t="shared" si="336"/>
        <v>0.3</v>
      </c>
      <c r="AB207" s="5">
        <f t="shared" si="372"/>
        <v>5.26783596381378</v>
      </c>
      <c r="AC207" s="5">
        <f t="shared" si="373"/>
        <v>0.0875808166505015</v>
      </c>
      <c r="AD207" s="5"/>
      <c r="AE207" s="5">
        <f t="shared" si="339"/>
        <v>5.26783596381378</v>
      </c>
      <c r="AF207" s="216">
        <f t="shared" si="374"/>
        <v>920.221556858147</v>
      </c>
      <c r="AG207" s="217">
        <f t="shared" si="341"/>
        <v>0.0875808166505015</v>
      </c>
      <c r="AI207" s="5">
        <f t="shared" si="342"/>
        <v>0.486444652899949</v>
      </c>
      <c r="AJ207" s="5">
        <f t="shared" si="375"/>
        <v>1.5</v>
      </c>
      <c r="AK207" s="5">
        <f t="shared" si="376"/>
        <v>2</v>
      </c>
      <c r="AM207" s="216">
        <f t="shared" si="345"/>
        <v>485</v>
      </c>
      <c r="AN207" s="220">
        <f t="shared" si="346"/>
        <v>33.2345383294979</v>
      </c>
      <c r="AP207" t="str">
        <f t="shared" si="347"/>
        <v/>
      </c>
      <c r="AQ207" t="str">
        <f t="shared" si="348"/>
        <v/>
      </c>
      <c r="AS207" s="192">
        <f t="shared" si="364"/>
        <v>30.0891798190689</v>
      </c>
      <c r="AT207" s="192">
        <f t="shared" si="349"/>
        <v>3.75</v>
      </c>
      <c r="AU207" s="192">
        <f t="shared" si="304"/>
        <v>26.3391798190689</v>
      </c>
      <c r="AV207" s="192"/>
      <c r="AW207" s="5">
        <f t="shared" si="305"/>
        <v>0.124629518735617</v>
      </c>
      <c r="AX207" s="5">
        <f t="shared" si="360"/>
        <v>0.934721390517129</v>
      </c>
      <c r="AY207" s="5">
        <f t="shared" si="361"/>
        <v>0.437904083252508</v>
      </c>
      <c r="AZ207" s="5">
        <f t="shared" si="365"/>
        <v>2.13453453910395</v>
      </c>
      <c r="BA207" s="220">
        <f t="shared" si="350"/>
        <v>5.22063553448612</v>
      </c>
      <c r="BB207" s="220">
        <f t="shared" si="351"/>
        <v>200.628757491296</v>
      </c>
      <c r="BC207" s="192">
        <f t="shared" si="359"/>
        <v>42.5816740408281</v>
      </c>
      <c r="BD207" s="220">
        <f t="shared" si="352"/>
        <v>24.9002112027159</v>
      </c>
      <c r="BF207" s="5">
        <f t="shared" si="366"/>
        <v>0.305732136112174</v>
      </c>
      <c r="BG207" s="5">
        <f t="shared" si="362"/>
        <v>0.540446133790799</v>
      </c>
      <c r="BI207" s="217">
        <f t="shared" si="306"/>
        <v>0.0327152486680995</v>
      </c>
      <c r="BJ207" s="217">
        <f t="shared" si="307"/>
        <v>0.00555169668978931</v>
      </c>
      <c r="BK207" s="217">
        <f t="shared" si="308"/>
        <v>0.000415431729118724</v>
      </c>
      <c r="BL207" s="217">
        <f t="shared" si="309"/>
        <v>0.000824345533548928</v>
      </c>
      <c r="BM207">
        <f t="shared" si="310"/>
        <v>0.0029</v>
      </c>
      <c r="BN207">
        <f t="shared" si="353"/>
        <v>4.15431729118724e-7</v>
      </c>
      <c r="BO207" s="217">
        <f t="shared" si="377"/>
        <v>0.057450122825921</v>
      </c>
      <c r="BP207" s="220">
        <f t="shared" si="311"/>
        <v>42.4067226205565</v>
      </c>
      <c r="BQ207" s="217">
        <f t="shared" si="355"/>
        <v>0.505574023030595</v>
      </c>
      <c r="BT207" s="220">
        <f t="shared" si="312"/>
        <v>505.574023030595</v>
      </c>
      <c r="BU207" s="217">
        <f t="shared" si="313"/>
        <v>0.00383235770112023</v>
      </c>
      <c r="BV207" s="217">
        <f t="shared" si="314"/>
        <v>0.0292082023529423</v>
      </c>
      <c r="BW207" s="217">
        <f t="shared" si="315"/>
        <v>0</v>
      </c>
      <c r="BX207" s="217"/>
      <c r="BY207" s="217">
        <f t="shared" si="316"/>
        <v>0.00299110844965481</v>
      </c>
      <c r="BZ207" s="220">
        <f t="shared" si="317"/>
        <v>36.0316685037173</v>
      </c>
      <c r="CA207" s="5">
        <f t="shared" si="318"/>
        <v>0.584012414154869</v>
      </c>
      <c r="CB207" s="192">
        <f t="shared" si="319"/>
        <v>0.841249251465416</v>
      </c>
      <c r="CC207" s="5">
        <f t="shared" si="320"/>
        <v>0.590241968726001</v>
      </c>
      <c r="CD207" s="192">
        <f t="shared" si="321"/>
        <v>59.0241968726001</v>
      </c>
      <c r="CG207" s="227">
        <f t="shared" si="356"/>
        <v>-50</v>
      </c>
      <c r="CH207">
        <f t="shared" si="357"/>
        <v>-50</v>
      </c>
    </row>
    <row r="208" spans="5:86">
      <c r="E208" s="22">
        <v>98</v>
      </c>
      <c r="F208" s="25">
        <f t="shared" si="378"/>
        <v>0.49</v>
      </c>
      <c r="G208" s="25"/>
      <c r="H208" s="25">
        <f t="shared" si="367"/>
        <v>8.82</v>
      </c>
      <c r="I208" s="212">
        <f t="shared" si="323"/>
        <v>10</v>
      </c>
      <c r="J208" s="131">
        <f t="shared" si="324"/>
        <v>1.38350320085121</v>
      </c>
      <c r="K208" s="131">
        <f t="shared" si="325"/>
        <v>22.2728</v>
      </c>
      <c r="L208" s="131"/>
      <c r="M208" s="25">
        <f t="shared" si="326"/>
        <v>0.551021874214288</v>
      </c>
      <c r="N208" s="27">
        <f t="shared" si="368"/>
        <v>3.74915283215402</v>
      </c>
      <c r="O208" s="27">
        <f t="shared" si="363"/>
        <v>0.820366669290992</v>
      </c>
      <c r="P208" s="25">
        <f t="shared" si="369"/>
        <v>0.208286268453001</v>
      </c>
      <c r="Q208" s="25">
        <f t="shared" si="329"/>
        <v>7.6513323105184</v>
      </c>
      <c r="R208" s="25"/>
      <c r="S208" s="27">
        <f t="shared" si="330"/>
        <v>1.6742176924306</v>
      </c>
      <c r="T208" s="195">
        <f t="shared" si="370"/>
        <v>1.6742176924306</v>
      </c>
      <c r="U208" s="25">
        <f t="shared" si="332"/>
        <v>1.5</v>
      </c>
      <c r="V208" s="25">
        <f t="shared" si="371"/>
        <v>3.75</v>
      </c>
      <c r="W208" s="25">
        <f t="shared" si="334"/>
        <v>27.1051053419522</v>
      </c>
      <c r="X208" s="24">
        <f t="shared" si="335"/>
        <v>162.0477371439</v>
      </c>
      <c r="Y208" s="131">
        <f t="shared" si="303"/>
        <v>32.4095474287799</v>
      </c>
      <c r="AA208" s="25">
        <f t="shared" si="336"/>
        <v>0.3</v>
      </c>
      <c r="AB208" s="5">
        <f t="shared" si="372"/>
        <v>5.42102106839043</v>
      </c>
      <c r="AC208" s="5">
        <f t="shared" si="373"/>
        <v>0.0878903429240647</v>
      </c>
      <c r="AD208" s="5"/>
      <c r="AE208" s="5">
        <f t="shared" si="339"/>
        <v>5.42102106839043</v>
      </c>
      <c r="AF208" s="216">
        <f t="shared" si="374"/>
        <v>903.437039369771</v>
      </c>
      <c r="AG208" s="217">
        <f t="shared" si="341"/>
        <v>0.0878903429240646</v>
      </c>
      <c r="AI208" s="5">
        <f t="shared" si="342"/>
        <v>0.481987947517598</v>
      </c>
      <c r="AJ208" s="5">
        <f t="shared" si="375"/>
        <v>1.5</v>
      </c>
      <c r="AK208" s="5">
        <f t="shared" si="376"/>
        <v>2</v>
      </c>
      <c r="AM208" s="216">
        <f t="shared" si="345"/>
        <v>490</v>
      </c>
      <c r="AN208" s="220">
        <f t="shared" si="346"/>
        <v>32.4095474287799</v>
      </c>
      <c r="AP208" t="str">
        <f t="shared" si="347"/>
        <v/>
      </c>
      <c r="AQ208" t="str">
        <f t="shared" si="348"/>
        <v/>
      </c>
      <c r="AS208" s="192">
        <f t="shared" si="364"/>
        <v>30.8551053419522</v>
      </c>
      <c r="AT208" s="192">
        <f t="shared" si="349"/>
        <v>3.75</v>
      </c>
      <c r="AU208" s="192">
        <f t="shared" si="304"/>
        <v>27.1051053419522</v>
      </c>
      <c r="AV208" s="192"/>
      <c r="AW208" s="5">
        <f t="shared" si="305"/>
        <v>0.121535802857925</v>
      </c>
      <c r="AX208" s="5">
        <f t="shared" si="360"/>
        <v>0.911518521434436</v>
      </c>
      <c r="AY208" s="5">
        <f t="shared" si="361"/>
        <v>0.439451714620323</v>
      </c>
      <c r="AZ208" s="5">
        <f t="shared" si="365"/>
        <v>2.0742176924306</v>
      </c>
      <c r="BA208" s="220">
        <f t="shared" si="350"/>
        <v>5.22063553448612</v>
      </c>
      <c r="BB208" s="220">
        <f t="shared" si="351"/>
        <v>204.771601333448</v>
      </c>
      <c r="BC208" s="192">
        <f t="shared" si="359"/>
        <v>44.2716720585219</v>
      </c>
      <c r="BD208" s="220">
        <f t="shared" si="352"/>
        <v>24.9802611010512</v>
      </c>
      <c r="BF208" s="5">
        <f t="shared" si="366"/>
        <v>0.301913650144281</v>
      </c>
      <c r="BG208" s="5">
        <f t="shared" si="362"/>
        <v>0.541400308137847</v>
      </c>
      <c r="BI208" s="217">
        <f t="shared" si="306"/>
        <v>0.0319031482502052</v>
      </c>
      <c r="BJ208" s="217">
        <f t="shared" si="307"/>
        <v>0.00541388525978797</v>
      </c>
      <c r="BK208" s="217">
        <f t="shared" si="308"/>
        <v>0.000405119342859749</v>
      </c>
      <c r="BL208" s="217">
        <f t="shared" si="309"/>
        <v>0.000803882557428037</v>
      </c>
      <c r="BM208">
        <f t="shared" si="310"/>
        <v>0.0029</v>
      </c>
      <c r="BN208">
        <f t="shared" si="353"/>
        <v>4.05119342859749e-7</v>
      </c>
      <c r="BO208" s="217">
        <f t="shared" si="377"/>
        <v>0.05607126445422</v>
      </c>
      <c r="BP208" s="220">
        <f t="shared" si="311"/>
        <v>41.426035410281</v>
      </c>
      <c r="BQ208" s="217">
        <f t="shared" si="355"/>
        <v>0.509530425036722</v>
      </c>
      <c r="BT208" s="220">
        <f t="shared" si="312"/>
        <v>509.530425036722</v>
      </c>
      <c r="BU208" s="217">
        <f t="shared" si="313"/>
        <v>0.00373722593788119</v>
      </c>
      <c r="BV208" s="217">
        <f t="shared" si="314"/>
        <v>0.0293114293651756</v>
      </c>
      <c r="BW208" s="217">
        <f t="shared" si="315"/>
        <v>0</v>
      </c>
      <c r="BX208" s="217"/>
      <c r="BY208" s="217">
        <f t="shared" si="316"/>
        <v>0.00291685926859019</v>
      </c>
      <c r="BZ208" s="220">
        <f t="shared" si="317"/>
        <v>35.9655145716469</v>
      </c>
      <c r="CA208" s="5">
        <f t="shared" si="318"/>
        <v>0.58692197501865</v>
      </c>
      <c r="CB208" s="192">
        <f t="shared" si="319"/>
        <v>0.820366669290992</v>
      </c>
      <c r="CC208" s="5">
        <f t="shared" si="320"/>
        <v>0.582941298224879</v>
      </c>
      <c r="CD208" s="192">
        <f t="shared" si="321"/>
        <v>58.2941298224879</v>
      </c>
      <c r="CG208" s="227">
        <f t="shared" si="356"/>
        <v>-50</v>
      </c>
      <c r="CH208">
        <f t="shared" si="357"/>
        <v>-50</v>
      </c>
    </row>
    <row r="209" spans="5:86">
      <c r="E209" s="22">
        <v>99</v>
      </c>
      <c r="F209" s="25">
        <f t="shared" si="378"/>
        <v>0.495</v>
      </c>
      <c r="G209" s="25"/>
      <c r="H209" s="25">
        <f t="shared" si="367"/>
        <v>8.91</v>
      </c>
      <c r="I209" s="212">
        <f t="shared" si="323"/>
        <v>10</v>
      </c>
      <c r="J209" s="131">
        <f t="shared" si="324"/>
        <v>1.34536277775604</v>
      </c>
      <c r="K209" s="131">
        <f t="shared" si="325"/>
        <v>22.2728</v>
      </c>
      <c r="L209" s="131"/>
      <c r="M209" s="25">
        <f t="shared" si="326"/>
        <v>0.551021874214288</v>
      </c>
      <c r="N209" s="27">
        <f t="shared" si="368"/>
        <v>3.74915283215402</v>
      </c>
      <c r="O209" s="27">
        <f t="shared" si="363"/>
        <v>0.800432646160778</v>
      </c>
      <c r="P209" s="25">
        <f t="shared" si="369"/>
        <v>0.208286268453001</v>
      </c>
      <c r="Q209" s="25">
        <f t="shared" si="329"/>
        <v>7.57404612556367</v>
      </c>
      <c r="R209" s="25"/>
      <c r="S209" s="27">
        <f t="shared" si="330"/>
        <v>1.61703564880965</v>
      </c>
      <c r="T209" s="195">
        <f t="shared" si="370"/>
        <v>1.61703564880965</v>
      </c>
      <c r="U209" s="25">
        <f t="shared" si="332"/>
        <v>1.5</v>
      </c>
      <c r="V209" s="25">
        <f t="shared" si="371"/>
        <v>3.75</v>
      </c>
      <c r="W209" s="25">
        <f t="shared" si="334"/>
        <v>27.873522755362</v>
      </c>
      <c r="X209" s="24">
        <f t="shared" si="335"/>
        <v>158.110152328055</v>
      </c>
      <c r="Y209" s="131">
        <f t="shared" si="303"/>
        <v>31.622030465611</v>
      </c>
      <c r="AA209" s="25">
        <f t="shared" si="336"/>
        <v>0.3</v>
      </c>
      <c r="AB209" s="5">
        <f t="shared" si="372"/>
        <v>5.57470455107241</v>
      </c>
      <c r="AC209" s="5">
        <f t="shared" si="373"/>
        <v>0.0881858094446836</v>
      </c>
      <c r="AD209" s="5"/>
      <c r="AE209" s="5">
        <f t="shared" si="339"/>
        <v>5.57470455107241</v>
      </c>
      <c r="AF209" s="216">
        <f t="shared" si="374"/>
        <v>887.495685476247</v>
      </c>
      <c r="AG209" s="217">
        <f t="shared" si="341"/>
        <v>0.0881858094446836</v>
      </c>
      <c r="AI209" s="5">
        <f t="shared" si="342"/>
        <v>0.477716627578862</v>
      </c>
      <c r="AJ209" s="5">
        <f t="shared" si="375"/>
        <v>1.5</v>
      </c>
      <c r="AK209" s="5">
        <f t="shared" si="376"/>
        <v>2</v>
      </c>
      <c r="AM209" s="216">
        <f t="shared" si="345"/>
        <v>495</v>
      </c>
      <c r="AN209" s="220">
        <f t="shared" si="346"/>
        <v>31.622030465611</v>
      </c>
      <c r="AP209" t="str">
        <f t="shared" si="347"/>
        <v/>
      </c>
      <c r="AQ209" t="str">
        <f t="shared" si="348"/>
        <v/>
      </c>
      <c r="AS209" s="192">
        <f t="shared" si="364"/>
        <v>31.623522755362</v>
      </c>
      <c r="AT209" s="192">
        <f t="shared" si="349"/>
        <v>3.75</v>
      </c>
      <c r="AU209" s="192">
        <f t="shared" si="304"/>
        <v>27.873522755362</v>
      </c>
      <c r="AV209" s="192"/>
      <c r="AW209" s="5">
        <f t="shared" si="305"/>
        <v>0.118582614246041</v>
      </c>
      <c r="AX209" s="5">
        <f t="shared" si="360"/>
        <v>0.889369606845309</v>
      </c>
      <c r="AY209" s="5">
        <f t="shared" si="361"/>
        <v>0.440929047223418</v>
      </c>
      <c r="AZ209" s="5">
        <f t="shared" si="365"/>
        <v>2.01703564880965</v>
      </c>
      <c r="BA209" s="220">
        <f t="shared" si="350"/>
        <v>5.22063553448612</v>
      </c>
      <c r="BB209" s="220">
        <f t="shared" si="351"/>
        <v>208.956782035519</v>
      </c>
      <c r="BC209" s="192">
        <f t="shared" si="359"/>
        <v>45.9913125463474</v>
      </c>
      <c r="BD209" s="220">
        <f t="shared" si="352"/>
        <v>25.0566748563837</v>
      </c>
      <c r="BF209" s="5">
        <f t="shared" si="366"/>
        <v>0.298223004955236</v>
      </c>
      <c r="BG209" s="5">
        <f t="shared" si="362"/>
        <v>0.542309574411166</v>
      </c>
      <c r="BI209" s="217">
        <f t="shared" si="306"/>
        <v>0.0311279362395858</v>
      </c>
      <c r="BJ209" s="217">
        <f t="shared" si="307"/>
        <v>0.00528233370115845</v>
      </c>
      <c r="BK209" s="217">
        <f t="shared" si="308"/>
        <v>0.000395275380820137</v>
      </c>
      <c r="BL209" s="217">
        <f t="shared" si="309"/>
        <v>0.000784349080394413</v>
      </c>
      <c r="BM209">
        <f t="shared" si="310"/>
        <v>0.0029</v>
      </c>
      <c r="BN209">
        <f t="shared" si="353"/>
        <v>3.95275380820137e-7</v>
      </c>
      <c r="BO209" s="217">
        <f t="shared" si="377"/>
        <v>0.0547562347482418</v>
      </c>
      <c r="BP209" s="220">
        <f t="shared" si="311"/>
        <v>40.4898944019588</v>
      </c>
      <c r="BQ209" s="217">
        <f t="shared" si="355"/>
        <v>0.513457073452719</v>
      </c>
      <c r="BT209" s="220">
        <f t="shared" si="312"/>
        <v>513.457073452719</v>
      </c>
      <c r="BU209" s="217">
        <f t="shared" si="313"/>
        <v>0.00364641538806577</v>
      </c>
      <c r="BV209" s="217">
        <f t="shared" si="314"/>
        <v>0.029409967449802</v>
      </c>
      <c r="BW209" s="217">
        <f t="shared" si="315"/>
        <v>0</v>
      </c>
      <c r="BX209" s="217"/>
      <c r="BY209" s="217">
        <f t="shared" si="316"/>
        <v>0.00284598274190499</v>
      </c>
      <c r="BZ209" s="220">
        <f t="shared" si="317"/>
        <v>35.9023655797727</v>
      </c>
      <c r="CA209" s="5">
        <f t="shared" si="318"/>
        <v>0.58984933343445</v>
      </c>
      <c r="CB209" s="192">
        <f t="shared" si="319"/>
        <v>0.800432646160778</v>
      </c>
      <c r="CC209" s="5">
        <f t="shared" si="320"/>
        <v>0.575734029433237</v>
      </c>
      <c r="CD209" s="192">
        <f t="shared" si="321"/>
        <v>57.5734029433237</v>
      </c>
      <c r="CG209" s="227">
        <f t="shared" si="356"/>
        <v>-50</v>
      </c>
      <c r="CH209">
        <f t="shared" si="357"/>
        <v>-50</v>
      </c>
    </row>
    <row r="210" spans="5:86">
      <c r="E210" s="22">
        <v>100</v>
      </c>
      <c r="F210" s="25">
        <f t="shared" si="378"/>
        <v>0.5</v>
      </c>
      <c r="G210" s="25"/>
      <c r="H210" s="25">
        <f t="shared" si="367"/>
        <v>9</v>
      </c>
      <c r="I210" s="212">
        <f t="shared" si="323"/>
        <v>10</v>
      </c>
      <c r="J210" s="131">
        <f t="shared" si="324"/>
        <v>1.30919441904002</v>
      </c>
      <c r="K210" s="131">
        <f t="shared" si="325"/>
        <v>22.2728</v>
      </c>
      <c r="L210" s="131"/>
      <c r="M210" s="25">
        <f t="shared" si="326"/>
        <v>0.551021874214288</v>
      </c>
      <c r="N210" s="27">
        <f t="shared" si="368"/>
        <v>3.74915283215402</v>
      </c>
      <c r="O210" s="27">
        <f t="shared" si="363"/>
        <v>0.781405111724156</v>
      </c>
      <c r="P210" s="25">
        <f t="shared" si="369"/>
        <v>0.208286268453001</v>
      </c>
      <c r="Q210" s="25">
        <f t="shared" si="329"/>
        <v>7.49830566430803</v>
      </c>
      <c r="R210" s="25"/>
      <c r="S210" s="27">
        <f t="shared" si="330"/>
        <v>1.56281022344831</v>
      </c>
      <c r="T210" s="195">
        <f t="shared" si="370"/>
        <v>1.56281022344831</v>
      </c>
      <c r="U210" s="25">
        <f t="shared" si="332"/>
        <v>1.5</v>
      </c>
      <c r="V210" s="25">
        <f t="shared" si="371"/>
        <v>3.75</v>
      </c>
      <c r="W210" s="25">
        <f t="shared" si="334"/>
        <v>28.6435684835084</v>
      </c>
      <c r="X210" s="24">
        <f t="shared" si="335"/>
        <v>154.351627007241</v>
      </c>
      <c r="Y210" s="131">
        <f t="shared" si="303"/>
        <v>30.8703254014481</v>
      </c>
      <c r="AA210" s="25">
        <f t="shared" si="336"/>
        <v>0.3</v>
      </c>
      <c r="AB210" s="5">
        <f t="shared" si="372"/>
        <v>5.72871369670169</v>
      </c>
      <c r="AC210" s="5">
        <f t="shared" si="373"/>
        <v>0.0884678397884442</v>
      </c>
      <c r="AD210" s="5"/>
      <c r="AE210" s="5">
        <f t="shared" si="339"/>
        <v>5.72871369670169</v>
      </c>
      <c r="AF210" s="216">
        <f t="shared" si="374"/>
        <v>872.360099310361</v>
      </c>
      <c r="AG210" s="217">
        <f t="shared" si="341"/>
        <v>0.0884678397884442</v>
      </c>
      <c r="AI210" s="5">
        <f t="shared" si="342"/>
        <v>0.473625557158915</v>
      </c>
      <c r="AJ210" s="5">
        <f t="shared" si="375"/>
        <v>1.5</v>
      </c>
      <c r="AK210" s="5">
        <f t="shared" si="376"/>
        <v>2</v>
      </c>
      <c r="AM210" s="216">
        <f t="shared" si="345"/>
        <v>500</v>
      </c>
      <c r="AN210" s="220">
        <f t="shared" si="346"/>
        <v>30.8703254014481</v>
      </c>
      <c r="AP210" t="str">
        <f t="shared" si="347"/>
        <v/>
      </c>
      <c r="AQ210" t="str">
        <f t="shared" si="348"/>
        <v/>
      </c>
      <c r="AS210" s="192">
        <f t="shared" si="364"/>
        <v>32.3935684835084</v>
      </c>
      <c r="AT210" s="192">
        <f t="shared" si="349"/>
        <v>3.75</v>
      </c>
      <c r="AU210" s="192">
        <f t="shared" si="304"/>
        <v>28.6435684835084</v>
      </c>
      <c r="AV210" s="192"/>
      <c r="AW210" s="5">
        <f t="shared" si="305"/>
        <v>0.11576372025543</v>
      </c>
      <c r="AX210" s="5">
        <f t="shared" si="360"/>
        <v>0.868227901915728</v>
      </c>
      <c r="AY210" s="5">
        <f t="shared" si="361"/>
        <v>0.442339198942221</v>
      </c>
      <c r="AZ210" s="5">
        <f t="shared" si="365"/>
        <v>1.96281022344831</v>
      </c>
      <c r="BA210" s="220">
        <f t="shared" si="350"/>
        <v>5.22063553448612</v>
      </c>
      <c r="BB210" s="220">
        <f t="shared" si="351"/>
        <v>213.184299597509</v>
      </c>
      <c r="BC210" s="192">
        <f t="shared" si="359"/>
        <v>47.7392808058474</v>
      </c>
      <c r="BD210" s="220">
        <f t="shared" si="352"/>
        <v>25.1296137383908</v>
      </c>
      <c r="BF210" s="5">
        <f t="shared" si="366"/>
        <v>0.294657072189983</v>
      </c>
      <c r="BG210" s="5">
        <f t="shared" si="362"/>
        <v>0.54317607246128</v>
      </c>
      <c r="BI210" s="217">
        <f t="shared" si="306"/>
        <v>0.0303879765670505</v>
      </c>
      <c r="BJ210" s="217">
        <f t="shared" si="307"/>
        <v>0.0051567643770103</v>
      </c>
      <c r="BK210" s="217">
        <f t="shared" si="308"/>
        <v>0.000385879067518101</v>
      </c>
      <c r="BL210" s="217">
        <f t="shared" si="309"/>
        <v>0.000765703877441834</v>
      </c>
      <c r="BM210">
        <f t="shared" si="310"/>
        <v>0.0029</v>
      </c>
      <c r="BN210">
        <f t="shared" si="353"/>
        <v>3.85879067518101e-7</v>
      </c>
      <c r="BO210" s="217">
        <f t="shared" si="377"/>
        <v>0.0535020937085735</v>
      </c>
      <c r="BP210" s="220">
        <f t="shared" si="311"/>
        <v>39.5963238890207</v>
      </c>
      <c r="BQ210" s="217">
        <f t="shared" si="355"/>
        <v>0.51735528790542</v>
      </c>
      <c r="BT210" s="220">
        <f t="shared" si="312"/>
        <v>517.35528790542</v>
      </c>
      <c r="BU210" s="217">
        <f t="shared" si="313"/>
        <v>0.00355973439785449</v>
      </c>
      <c r="BV210" s="217">
        <f t="shared" si="314"/>
        <v>0.0295040245694461</v>
      </c>
      <c r="BW210" s="217">
        <f t="shared" si="315"/>
        <v>0</v>
      </c>
      <c r="BX210" s="217"/>
      <c r="BY210" s="217">
        <f t="shared" si="316"/>
        <v>0.00277832928613033</v>
      </c>
      <c r="BZ210" s="220">
        <f t="shared" si="317"/>
        <v>35.842088253431</v>
      </c>
      <c r="CA210" s="5">
        <f t="shared" si="318"/>
        <v>0.592793700047872</v>
      </c>
      <c r="CB210" s="192">
        <f t="shared" si="319"/>
        <v>0.781405111724156</v>
      </c>
      <c r="CC210" s="5">
        <f t="shared" si="320"/>
        <v>0.568625955014861</v>
      </c>
      <c r="CD210" s="192">
        <f t="shared" si="321"/>
        <v>56.8625955014861</v>
      </c>
      <c r="CG210" s="227">
        <f t="shared" si="356"/>
        <v>-50</v>
      </c>
      <c r="CH210">
        <f t="shared" si="357"/>
        <v>-50</v>
      </c>
    </row>
    <row r="211" ht="13" spans="5:88">
      <c r="E211" s="22"/>
      <c r="F211" s="25"/>
      <c r="G211" s="25"/>
      <c r="H211" s="25"/>
      <c r="I211" s="212"/>
      <c r="J211" s="131"/>
      <c r="K211" s="131"/>
      <c r="L211" s="131"/>
      <c r="M211" s="25"/>
      <c r="N211" s="27"/>
      <c r="O211" s="27"/>
      <c r="P211" s="25"/>
      <c r="Q211" s="25"/>
      <c r="R211" s="25"/>
      <c r="S211" s="27"/>
      <c r="T211" s="195"/>
      <c r="U211" s="25"/>
      <c r="V211" s="25"/>
      <c r="W211" s="25"/>
      <c r="X211" s="24"/>
      <c r="Y211" s="131"/>
      <c r="AA211" s="25"/>
      <c r="AB211" s="5"/>
      <c r="AC211" s="5"/>
      <c r="AD211" s="5"/>
      <c r="AE211" s="5"/>
      <c r="AF211" s="216"/>
      <c r="AG211" s="217"/>
      <c r="AI211" s="5"/>
      <c r="AJ211" s="5"/>
      <c r="AK211" s="5"/>
      <c r="AM211" s="216"/>
      <c r="AN211" s="220"/>
      <c r="AS211" s="192"/>
      <c r="AT211" s="192"/>
      <c r="AU211" s="192"/>
      <c r="AV211" s="192"/>
      <c r="AW211" s="5"/>
      <c r="AX211" s="5"/>
      <c r="BA211" s="220"/>
      <c r="BB211" s="220"/>
      <c r="BC211" s="192"/>
      <c r="BD211" s="220"/>
      <c r="BQ211" s="217"/>
      <c r="CB211" s="192"/>
      <c r="CG211" s="227"/>
      <c r="CI211" s="197">
        <f>MAX(CH110:CH210)</f>
        <v>3.33536517375834</v>
      </c>
      <c r="CJ211" s="2" t="s">
        <v>68</v>
      </c>
    </row>
    <row r="212" spans="5:85">
      <c r="E212" s="235">
        <v>101</v>
      </c>
      <c r="F212" s="236">
        <f>Ioutmax_Vinmin</f>
        <v>0.208286268453001</v>
      </c>
      <c r="H212" s="25">
        <f t="shared" ref="H212" si="379">F212*Vout</f>
        <v>3.74915283215402</v>
      </c>
      <c r="I212" s="212">
        <f t="shared" si="323"/>
        <v>10</v>
      </c>
      <c r="J212" s="131">
        <f t="shared" ref="J212" si="380">(T212+Vfwd1)*Nps</f>
        <v>12.1029257943095</v>
      </c>
      <c r="K212" s="131">
        <f t="shared" ref="K212" si="381">(Vout+Vfwd1)*Nps+I212</f>
        <v>22.2728</v>
      </c>
      <c r="L212" s="131"/>
      <c r="M212" s="25">
        <f t="shared" ref="M212" si="382">(Vout+Vfwd1)*Nps/((Vout+Vfwd1)*Nps+I212)</f>
        <v>0.551021874214288</v>
      </c>
      <c r="N212" s="27">
        <f>M212*I212*(Isw_max+VIN_min/Lmag*ILIM_delay)*0.5*Efficiency</f>
        <v>3.74915283215402</v>
      </c>
      <c r="O212" s="27">
        <f t="shared" ref="O212" si="383">T212*F212</f>
        <v>3.69610565912599</v>
      </c>
      <c r="P212" s="25">
        <f t="shared" ref="P212" si="384">N212/Vout</f>
        <v>0.208286268453001</v>
      </c>
      <c r="Q212" s="25">
        <f t="shared" ref="Q212" si="385">MIN(Vout,N212/F212)</f>
        <v>18</v>
      </c>
      <c r="R212" s="25"/>
      <c r="S212" s="27">
        <f t="shared" ref="S212" si="386">(SQRT(Isw_max^2*Nps^2*I212^2+4*Isw_max*F212/Efficiency*(Nps^2*Vfwd1*I212-Nps*I212^2)+4*(F212/Efficiency)^2*Nps^2*Vfwd1^2+8*(F212/Efficiency)^2*Nps*Vfwd1*I212+4*(F212/Efficiency)^2*I212^2)-2*F212/Efficiency*I212-2*F212/Efficiency*Nps*Vfwd1+Isw_max*Nps*I212)/(4*F212/Efficiency*Nps)</f>
        <v>17.7453160334475</v>
      </c>
      <c r="T212" s="195">
        <f t="shared" ref="T212" si="387">MIN(Vout,S212)</f>
        <v>17.7453160334475</v>
      </c>
      <c r="U212" s="25">
        <f>MIN(2*Vout*F212/(Efficiency*I212*M212),Isw_max)</f>
        <v>1.5</v>
      </c>
      <c r="V212" s="25">
        <f t="shared" ref="V212" si="388">L*U212/I212*1000000</f>
        <v>3.75</v>
      </c>
      <c r="W212" s="25">
        <f t="shared" ref="W212" si="389">L*U212/J212*1000000</f>
        <v>3.09842435104672</v>
      </c>
      <c r="X212" s="24">
        <f t="shared" ref="X212" si="390">IF(1/((350000*L)*(1/I212+1/J212))&gt;Isw_min,350,0.001/((Isw_min*L)*(1/I212+1/J212)))</f>
        <v>350</v>
      </c>
      <c r="Y212" s="131">
        <f t="shared" ref="Y212" si="391">MIN(1/(V212+W212)*1000,350)</f>
        <v>146.018989002508</v>
      </c>
      <c r="AA212" s="25">
        <f t="shared" ref="AA212" si="392">1/((X212*1000*L)*(1/I212+1/J212))</f>
        <v>0.625795667153606</v>
      </c>
      <c r="AB212" s="5">
        <f t="shared" ref="AB212" si="393">L*AA212/J212*1000000</f>
        <v>1.29265368925884</v>
      </c>
      <c r="AC212" s="5">
        <f t="shared" ref="AC212" si="394">0.5*AB212*AA212*Nps*X212/1000</f>
        <v>0.0944231804141781</v>
      </c>
      <c r="AD212" s="5"/>
      <c r="AE212" s="5">
        <f t="shared" ref="AE212" si="395">L*Isw_min/J212*1000000</f>
        <v>0.619684870209344</v>
      </c>
      <c r="AF212" s="216">
        <f>MAX(12000,F212/(0.5*AE212/1000000*Isw_min*Nps))/1000</f>
        <v>3359.48459245083</v>
      </c>
      <c r="AG212" s="217">
        <f t="shared" ref="AG212" si="396">0.5*AE212/1000000*Isw_min*Nps*X212*1000</f>
        <v>0.0216998149425557</v>
      </c>
      <c r="AI212" s="5">
        <f t="shared" ref="AI212" si="397">SQRT(F212/(0.5*L/J212*Fsw_DCM*Nps))</f>
        <v>0.929444708753681</v>
      </c>
      <c r="AJ212" s="5">
        <f t="shared" ref="AJ212" si="398">MAX(IF(F212&gt;AC212,U212,AI212),Isw_min)</f>
        <v>1.5</v>
      </c>
      <c r="AK212" s="5">
        <f t="shared" ref="AK212" si="399">IF(F212&gt;AG212,(AJ212-Isw_min)/1.08*0.8+1.2,AF212*0.2/350+1)</f>
        <v>2.08888888888889</v>
      </c>
      <c r="AM212" s="216">
        <f t="shared" ref="AM212" si="400">F212*1000</f>
        <v>208.286268453001</v>
      </c>
      <c r="AN212" s="220">
        <f t="shared" ref="AN212" si="401">IF(F212&gt;AG212,Y212,AF212)</f>
        <v>146.018989002508</v>
      </c>
      <c r="AS212" s="192">
        <f t="shared" ref="AS212" si="402">1/AN212*1000</f>
        <v>6.84842435104672</v>
      </c>
      <c r="AT212" s="192">
        <f t="shared" ref="AT212" si="403">L*AJ212/I212*1000000</f>
        <v>3.75</v>
      </c>
      <c r="AU212" s="192">
        <f t="shared" si="304"/>
        <v>3.09842435104672</v>
      </c>
      <c r="AV212" s="192"/>
      <c r="AW212" s="5"/>
      <c r="AX212" s="5"/>
      <c r="BA212" s="220">
        <f>L*Isw_max^2/(2*Vout_ripple*Vout)*1000000000*((1+M212)/2)^2</f>
        <v>5.22063553448612</v>
      </c>
      <c r="BB212" s="220">
        <f>L*F212^2/(2*Cout*Vout*Nps^2)*1000000000*((1+M212)/(1-M212))^2+F212*RCoutEsr</f>
        <v>37.3590023118219</v>
      </c>
      <c r="BC212" s="192">
        <f t="shared" si="359"/>
        <v>2.15119748721144</v>
      </c>
      <c r="BD212" s="220">
        <f>((CB212/I212/Efficiency)*AU212/Cin+(CB212/I212/Efficiency)*RCinEsr)*1000</f>
        <v>13.9565949733504</v>
      </c>
      <c r="BQ212" s="217">
        <f>(Vfwd2*F212+BG212^2*Rdiode)*(1+Diode_TC/1000*(Ta-25))</f>
        <v>0.137526215902805</v>
      </c>
      <c r="CB212" s="192">
        <f t="shared" si="319"/>
        <v>3.69610565912599</v>
      </c>
      <c r="CG212" s="227"/>
    </row>
    <row r="213" spans="8:85">
      <c r="H213" s="25"/>
      <c r="I213" s="212"/>
      <c r="J213" s="131"/>
      <c r="K213" s="131"/>
      <c r="L213" s="131"/>
      <c r="M213" s="25"/>
      <c r="N213" s="27"/>
      <c r="O213" s="27"/>
      <c r="P213" s="25"/>
      <c r="Q213" s="25"/>
      <c r="R213" s="25"/>
      <c r="S213" s="27"/>
      <c r="T213" s="27"/>
      <c r="U213" s="25"/>
      <c r="V213" s="25"/>
      <c r="W213" s="25"/>
      <c r="X213" s="24"/>
      <c r="Y213" s="131"/>
      <c r="AA213" s="25"/>
      <c r="AB213" s="5"/>
      <c r="AC213" s="5"/>
      <c r="AD213" s="5"/>
      <c r="AE213" s="5"/>
      <c r="AF213" s="216"/>
      <c r="AI213" s="5"/>
      <c r="AJ213" s="5"/>
      <c r="AK213" s="5"/>
      <c r="AM213" s="216"/>
      <c r="AN213" s="220"/>
      <c r="AS213" s="192"/>
      <c r="AT213" s="192"/>
      <c r="AU213" s="192"/>
      <c r="AV213" s="192"/>
      <c r="AW213" s="5"/>
      <c r="AX213" s="5"/>
      <c r="BA213" s="220"/>
      <c r="BB213" s="220"/>
      <c r="BC213" s="192"/>
      <c r="BD213" s="220"/>
      <c r="BQ213" s="217"/>
      <c r="CG213" s="227"/>
    </row>
    <row r="214" ht="13" spans="5:85">
      <c r="E214" s="204" t="s">
        <v>635</v>
      </c>
      <c r="H214" s="25"/>
      <c r="I214" s="212"/>
      <c r="J214" s="131"/>
      <c r="K214" s="131"/>
      <c r="L214" s="131"/>
      <c r="M214" s="25"/>
      <c r="N214" s="27"/>
      <c r="O214" s="27"/>
      <c r="P214" s="25"/>
      <c r="Q214" s="25"/>
      <c r="R214" s="25"/>
      <c r="S214" s="27"/>
      <c r="T214" s="27"/>
      <c r="U214" s="25"/>
      <c r="V214" s="25"/>
      <c r="W214" s="25"/>
      <c r="X214" s="24"/>
      <c r="Y214" s="131"/>
      <c r="AA214" s="25"/>
      <c r="AB214" s="5"/>
      <c r="AC214" s="5"/>
      <c r="AD214" s="5"/>
      <c r="AE214" s="5"/>
      <c r="AF214" s="216"/>
      <c r="AI214" s="5"/>
      <c r="AJ214" s="5"/>
      <c r="AK214" s="5"/>
      <c r="AM214" s="216"/>
      <c r="AN214" s="220"/>
      <c r="AS214" s="192"/>
      <c r="AT214" s="192"/>
      <c r="AU214" s="192"/>
      <c r="AV214" s="192"/>
      <c r="AW214" s="5"/>
      <c r="AX214" s="5"/>
      <c r="BA214" s="220"/>
      <c r="BB214" s="220"/>
      <c r="BC214" s="192"/>
      <c r="BD214" s="220"/>
      <c r="BQ214" s="217"/>
      <c r="CG214" s="227"/>
    </row>
    <row r="215" ht="45" customHeight="1" spans="5:85">
      <c r="E215" s="38" t="s">
        <v>566</v>
      </c>
      <c r="F215" s="121" t="s">
        <v>567</v>
      </c>
      <c r="G215" s="170"/>
      <c r="H215" s="190" t="s">
        <v>568</v>
      </c>
      <c r="I215" s="117" t="s">
        <v>569</v>
      </c>
      <c r="J215" s="118" t="s">
        <v>570</v>
      </c>
      <c r="K215" s="190" t="s">
        <v>571</v>
      </c>
      <c r="L215" s="190"/>
      <c r="M215" s="120" t="s">
        <v>572</v>
      </c>
      <c r="N215" s="190" t="s">
        <v>573</v>
      </c>
      <c r="O215" s="190" t="s">
        <v>574</v>
      </c>
      <c r="P215" s="190" t="s">
        <v>575</v>
      </c>
      <c r="Q215" s="190" t="s">
        <v>576</v>
      </c>
      <c r="R215" s="190"/>
      <c r="S215" s="190" t="s">
        <v>578</v>
      </c>
      <c r="T215" s="190" t="s">
        <v>579</v>
      </c>
      <c r="U215" s="190" t="s">
        <v>580</v>
      </c>
      <c r="V215" s="190" t="s">
        <v>581</v>
      </c>
      <c r="W215" s="190" t="s">
        <v>582</v>
      </c>
      <c r="X215" s="228" t="s">
        <v>583</v>
      </c>
      <c r="Y215" s="229" t="s">
        <v>584</v>
      </c>
      <c r="AA215" s="128" t="s">
        <v>585</v>
      </c>
      <c r="AB215" s="128" t="s">
        <v>586</v>
      </c>
      <c r="AC215" s="128" t="s">
        <v>587</v>
      </c>
      <c r="AD215" s="215"/>
      <c r="AE215" s="128" t="s">
        <v>588</v>
      </c>
      <c r="AF215" s="128" t="s">
        <v>632</v>
      </c>
      <c r="AG215" s="128" t="s">
        <v>590</v>
      </c>
      <c r="AH215" s="215"/>
      <c r="AI215" s="128" t="s">
        <v>591</v>
      </c>
      <c r="AJ215" s="218" t="s">
        <v>592</v>
      </c>
      <c r="AK215" s="218" t="s">
        <v>593</v>
      </c>
      <c r="AM215" s="219" t="s">
        <v>594</v>
      </c>
      <c r="AN215" s="219" t="s">
        <v>595</v>
      </c>
      <c r="AP215" s="128" t="s">
        <v>594</v>
      </c>
      <c r="AQ215" s="128" t="s">
        <v>595</v>
      </c>
      <c r="AR215" s="221"/>
      <c r="AS215" s="128" t="s">
        <v>596</v>
      </c>
      <c r="AT215" s="128" t="s">
        <v>597</v>
      </c>
      <c r="AU215" s="128" t="s">
        <v>598</v>
      </c>
      <c r="AV215" s="128" t="s">
        <v>599</v>
      </c>
      <c r="AW215" s="128" t="s">
        <v>572</v>
      </c>
      <c r="AX215" s="221" t="s">
        <v>600</v>
      </c>
      <c r="AY215" s="215" t="s">
        <v>601</v>
      </c>
      <c r="AZ215" s="215" t="s">
        <v>602</v>
      </c>
      <c r="BA215" s="128" t="s">
        <v>603</v>
      </c>
      <c r="BB215" s="128" t="s">
        <v>604</v>
      </c>
      <c r="BC215" s="128" t="s">
        <v>605</v>
      </c>
      <c r="BD215" s="128" t="s">
        <v>606</v>
      </c>
      <c r="BE215" s="215"/>
      <c r="BF215" s="223" t="s">
        <v>607</v>
      </c>
      <c r="BG215" s="128" t="s">
        <v>608</v>
      </c>
      <c r="BH215" s="215"/>
      <c r="BI215" s="223" t="s">
        <v>609</v>
      </c>
      <c r="BJ215" s="128" t="s">
        <v>610</v>
      </c>
      <c r="BK215" s="128" t="s">
        <v>611</v>
      </c>
      <c r="BL215" s="128" t="s">
        <v>612</v>
      </c>
      <c r="BM215" s="128" t="s">
        <v>613</v>
      </c>
      <c r="BN215" s="128"/>
      <c r="BO215" s="128"/>
      <c r="BP215" s="128" t="s">
        <v>616</v>
      </c>
      <c r="BQ215" s="223" t="s">
        <v>617</v>
      </c>
      <c r="BR215" s="128" t="s">
        <v>618</v>
      </c>
      <c r="BS215" s="128" t="s">
        <v>619</v>
      </c>
      <c r="BT215" s="128" t="s">
        <v>633</v>
      </c>
      <c r="BU215" s="223" t="s">
        <v>621</v>
      </c>
      <c r="BV215" s="128" t="s">
        <v>622</v>
      </c>
      <c r="BW215" s="128" t="s">
        <v>623</v>
      </c>
      <c r="BX215" s="128"/>
      <c r="BY215" s="128" t="s">
        <v>625</v>
      </c>
      <c r="BZ215" s="128" t="s">
        <v>634</v>
      </c>
      <c r="CA215" s="223" t="s">
        <v>627</v>
      </c>
      <c r="CB215" s="128" t="s">
        <v>568</v>
      </c>
      <c r="CC215" s="128" t="s">
        <v>183</v>
      </c>
      <c r="CD215" s="128" t="s">
        <v>628</v>
      </c>
      <c r="CE215" s="128"/>
      <c r="CG215" s="227"/>
    </row>
    <row r="216" spans="5:86">
      <c r="E216" s="22">
        <v>0.1</v>
      </c>
      <c r="F216" s="25">
        <v>1e-9</v>
      </c>
      <c r="G216" s="25"/>
      <c r="H216" s="25">
        <f t="shared" ref="H216:H247" si="404">F216*Vout</f>
        <v>1.8e-8</v>
      </c>
      <c r="I216" s="212">
        <f t="shared" ref="I216:I247" si="405">VIN_max</f>
        <v>14</v>
      </c>
      <c r="J216" s="131">
        <f t="shared" ref="J216:J247" si="406">(T216+Vfwd1)*Nps</f>
        <v>12.2728</v>
      </c>
      <c r="K216" s="131">
        <f t="shared" ref="K216:K247" si="407">(Vout+Vfwd1)*Nps+I216</f>
        <v>26.2728</v>
      </c>
      <c r="L216" s="131"/>
      <c r="M216" s="25">
        <f t="shared" ref="M216:M247" si="408">(Vout+Vfwd1)*Nps/((Vout+Vfwd1)*Nps+I216)</f>
        <v>0.467129502755702</v>
      </c>
      <c r="N216" s="27">
        <f t="shared" ref="N216:N247" si="409">M216*I216*(Isw_max+VIN_max/Lmag*ILIM_delay)*0.5*Efficiency</f>
        <v>4.46381478761305</v>
      </c>
      <c r="O216" s="27">
        <f t="shared" si="363"/>
        <v>1.8e-8</v>
      </c>
      <c r="P216" s="25">
        <f t="shared" ref="P216:P247" si="410">N216/Vout</f>
        <v>0.247989710422947</v>
      </c>
      <c r="Q216" s="25">
        <f t="shared" ref="Q216:Q247" si="411">MIN(Vout,N216/F216)</f>
        <v>18</v>
      </c>
      <c r="R216" s="25"/>
      <c r="S216" s="27">
        <f t="shared" ref="S216:S247" si="412">(SQRT(Isw_max^2*Nps^2*I216^2+4*Isw_max*F216/Efficiency*(Nps^2*Vfwd1*I216-Nps*I216^2)+4*(F216/Efficiency)^2*Nps^2*Vfwd1^2+8*(F216/Efficiency)^2*Nps*Vfwd1*I216+4*(F216/Efficiency)^2*I216^2)-2*F216/Efficiency*I216-2*F216/Efficiency*Nps*Vfwd1+Isw_max*Nps*I216)/(4*F216/Efficiency*Nps)</f>
        <v>9449999979.0105</v>
      </c>
      <c r="T216" s="27">
        <f t="shared" ref="T216:T247" si="413">MIN(Vout,S216)</f>
        <v>18</v>
      </c>
      <c r="U216" s="25">
        <f t="shared" ref="U216:U247" si="414">MIN(2*Vout*F216/(Efficiency*I216*M216),Isw_max)</f>
        <v>6.11638280238763e-9</v>
      </c>
      <c r="V216" s="25">
        <f t="shared" ref="V216:V247" si="415">L*U216/I216*1000000</f>
        <v>1.09221121471208e-8</v>
      </c>
      <c r="W216" s="25">
        <f t="shared" ref="W216:W247" si="416">L*U216/J216*1000000</f>
        <v>1.24592244687187e-8</v>
      </c>
      <c r="X216" s="24">
        <f t="shared" ref="X216:X247" si="417">IF(1/((350000*L)*(1/I216+1/J216))&gt;Isw_min,350,0.001/((Isw_min*L)*(1/I216+1/J216)))</f>
        <v>350</v>
      </c>
      <c r="Y216" s="131">
        <f t="shared" ref="Y216:Y275" si="418">MIN(1/(V216+W216)*1000,350)</f>
        <v>350</v>
      </c>
      <c r="AA216" s="25">
        <f t="shared" ref="AA216:AA247" si="419">1/((X216*1000*L)*(1/I216+1/J216))</f>
        <v>0.747407204409123</v>
      </c>
      <c r="AB216" s="5">
        <f t="shared" ref="AB216:AB247" si="420">L*AA216/J216*1000000</f>
        <v>1.52248713498371</v>
      </c>
      <c r="AC216" s="5">
        <f t="shared" ref="AC216:AC247" si="421">0.5*AB216*AA216*Nps*X216/1000</f>
        <v>0.132823461427263</v>
      </c>
      <c r="AD216" s="5"/>
      <c r="AE216" s="5">
        <f t="shared" ref="AE216:AE247" si="422">L*Isw_min/J216*1000000</f>
        <v>0.611107489733394</v>
      </c>
      <c r="AF216" s="216">
        <f t="shared" ref="AF216:AF247" si="423">MAX(12000,F216/(0.5*AE216/1000000*Isw_min*Nps))/1000</f>
        <v>12</v>
      </c>
      <c r="AG216" s="217">
        <f t="shared" ref="AG216:AG247" si="424">0.5*AE216/1000000*Isw_min*Nps*X216*1000</f>
        <v>0.0213994565217391</v>
      </c>
      <c r="AI216" s="5">
        <f t="shared" ref="AI216:AI247" si="425">SQRT(F216/(0.5*L/J216*Fsw_DCM*Nps))</f>
        <v>6.48514786702222e-5</v>
      </c>
      <c r="AJ216" s="5">
        <f t="shared" ref="AJ216:AJ247" si="426">MAX(IF(F216&gt;AC216,U216,AI216),Isw_min)</f>
        <v>0.3</v>
      </c>
      <c r="AK216" s="5">
        <f t="shared" ref="AK216:AK247" si="427">IF(F216&gt;AG216,(AJ216-Isw_min)/1.2*0.8+1.2,AF216*0.2/350+1)</f>
        <v>1.00685714285714</v>
      </c>
      <c r="AM216" s="216">
        <f t="shared" ref="AM216:AM247" si="428">F216*1000</f>
        <v>1e-6</v>
      </c>
      <c r="AN216" s="220">
        <f t="shared" ref="AN216:AN247" si="429">IF(F216&gt;AG216,Y216,AF216)</f>
        <v>12</v>
      </c>
      <c r="AP216">
        <f t="shared" ref="AP216:AP247" si="430">IF(H216&gt;N216,"",AM216)</f>
        <v>1e-6</v>
      </c>
      <c r="AQ216">
        <f t="shared" ref="AQ216:AQ247" si="431">IF(H216&gt;N216,"",AN216)</f>
        <v>12</v>
      </c>
      <c r="AS216" s="192">
        <f t="shared" si="364"/>
        <v>83.3333333333333</v>
      </c>
      <c r="AT216" s="192">
        <f t="shared" ref="AT216:AT247" si="432">L*AJ216/I216*1000000</f>
        <v>0.535714285714286</v>
      </c>
      <c r="AU216" s="192">
        <f t="shared" si="304"/>
        <v>82.797619047619</v>
      </c>
      <c r="AV216" s="192"/>
      <c r="AW216" s="5">
        <f t="shared" si="305"/>
        <v>0.00642857142857143</v>
      </c>
      <c r="AX216" s="5"/>
      <c r="BA216" s="220">
        <f t="shared" ref="BA216:BA247" si="433">L*Isw_max^2/(2*Vout_ripple*Vout)*1000000000*((1+M216)/2)^2</f>
        <v>4.67115663597264</v>
      </c>
      <c r="BB216" s="220">
        <f t="shared" ref="BB216:BB247" si="434">L*F216^2/(2*Cout*Vout*Nps^2)*1000000000*((1+M216)/(1-M216))^2+F216*RCoutEsr</f>
        <v>3.00000053784447e-9</v>
      </c>
      <c r="BC216" s="192">
        <f t="shared" si="359"/>
        <v>1.97137188208617e-7</v>
      </c>
      <c r="BD216" s="220">
        <f t="shared" ref="BD216:BD247" si="435">((CB216/I216/Efficiency)*AU216/Cin+(CB216/I216/Efficiency)*RCinEsr)*1000</f>
        <v>0</v>
      </c>
      <c r="BQ216" s="217">
        <f t="shared" ref="BQ216:BQ247" si="436">(Vfwd2*F216+BG216^2*Rdiode)*(1+Diode_TC/1000*(Ta-25))</f>
        <v>6.60275e-10</v>
      </c>
      <c r="CG216" s="227">
        <f t="shared" ref="CG216:CG247" si="437">IF(ABS(F216-Ioutmax_Vinmax)&lt;Iout/200,AN216,-50)</f>
        <v>-50</v>
      </c>
      <c r="CH216">
        <f t="shared" ref="CH216:CH247" si="438">IF(ABS(F216-Ioutmax_Vinmin)&lt;Iout/200,N216*CC216,-50)</f>
        <v>-50</v>
      </c>
    </row>
    <row r="217" spans="5:86">
      <c r="E217" s="22">
        <v>1</v>
      </c>
      <c r="F217" s="25">
        <f t="shared" ref="F217:F248" si="439">IF(PLOT_TYPE=1,E217/100*Iout_max,min_I*EXP(N217*rr/100))</f>
        <v>0.005</v>
      </c>
      <c r="G217" s="25"/>
      <c r="H217" s="25">
        <f t="shared" si="404"/>
        <v>0.09</v>
      </c>
      <c r="I217" s="212">
        <f t="shared" si="405"/>
        <v>14</v>
      </c>
      <c r="J217" s="131">
        <f t="shared" si="406"/>
        <v>12.2728</v>
      </c>
      <c r="K217" s="131">
        <f t="shared" si="407"/>
        <v>26.2728</v>
      </c>
      <c r="L217" s="131"/>
      <c r="M217" s="25">
        <f t="shared" si="408"/>
        <v>0.467129502755702</v>
      </c>
      <c r="N217" s="27">
        <f t="shared" si="409"/>
        <v>4.46381478761305</v>
      </c>
      <c r="O217" s="27">
        <f t="shared" si="363"/>
        <v>0.09</v>
      </c>
      <c r="P217" s="25">
        <f t="shared" si="410"/>
        <v>0.247989710422947</v>
      </c>
      <c r="Q217" s="25">
        <f t="shared" si="411"/>
        <v>18</v>
      </c>
      <c r="R217" s="25"/>
      <c r="S217" s="27">
        <f t="shared" si="412"/>
        <v>1869.01498589138</v>
      </c>
      <c r="T217" s="27">
        <f t="shared" si="413"/>
        <v>18</v>
      </c>
      <c r="U217" s="25">
        <f t="shared" si="414"/>
        <v>0.0305819140119381</v>
      </c>
      <c r="V217" s="25">
        <f t="shared" si="415"/>
        <v>0.0546105607356038</v>
      </c>
      <c r="W217" s="25">
        <f t="shared" si="416"/>
        <v>0.0622961223435934</v>
      </c>
      <c r="X217" s="24">
        <f t="shared" si="417"/>
        <v>350</v>
      </c>
      <c r="Y217" s="131">
        <f t="shared" si="418"/>
        <v>350</v>
      </c>
      <c r="AA217" s="25">
        <f t="shared" si="419"/>
        <v>0.747407204409123</v>
      </c>
      <c r="AB217" s="5">
        <f t="shared" si="420"/>
        <v>1.52248713498371</v>
      </c>
      <c r="AC217" s="5">
        <f t="shared" si="421"/>
        <v>0.132823461427263</v>
      </c>
      <c r="AD217" s="5"/>
      <c r="AE217" s="5">
        <f t="shared" si="422"/>
        <v>0.611107489733394</v>
      </c>
      <c r="AF217" s="216">
        <f t="shared" si="423"/>
        <v>81.7777777777778</v>
      </c>
      <c r="AG217" s="217">
        <f t="shared" si="424"/>
        <v>0.0213994565217391</v>
      </c>
      <c r="AI217" s="5">
        <f t="shared" si="425"/>
        <v>0.145012314747995</v>
      </c>
      <c r="AJ217" s="5">
        <f t="shared" si="426"/>
        <v>0.3</v>
      </c>
      <c r="AK217" s="5">
        <f t="shared" si="427"/>
        <v>1.04673015873016</v>
      </c>
      <c r="AM217" s="216">
        <f t="shared" si="428"/>
        <v>5</v>
      </c>
      <c r="AN217" s="220">
        <f t="shared" si="429"/>
        <v>81.7777777777778</v>
      </c>
      <c r="AP217">
        <f t="shared" si="430"/>
        <v>5</v>
      </c>
      <c r="AQ217">
        <f t="shared" si="431"/>
        <v>81.7777777777778</v>
      </c>
      <c r="AS217" s="192">
        <f t="shared" si="364"/>
        <v>12.2282608695652</v>
      </c>
      <c r="AT217" s="192">
        <f t="shared" si="432"/>
        <v>0.535714285714286</v>
      </c>
      <c r="AU217" s="192">
        <f t="shared" si="304"/>
        <v>11.6925465838509</v>
      </c>
      <c r="AV217" s="192"/>
      <c r="AW217" s="5">
        <f t="shared" si="305"/>
        <v>0.0438095238095238</v>
      </c>
      <c r="AX217" s="5"/>
      <c r="BA217" s="220">
        <f t="shared" si="433"/>
        <v>4.67115663597264</v>
      </c>
      <c r="BB217" s="220">
        <f t="shared" si="434"/>
        <v>0.0284461117743786</v>
      </c>
      <c r="BC217" s="192">
        <f t="shared" si="359"/>
        <v>0.139196983141083</v>
      </c>
      <c r="BD217" s="220">
        <f t="shared" si="435"/>
        <v>0</v>
      </c>
      <c r="BQ217" s="217">
        <f t="shared" si="436"/>
        <v>0.003301375</v>
      </c>
      <c r="CG217" s="227">
        <f t="shared" si="437"/>
        <v>-50</v>
      </c>
      <c r="CH217">
        <f t="shared" si="438"/>
        <v>-50</v>
      </c>
    </row>
    <row r="218" spans="5:86">
      <c r="E218" s="22">
        <v>2</v>
      </c>
      <c r="F218" s="25">
        <f t="shared" si="439"/>
        <v>0.01</v>
      </c>
      <c r="G218" s="25"/>
      <c r="H218" s="25">
        <f t="shared" si="404"/>
        <v>0.18</v>
      </c>
      <c r="I218" s="212">
        <f t="shared" si="405"/>
        <v>14</v>
      </c>
      <c r="J218" s="131">
        <f t="shared" si="406"/>
        <v>12.2728</v>
      </c>
      <c r="K218" s="131">
        <f t="shared" si="407"/>
        <v>26.2728</v>
      </c>
      <c r="L218" s="131"/>
      <c r="M218" s="25">
        <f t="shared" si="408"/>
        <v>0.467129502755702</v>
      </c>
      <c r="N218" s="27">
        <f t="shared" si="409"/>
        <v>4.46381478761305</v>
      </c>
      <c r="O218" s="27">
        <f t="shared" si="363"/>
        <v>0.18</v>
      </c>
      <c r="P218" s="25">
        <f t="shared" si="410"/>
        <v>0.247989710422947</v>
      </c>
      <c r="Q218" s="25">
        <f t="shared" si="411"/>
        <v>18</v>
      </c>
      <c r="R218" s="25"/>
      <c r="S218" s="27">
        <f t="shared" si="412"/>
        <v>924.019576994398</v>
      </c>
      <c r="T218" s="27">
        <f t="shared" si="413"/>
        <v>18</v>
      </c>
      <c r="U218" s="25">
        <f t="shared" si="414"/>
        <v>0.0611638280238762</v>
      </c>
      <c r="V218" s="25">
        <f t="shared" si="415"/>
        <v>0.109221121471208</v>
      </c>
      <c r="W218" s="25">
        <f t="shared" si="416"/>
        <v>0.124592244687187</v>
      </c>
      <c r="X218" s="24">
        <f t="shared" si="417"/>
        <v>350</v>
      </c>
      <c r="Y218" s="131">
        <f t="shared" si="418"/>
        <v>350</v>
      </c>
      <c r="AA218" s="25">
        <f t="shared" si="419"/>
        <v>0.747407204409123</v>
      </c>
      <c r="AB218" s="5">
        <f t="shared" si="420"/>
        <v>1.52248713498371</v>
      </c>
      <c r="AC218" s="5">
        <f t="shared" si="421"/>
        <v>0.132823461427263</v>
      </c>
      <c r="AD218" s="5"/>
      <c r="AE218" s="5">
        <f t="shared" si="422"/>
        <v>0.611107489733394</v>
      </c>
      <c r="AF218" s="216">
        <f t="shared" si="423"/>
        <v>163.555555555556</v>
      </c>
      <c r="AG218" s="217">
        <f t="shared" si="424"/>
        <v>0.0213994565217391</v>
      </c>
      <c r="AI218" s="5">
        <f t="shared" si="425"/>
        <v>0.20507838222773</v>
      </c>
      <c r="AJ218" s="5">
        <f t="shared" si="426"/>
        <v>0.3</v>
      </c>
      <c r="AK218" s="5">
        <f t="shared" si="427"/>
        <v>1.09346031746032</v>
      </c>
      <c r="AM218" s="216">
        <f t="shared" si="428"/>
        <v>10</v>
      </c>
      <c r="AN218" s="220">
        <f t="shared" si="429"/>
        <v>163.555555555556</v>
      </c>
      <c r="AP218">
        <f t="shared" si="430"/>
        <v>10</v>
      </c>
      <c r="AQ218">
        <f t="shared" si="431"/>
        <v>163.555555555556</v>
      </c>
      <c r="AS218" s="192">
        <f t="shared" si="364"/>
        <v>6.11413043478261</v>
      </c>
      <c r="AT218" s="192">
        <f t="shared" si="432"/>
        <v>0.535714285714286</v>
      </c>
      <c r="AU218" s="192">
        <f t="shared" si="304"/>
        <v>5.57841614906832</v>
      </c>
      <c r="AV218" s="192"/>
      <c r="AW218" s="5">
        <f t="shared" si="305"/>
        <v>0.0876190476190476</v>
      </c>
      <c r="AX218" s="5"/>
      <c r="BA218" s="220">
        <f t="shared" si="433"/>
        <v>4.67115663597264</v>
      </c>
      <c r="BB218" s="220">
        <f t="shared" si="434"/>
        <v>0.0837844470975143</v>
      </c>
      <c r="BC218" s="192">
        <f t="shared" si="359"/>
        <v>0.132819432120674</v>
      </c>
      <c r="BD218" s="220">
        <f t="shared" si="435"/>
        <v>0</v>
      </c>
      <c r="BQ218" s="217">
        <f t="shared" si="436"/>
        <v>0.00660275</v>
      </c>
      <c r="CG218" s="227">
        <f t="shared" si="437"/>
        <v>-50</v>
      </c>
      <c r="CH218">
        <f t="shared" si="438"/>
        <v>-50</v>
      </c>
    </row>
    <row r="219" spans="5:86">
      <c r="E219" s="22">
        <v>3</v>
      </c>
      <c r="F219" s="25">
        <f t="shared" si="439"/>
        <v>0.015</v>
      </c>
      <c r="G219" s="25"/>
      <c r="H219" s="25">
        <f t="shared" si="404"/>
        <v>0.27</v>
      </c>
      <c r="I219" s="212">
        <f t="shared" si="405"/>
        <v>14</v>
      </c>
      <c r="J219" s="131">
        <f t="shared" si="406"/>
        <v>12.2728</v>
      </c>
      <c r="K219" s="131">
        <f t="shared" si="407"/>
        <v>26.2728</v>
      </c>
      <c r="L219" s="131"/>
      <c r="M219" s="25">
        <f t="shared" si="408"/>
        <v>0.467129502755702</v>
      </c>
      <c r="N219" s="27">
        <f t="shared" si="409"/>
        <v>4.46381478761305</v>
      </c>
      <c r="O219" s="27">
        <f t="shared" si="363"/>
        <v>0.27</v>
      </c>
      <c r="P219" s="25">
        <f t="shared" si="410"/>
        <v>0.247989710422947</v>
      </c>
      <c r="Q219" s="25">
        <f t="shared" si="411"/>
        <v>18</v>
      </c>
      <c r="R219" s="25"/>
      <c r="S219" s="27">
        <f t="shared" si="412"/>
        <v>609.024271365229</v>
      </c>
      <c r="T219" s="27">
        <f t="shared" si="413"/>
        <v>18</v>
      </c>
      <c r="U219" s="25">
        <f t="shared" si="414"/>
        <v>0.0917457420358143</v>
      </c>
      <c r="V219" s="25">
        <f t="shared" si="415"/>
        <v>0.163831682206811</v>
      </c>
      <c r="W219" s="25">
        <f t="shared" si="416"/>
        <v>0.18688836703078</v>
      </c>
      <c r="X219" s="24">
        <f t="shared" si="417"/>
        <v>350</v>
      </c>
      <c r="Y219" s="131">
        <f t="shared" si="418"/>
        <v>350</v>
      </c>
      <c r="AA219" s="25">
        <f t="shared" si="419"/>
        <v>0.747407204409123</v>
      </c>
      <c r="AB219" s="5">
        <f t="shared" si="420"/>
        <v>1.52248713498371</v>
      </c>
      <c r="AC219" s="5">
        <f t="shared" si="421"/>
        <v>0.132823461427263</v>
      </c>
      <c r="AD219" s="5"/>
      <c r="AE219" s="5">
        <f t="shared" si="422"/>
        <v>0.611107489733394</v>
      </c>
      <c r="AF219" s="216">
        <f t="shared" si="423"/>
        <v>245.333333333333</v>
      </c>
      <c r="AG219" s="217">
        <f t="shared" si="424"/>
        <v>0.0213994565217391</v>
      </c>
      <c r="AI219" s="5">
        <f t="shared" si="425"/>
        <v>0.251168696866696</v>
      </c>
      <c r="AJ219" s="5">
        <f t="shared" si="426"/>
        <v>0.3</v>
      </c>
      <c r="AK219" s="5">
        <f t="shared" si="427"/>
        <v>1.14019047619048</v>
      </c>
      <c r="AM219" s="216">
        <f t="shared" si="428"/>
        <v>15</v>
      </c>
      <c r="AN219" s="220">
        <f t="shared" si="429"/>
        <v>245.333333333333</v>
      </c>
      <c r="AP219">
        <f t="shared" si="430"/>
        <v>15</v>
      </c>
      <c r="AQ219">
        <f t="shared" si="431"/>
        <v>245.333333333333</v>
      </c>
      <c r="AS219" s="192">
        <f t="shared" si="364"/>
        <v>4.07608695652174</v>
      </c>
      <c r="AT219" s="192">
        <f t="shared" si="432"/>
        <v>0.535714285714286</v>
      </c>
      <c r="AU219" s="192">
        <f t="shared" si="304"/>
        <v>3.54037267080745</v>
      </c>
      <c r="AV219" s="192"/>
      <c r="AW219" s="5">
        <f t="shared" si="305"/>
        <v>0.131428571428571</v>
      </c>
      <c r="AX219" s="5"/>
      <c r="BA219" s="220">
        <f t="shared" si="433"/>
        <v>4.67115663597264</v>
      </c>
      <c r="BB219" s="220">
        <f t="shared" si="434"/>
        <v>0.166015005969407</v>
      </c>
      <c r="BC219" s="192">
        <f t="shared" si="359"/>
        <v>0.126441881100266</v>
      </c>
      <c r="BD219" s="220">
        <f t="shared" si="435"/>
        <v>0</v>
      </c>
      <c r="BQ219" s="217">
        <f t="shared" si="436"/>
        <v>0.009904125</v>
      </c>
      <c r="CG219" s="227">
        <f t="shared" si="437"/>
        <v>-50</v>
      </c>
      <c r="CH219">
        <f t="shared" si="438"/>
        <v>-50</v>
      </c>
    </row>
    <row r="220" spans="5:86">
      <c r="E220" s="22">
        <v>4</v>
      </c>
      <c r="F220" s="25">
        <f t="shared" si="439"/>
        <v>0.02</v>
      </c>
      <c r="G220" s="25"/>
      <c r="H220" s="25">
        <f t="shared" si="404"/>
        <v>0.36</v>
      </c>
      <c r="I220" s="212">
        <f t="shared" si="405"/>
        <v>14</v>
      </c>
      <c r="J220" s="131">
        <f t="shared" si="406"/>
        <v>12.2728</v>
      </c>
      <c r="K220" s="131">
        <f t="shared" si="407"/>
        <v>26.2728</v>
      </c>
      <c r="L220" s="131"/>
      <c r="M220" s="25">
        <f t="shared" si="408"/>
        <v>0.467129502755702</v>
      </c>
      <c r="N220" s="27">
        <f t="shared" si="409"/>
        <v>4.46381478761305</v>
      </c>
      <c r="O220" s="27">
        <f t="shared" si="363"/>
        <v>0.36</v>
      </c>
      <c r="P220" s="25">
        <f t="shared" si="410"/>
        <v>0.247989710422947</v>
      </c>
      <c r="Q220" s="25">
        <f t="shared" si="411"/>
        <v>18</v>
      </c>
      <c r="R220" s="25"/>
      <c r="S220" s="27">
        <f t="shared" si="412"/>
        <v>451.529072451229</v>
      </c>
      <c r="T220" s="27">
        <f t="shared" si="413"/>
        <v>18</v>
      </c>
      <c r="U220" s="25">
        <f t="shared" si="414"/>
        <v>0.122327656047752</v>
      </c>
      <c r="V220" s="25">
        <f t="shared" si="415"/>
        <v>0.218442242942415</v>
      </c>
      <c r="W220" s="25">
        <f t="shared" si="416"/>
        <v>0.249184489374374</v>
      </c>
      <c r="X220" s="24">
        <f t="shared" si="417"/>
        <v>350</v>
      </c>
      <c r="Y220" s="131">
        <f t="shared" si="418"/>
        <v>350</v>
      </c>
      <c r="AA220" s="25">
        <f t="shared" si="419"/>
        <v>0.747407204409123</v>
      </c>
      <c r="AB220" s="5">
        <f t="shared" si="420"/>
        <v>1.52248713498371</v>
      </c>
      <c r="AC220" s="5">
        <f t="shared" si="421"/>
        <v>0.132823461427263</v>
      </c>
      <c r="AD220" s="5"/>
      <c r="AE220" s="5">
        <f t="shared" si="422"/>
        <v>0.611107489733394</v>
      </c>
      <c r="AF220" s="216">
        <f t="shared" si="423"/>
        <v>327.111111111111</v>
      </c>
      <c r="AG220" s="217">
        <f t="shared" si="424"/>
        <v>0.0213994565217391</v>
      </c>
      <c r="AI220" s="5">
        <f t="shared" si="425"/>
        <v>0.290024629495989</v>
      </c>
      <c r="AJ220" s="5">
        <f t="shared" si="426"/>
        <v>0.3</v>
      </c>
      <c r="AK220" s="5">
        <f t="shared" si="427"/>
        <v>1.18692063492063</v>
      </c>
      <c r="AM220" s="216">
        <f t="shared" si="428"/>
        <v>20</v>
      </c>
      <c r="AN220" s="220">
        <f t="shared" si="429"/>
        <v>327.111111111111</v>
      </c>
      <c r="AP220">
        <f t="shared" si="430"/>
        <v>20</v>
      </c>
      <c r="AQ220">
        <f t="shared" si="431"/>
        <v>327.111111111111</v>
      </c>
      <c r="AS220" s="192">
        <f t="shared" si="364"/>
        <v>3.0570652173913</v>
      </c>
      <c r="AT220" s="192">
        <f t="shared" si="432"/>
        <v>0.535714285714286</v>
      </c>
      <c r="AU220" s="192">
        <f t="shared" si="304"/>
        <v>2.52135093167702</v>
      </c>
      <c r="AV220" s="192"/>
      <c r="AW220" s="5">
        <f t="shared" si="305"/>
        <v>0.175238095238095</v>
      </c>
      <c r="AX220" s="5"/>
      <c r="BA220" s="220">
        <f t="shared" si="433"/>
        <v>4.67115663597264</v>
      </c>
      <c r="BB220" s="220">
        <f t="shared" si="434"/>
        <v>0.275137788390057</v>
      </c>
      <c r="BC220" s="192">
        <f t="shared" si="359"/>
        <v>0.120064330079858</v>
      </c>
      <c r="BD220" s="220">
        <f t="shared" si="435"/>
        <v>0</v>
      </c>
      <c r="BQ220" s="217">
        <f t="shared" si="436"/>
        <v>0.0132055</v>
      </c>
      <c r="CG220" s="227">
        <f t="shared" si="437"/>
        <v>-50</v>
      </c>
      <c r="CH220">
        <f t="shared" si="438"/>
        <v>-50</v>
      </c>
    </row>
    <row r="221" spans="5:86">
      <c r="E221" s="22">
        <v>5</v>
      </c>
      <c r="F221" s="25">
        <f t="shared" si="439"/>
        <v>0.025</v>
      </c>
      <c r="G221" s="25"/>
      <c r="H221" s="25">
        <f t="shared" si="404"/>
        <v>0.45</v>
      </c>
      <c r="I221" s="212">
        <f t="shared" si="405"/>
        <v>14</v>
      </c>
      <c r="J221" s="131">
        <f t="shared" si="406"/>
        <v>12.2728</v>
      </c>
      <c r="K221" s="131">
        <f t="shared" si="407"/>
        <v>26.2728</v>
      </c>
      <c r="L221" s="131"/>
      <c r="M221" s="25">
        <f t="shared" si="408"/>
        <v>0.467129502755702</v>
      </c>
      <c r="N221" s="27">
        <f t="shared" si="409"/>
        <v>4.46381478761305</v>
      </c>
      <c r="O221" s="27">
        <f t="shared" si="363"/>
        <v>0.45</v>
      </c>
      <c r="P221" s="25">
        <f t="shared" si="410"/>
        <v>0.247989710422947</v>
      </c>
      <c r="Q221" s="25">
        <f t="shared" si="411"/>
        <v>18</v>
      </c>
      <c r="R221" s="25"/>
      <c r="S221" s="27">
        <f t="shared" si="412"/>
        <v>357.03398385125</v>
      </c>
      <c r="T221" s="27">
        <f t="shared" si="413"/>
        <v>18</v>
      </c>
      <c r="U221" s="25">
        <f t="shared" si="414"/>
        <v>0.152909570059691</v>
      </c>
      <c r="V221" s="25">
        <f t="shared" si="415"/>
        <v>0.273052803678019</v>
      </c>
      <c r="W221" s="25">
        <f t="shared" si="416"/>
        <v>0.311480611717967</v>
      </c>
      <c r="X221" s="24">
        <f t="shared" si="417"/>
        <v>350</v>
      </c>
      <c r="Y221" s="131">
        <f t="shared" si="418"/>
        <v>350</v>
      </c>
      <c r="AA221" s="25">
        <f t="shared" si="419"/>
        <v>0.747407204409123</v>
      </c>
      <c r="AB221" s="5">
        <f t="shared" si="420"/>
        <v>1.52248713498371</v>
      </c>
      <c r="AC221" s="5">
        <f t="shared" si="421"/>
        <v>0.132823461427263</v>
      </c>
      <c r="AD221" s="5"/>
      <c r="AE221" s="5">
        <f t="shared" si="422"/>
        <v>0.611107489733394</v>
      </c>
      <c r="AF221" s="216">
        <f t="shared" si="423"/>
        <v>408.888888888889</v>
      </c>
      <c r="AG221" s="217">
        <f t="shared" si="424"/>
        <v>0.0213994565217391</v>
      </c>
      <c r="AI221" s="5">
        <f t="shared" si="425"/>
        <v>0.324257393351111</v>
      </c>
      <c r="AJ221" s="5">
        <f t="shared" si="426"/>
        <v>0.324257393351111</v>
      </c>
      <c r="AK221" s="5">
        <f t="shared" si="427"/>
        <v>1.21617159556741</v>
      </c>
      <c r="AM221" s="216">
        <f t="shared" si="428"/>
        <v>25</v>
      </c>
      <c r="AN221" s="220">
        <f t="shared" si="429"/>
        <v>350</v>
      </c>
      <c r="AP221">
        <f t="shared" si="430"/>
        <v>25</v>
      </c>
      <c r="AQ221">
        <f t="shared" si="431"/>
        <v>350</v>
      </c>
      <c r="AS221" s="192">
        <f t="shared" si="364"/>
        <v>2.85714285714286</v>
      </c>
      <c r="AT221" s="192">
        <f t="shared" si="432"/>
        <v>0.579031059555555</v>
      </c>
      <c r="AU221" s="192">
        <f t="shared" si="304"/>
        <v>2.2781117975873</v>
      </c>
      <c r="AV221" s="192"/>
      <c r="AW221" s="5">
        <f t="shared" si="305"/>
        <v>0.202660870844444</v>
      </c>
      <c r="AX221" s="5"/>
      <c r="BA221" s="220">
        <f t="shared" si="433"/>
        <v>4.67115663597264</v>
      </c>
      <c r="BB221" s="220">
        <f t="shared" si="434"/>
        <v>0.411152794359465</v>
      </c>
      <c r="BC221" s="192">
        <f t="shared" si="359"/>
        <v>0.13560189271353</v>
      </c>
      <c r="BD221" s="220">
        <f t="shared" si="435"/>
        <v>0</v>
      </c>
      <c r="BQ221" s="217">
        <f t="shared" si="436"/>
        <v>0.016506875</v>
      </c>
      <c r="CG221" s="227">
        <f t="shared" si="437"/>
        <v>-50</v>
      </c>
      <c r="CH221">
        <f t="shared" si="438"/>
        <v>-50</v>
      </c>
    </row>
    <row r="222" spans="5:86">
      <c r="E222" s="22">
        <v>6</v>
      </c>
      <c r="F222" s="25">
        <f t="shared" si="439"/>
        <v>0.03</v>
      </c>
      <c r="G222" s="25"/>
      <c r="H222" s="25">
        <f t="shared" si="404"/>
        <v>0.54</v>
      </c>
      <c r="I222" s="212">
        <f t="shared" si="405"/>
        <v>14</v>
      </c>
      <c r="J222" s="131">
        <f t="shared" si="406"/>
        <v>12.2728</v>
      </c>
      <c r="K222" s="131">
        <f t="shared" si="407"/>
        <v>26.2728</v>
      </c>
      <c r="L222" s="131"/>
      <c r="M222" s="25">
        <f t="shared" si="408"/>
        <v>0.467129502755702</v>
      </c>
      <c r="N222" s="27">
        <f t="shared" si="409"/>
        <v>4.46381478761305</v>
      </c>
      <c r="O222" s="27">
        <f t="shared" si="363"/>
        <v>0.54</v>
      </c>
      <c r="P222" s="25">
        <f t="shared" si="410"/>
        <v>0.247989710422947</v>
      </c>
      <c r="Q222" s="25">
        <f t="shared" si="411"/>
        <v>18</v>
      </c>
      <c r="R222" s="25"/>
      <c r="S222" s="27">
        <f t="shared" si="412"/>
        <v>294.039009323836</v>
      </c>
      <c r="T222" s="27">
        <f t="shared" si="413"/>
        <v>18</v>
      </c>
      <c r="U222" s="25">
        <f t="shared" si="414"/>
        <v>0.183491484071629</v>
      </c>
      <c r="V222" s="25">
        <f t="shared" si="415"/>
        <v>0.327663364413623</v>
      </c>
      <c r="W222" s="25">
        <f t="shared" si="416"/>
        <v>0.37377673406156</v>
      </c>
      <c r="X222" s="24">
        <f t="shared" si="417"/>
        <v>350</v>
      </c>
      <c r="Y222" s="131">
        <f t="shared" si="418"/>
        <v>350</v>
      </c>
      <c r="AA222" s="25">
        <f t="shared" si="419"/>
        <v>0.747407204409123</v>
      </c>
      <c r="AB222" s="5">
        <f t="shared" si="420"/>
        <v>1.52248713498371</v>
      </c>
      <c r="AC222" s="5">
        <f t="shared" si="421"/>
        <v>0.132823461427263</v>
      </c>
      <c r="AD222" s="5"/>
      <c r="AE222" s="5">
        <f t="shared" si="422"/>
        <v>0.611107489733394</v>
      </c>
      <c r="AF222" s="216">
        <f t="shared" si="423"/>
        <v>490.666666666667</v>
      </c>
      <c r="AG222" s="217">
        <f t="shared" si="424"/>
        <v>0.0213994565217391</v>
      </c>
      <c r="AI222" s="5">
        <f t="shared" si="425"/>
        <v>0.355206177552458</v>
      </c>
      <c r="AJ222" s="5">
        <f t="shared" si="426"/>
        <v>0.355206177552458</v>
      </c>
      <c r="AK222" s="5">
        <f t="shared" si="427"/>
        <v>1.23680411836831</v>
      </c>
      <c r="AM222" s="216">
        <f t="shared" si="428"/>
        <v>30</v>
      </c>
      <c r="AN222" s="220">
        <f t="shared" si="429"/>
        <v>350</v>
      </c>
      <c r="AP222">
        <f t="shared" si="430"/>
        <v>30</v>
      </c>
      <c r="AQ222">
        <f t="shared" si="431"/>
        <v>350</v>
      </c>
      <c r="AS222" s="192">
        <f t="shared" si="364"/>
        <v>2.85714285714286</v>
      </c>
      <c r="AT222" s="192">
        <f t="shared" si="432"/>
        <v>0.63429674562939</v>
      </c>
      <c r="AU222" s="192">
        <f t="shared" si="304"/>
        <v>2.22284611151347</v>
      </c>
      <c r="AV222" s="192"/>
      <c r="AW222" s="5">
        <f t="shared" si="305"/>
        <v>0.222003860970286</v>
      </c>
      <c r="AX222" s="5"/>
      <c r="BA222" s="220">
        <f t="shared" si="433"/>
        <v>4.67115663597264</v>
      </c>
      <c r="BB222" s="220">
        <f t="shared" si="434"/>
        <v>0.574060023877629</v>
      </c>
      <c r="BC222" s="192">
        <f t="shared" si="359"/>
        <v>0.158774722250962</v>
      </c>
      <c r="BD222" s="220">
        <f t="shared" si="435"/>
        <v>0</v>
      </c>
      <c r="BQ222" s="217">
        <f t="shared" si="436"/>
        <v>0.01980825</v>
      </c>
      <c r="CG222" s="227">
        <f t="shared" si="437"/>
        <v>-50</v>
      </c>
      <c r="CH222">
        <f t="shared" si="438"/>
        <v>-50</v>
      </c>
    </row>
    <row r="223" spans="5:86">
      <c r="E223" s="22">
        <v>7</v>
      </c>
      <c r="F223" s="25">
        <f t="shared" si="439"/>
        <v>0.035</v>
      </c>
      <c r="G223" s="25"/>
      <c r="H223" s="25">
        <f t="shared" si="404"/>
        <v>0.63</v>
      </c>
      <c r="I223" s="212">
        <f t="shared" si="405"/>
        <v>14</v>
      </c>
      <c r="J223" s="131">
        <f t="shared" si="406"/>
        <v>12.2728</v>
      </c>
      <c r="K223" s="131">
        <f t="shared" si="407"/>
        <v>26.2728</v>
      </c>
      <c r="L223" s="131"/>
      <c r="M223" s="25">
        <f t="shared" si="408"/>
        <v>0.467129502755702</v>
      </c>
      <c r="N223" s="27">
        <f t="shared" si="409"/>
        <v>4.46381478761305</v>
      </c>
      <c r="O223" s="27">
        <f t="shared" si="363"/>
        <v>0.63</v>
      </c>
      <c r="P223" s="25">
        <f t="shared" si="410"/>
        <v>0.247989710422947</v>
      </c>
      <c r="Q223" s="25">
        <f t="shared" si="411"/>
        <v>18</v>
      </c>
      <c r="R223" s="25"/>
      <c r="S223" s="27">
        <f t="shared" si="412"/>
        <v>249.044152795937</v>
      </c>
      <c r="T223" s="27">
        <f t="shared" si="413"/>
        <v>18</v>
      </c>
      <c r="U223" s="25">
        <f t="shared" si="414"/>
        <v>0.214073398083567</v>
      </c>
      <c r="V223" s="25">
        <f t="shared" si="415"/>
        <v>0.382273925149226</v>
      </c>
      <c r="W223" s="25">
        <f t="shared" si="416"/>
        <v>0.436072856405154</v>
      </c>
      <c r="X223" s="24">
        <f t="shared" si="417"/>
        <v>350</v>
      </c>
      <c r="Y223" s="131">
        <f t="shared" si="418"/>
        <v>350</v>
      </c>
      <c r="AA223" s="25">
        <f t="shared" si="419"/>
        <v>0.747407204409123</v>
      </c>
      <c r="AB223" s="5">
        <f t="shared" si="420"/>
        <v>1.52248713498371</v>
      </c>
      <c r="AC223" s="5">
        <f t="shared" si="421"/>
        <v>0.132823461427263</v>
      </c>
      <c r="AD223" s="5"/>
      <c r="AE223" s="5">
        <f t="shared" si="422"/>
        <v>0.611107489733394</v>
      </c>
      <c r="AF223" s="216">
        <f t="shared" si="423"/>
        <v>572.444444444444</v>
      </c>
      <c r="AG223" s="217">
        <f t="shared" si="424"/>
        <v>0.0213994565217391</v>
      </c>
      <c r="AI223" s="5">
        <f t="shared" si="425"/>
        <v>0.383666521865018</v>
      </c>
      <c r="AJ223" s="5">
        <f t="shared" si="426"/>
        <v>0.383666521865018</v>
      </c>
      <c r="AK223" s="5">
        <f t="shared" si="427"/>
        <v>1.25577768124334</v>
      </c>
      <c r="AM223" s="216">
        <f t="shared" si="428"/>
        <v>35</v>
      </c>
      <c r="AN223" s="220">
        <f t="shared" si="429"/>
        <v>350</v>
      </c>
      <c r="AP223">
        <f t="shared" si="430"/>
        <v>35</v>
      </c>
      <c r="AQ223">
        <f t="shared" si="431"/>
        <v>350</v>
      </c>
      <c r="AS223" s="192">
        <f t="shared" si="364"/>
        <v>2.85714285714286</v>
      </c>
      <c r="AT223" s="192">
        <f t="shared" si="432"/>
        <v>0.685118789044674</v>
      </c>
      <c r="AU223" s="192">
        <f t="shared" si="304"/>
        <v>2.17202406809818</v>
      </c>
      <c r="AV223" s="192"/>
      <c r="AW223" s="5">
        <f t="shared" si="305"/>
        <v>0.239791576165636</v>
      </c>
      <c r="AX223" s="5"/>
      <c r="BA223" s="220">
        <f t="shared" si="433"/>
        <v>4.67115663597264</v>
      </c>
      <c r="BB223" s="220">
        <f t="shared" si="434"/>
        <v>0.763859476944551</v>
      </c>
      <c r="BC223" s="192">
        <f t="shared" si="359"/>
        <v>0.181002005674849</v>
      </c>
      <c r="BD223" s="220">
        <f t="shared" si="435"/>
        <v>0</v>
      </c>
      <c r="BQ223" s="217">
        <f t="shared" si="436"/>
        <v>0.023109625</v>
      </c>
      <c r="CG223" s="227">
        <f t="shared" si="437"/>
        <v>-50</v>
      </c>
      <c r="CH223">
        <f t="shared" si="438"/>
        <v>-50</v>
      </c>
    </row>
    <row r="224" spans="5:86">
      <c r="E224" s="22">
        <v>8</v>
      </c>
      <c r="F224" s="25">
        <f t="shared" si="439"/>
        <v>0.04</v>
      </c>
      <c r="G224" s="25"/>
      <c r="H224" s="25">
        <f t="shared" si="404"/>
        <v>0.72</v>
      </c>
      <c r="I224" s="212">
        <f t="shared" si="405"/>
        <v>14</v>
      </c>
      <c r="J224" s="131">
        <f t="shared" si="406"/>
        <v>12.2728</v>
      </c>
      <c r="K224" s="131">
        <f t="shared" si="407"/>
        <v>26.2728</v>
      </c>
      <c r="L224" s="131"/>
      <c r="M224" s="25">
        <f t="shared" si="408"/>
        <v>0.467129502755702</v>
      </c>
      <c r="N224" s="27">
        <f t="shared" si="409"/>
        <v>4.46381478761305</v>
      </c>
      <c r="O224" s="27">
        <f t="shared" si="363"/>
        <v>0.72</v>
      </c>
      <c r="P224" s="25">
        <f t="shared" si="410"/>
        <v>0.247989710422947</v>
      </c>
      <c r="Q224" s="25">
        <f t="shared" si="411"/>
        <v>18</v>
      </c>
      <c r="R224" s="25"/>
      <c r="S224" s="27">
        <f t="shared" si="412"/>
        <v>215.299418372179</v>
      </c>
      <c r="T224" s="27">
        <f t="shared" si="413"/>
        <v>18</v>
      </c>
      <c r="U224" s="25">
        <f t="shared" si="414"/>
        <v>0.244655312095505</v>
      </c>
      <c r="V224" s="25">
        <f t="shared" si="415"/>
        <v>0.43688448588483</v>
      </c>
      <c r="W224" s="25">
        <f t="shared" si="416"/>
        <v>0.498368978748747</v>
      </c>
      <c r="X224" s="24">
        <f t="shared" si="417"/>
        <v>350</v>
      </c>
      <c r="Y224" s="131">
        <f t="shared" si="418"/>
        <v>350</v>
      </c>
      <c r="AA224" s="25">
        <f t="shared" si="419"/>
        <v>0.747407204409123</v>
      </c>
      <c r="AB224" s="5">
        <f t="shared" si="420"/>
        <v>1.52248713498371</v>
      </c>
      <c r="AC224" s="5">
        <f t="shared" si="421"/>
        <v>0.132823461427263</v>
      </c>
      <c r="AD224" s="5"/>
      <c r="AE224" s="5">
        <f t="shared" si="422"/>
        <v>0.611107489733394</v>
      </c>
      <c r="AF224" s="216">
        <f t="shared" si="423"/>
        <v>654.222222222222</v>
      </c>
      <c r="AG224" s="217">
        <f t="shared" si="424"/>
        <v>0.0213994565217391</v>
      </c>
      <c r="AI224" s="5">
        <f t="shared" si="425"/>
        <v>0.41015676445546</v>
      </c>
      <c r="AJ224" s="5">
        <f t="shared" si="426"/>
        <v>0.41015676445546</v>
      </c>
      <c r="AK224" s="5">
        <f t="shared" si="427"/>
        <v>1.27343784297031</v>
      </c>
      <c r="AM224" s="216">
        <f t="shared" si="428"/>
        <v>40</v>
      </c>
      <c r="AN224" s="220">
        <f t="shared" si="429"/>
        <v>350</v>
      </c>
      <c r="AP224">
        <f t="shared" si="430"/>
        <v>40</v>
      </c>
      <c r="AQ224">
        <f t="shared" si="431"/>
        <v>350</v>
      </c>
      <c r="AS224" s="192">
        <f t="shared" si="364"/>
        <v>2.85714285714286</v>
      </c>
      <c r="AT224" s="192">
        <f t="shared" si="432"/>
        <v>0.732422793670464</v>
      </c>
      <c r="AU224" s="192">
        <f t="shared" si="304"/>
        <v>2.12472006347239</v>
      </c>
      <c r="AV224" s="192"/>
      <c r="AW224" s="5">
        <f t="shared" si="305"/>
        <v>0.256347977784662</v>
      </c>
      <c r="AX224" s="5"/>
      <c r="BA224" s="220">
        <f t="shared" si="433"/>
        <v>4.67115663597264</v>
      </c>
      <c r="BB224" s="220">
        <f t="shared" si="434"/>
        <v>0.980551153560229</v>
      </c>
      <c r="BC224" s="192">
        <f t="shared" si="359"/>
        <v>0.202354291759276</v>
      </c>
      <c r="BD224" s="220">
        <f t="shared" si="435"/>
        <v>0</v>
      </c>
      <c r="BQ224" s="217">
        <f t="shared" si="436"/>
        <v>0.026411</v>
      </c>
      <c r="CG224" s="227">
        <f t="shared" si="437"/>
        <v>-50</v>
      </c>
      <c r="CH224">
        <f t="shared" si="438"/>
        <v>-50</v>
      </c>
    </row>
    <row r="225" spans="5:86">
      <c r="E225" s="22">
        <v>9</v>
      </c>
      <c r="F225" s="25">
        <f t="shared" si="439"/>
        <v>0.045</v>
      </c>
      <c r="G225" s="25"/>
      <c r="H225" s="25">
        <f t="shared" si="404"/>
        <v>0.81</v>
      </c>
      <c r="I225" s="212">
        <f t="shared" si="405"/>
        <v>14</v>
      </c>
      <c r="J225" s="131">
        <f t="shared" si="406"/>
        <v>12.2728</v>
      </c>
      <c r="K225" s="131">
        <f t="shared" si="407"/>
        <v>26.2728</v>
      </c>
      <c r="L225" s="131"/>
      <c r="M225" s="25">
        <f t="shared" si="408"/>
        <v>0.467129502755702</v>
      </c>
      <c r="N225" s="27">
        <f t="shared" si="409"/>
        <v>4.46381478761305</v>
      </c>
      <c r="O225" s="27">
        <f t="shared" si="363"/>
        <v>0.81</v>
      </c>
      <c r="P225" s="25">
        <f t="shared" si="410"/>
        <v>0.247989710422947</v>
      </c>
      <c r="Q225" s="25">
        <f t="shared" si="411"/>
        <v>18</v>
      </c>
      <c r="R225" s="25"/>
      <c r="S225" s="27">
        <f t="shared" si="412"/>
        <v>189.054810344736</v>
      </c>
      <c r="T225" s="27">
        <f t="shared" si="413"/>
        <v>18</v>
      </c>
      <c r="U225" s="25">
        <f t="shared" si="414"/>
        <v>0.275237226107443</v>
      </c>
      <c r="V225" s="25">
        <f t="shared" si="415"/>
        <v>0.491495046620434</v>
      </c>
      <c r="W225" s="25">
        <f t="shared" si="416"/>
        <v>0.56066510109234</v>
      </c>
      <c r="X225" s="24">
        <f t="shared" si="417"/>
        <v>350</v>
      </c>
      <c r="Y225" s="131">
        <f t="shared" si="418"/>
        <v>350</v>
      </c>
      <c r="AA225" s="25">
        <f t="shared" si="419"/>
        <v>0.747407204409123</v>
      </c>
      <c r="AB225" s="5">
        <f t="shared" si="420"/>
        <v>1.52248713498371</v>
      </c>
      <c r="AC225" s="5">
        <f t="shared" si="421"/>
        <v>0.132823461427263</v>
      </c>
      <c r="AD225" s="5"/>
      <c r="AE225" s="5">
        <f t="shared" si="422"/>
        <v>0.611107489733394</v>
      </c>
      <c r="AF225" s="216">
        <f t="shared" si="423"/>
        <v>736</v>
      </c>
      <c r="AG225" s="217">
        <f t="shared" si="424"/>
        <v>0.0213994565217391</v>
      </c>
      <c r="AI225" s="5">
        <f t="shared" si="425"/>
        <v>0.435036944243984</v>
      </c>
      <c r="AJ225" s="5">
        <f t="shared" si="426"/>
        <v>0.435036944243984</v>
      </c>
      <c r="AK225" s="5">
        <f t="shared" si="427"/>
        <v>1.29002462949599</v>
      </c>
      <c r="AM225" s="216">
        <f t="shared" si="428"/>
        <v>45</v>
      </c>
      <c r="AN225" s="220">
        <f t="shared" si="429"/>
        <v>350</v>
      </c>
      <c r="AP225">
        <f t="shared" si="430"/>
        <v>45</v>
      </c>
      <c r="AQ225">
        <f t="shared" si="431"/>
        <v>350</v>
      </c>
      <c r="AS225" s="192">
        <f t="shared" si="364"/>
        <v>2.85714285714286</v>
      </c>
      <c r="AT225" s="192">
        <f t="shared" si="432"/>
        <v>0.776851686149971</v>
      </c>
      <c r="AU225" s="192">
        <f t="shared" si="304"/>
        <v>2.08029117099289</v>
      </c>
      <c r="AV225" s="192"/>
      <c r="AW225" s="5">
        <f t="shared" si="305"/>
        <v>0.27189809015249</v>
      </c>
      <c r="AX225" s="5"/>
      <c r="BA225" s="220">
        <f t="shared" si="433"/>
        <v>4.67115663597264</v>
      </c>
      <c r="BB225" s="220">
        <f t="shared" si="434"/>
        <v>1.22413505372467</v>
      </c>
      <c r="BC225" s="192">
        <f t="shared" si="359"/>
        <v>0.222888339749238</v>
      </c>
      <c r="BD225" s="220">
        <f t="shared" si="435"/>
        <v>0</v>
      </c>
      <c r="BQ225" s="217">
        <f t="shared" si="436"/>
        <v>0.029712375</v>
      </c>
      <c r="CG225" s="227">
        <f t="shared" si="437"/>
        <v>-50</v>
      </c>
      <c r="CH225">
        <f t="shared" si="438"/>
        <v>-50</v>
      </c>
    </row>
    <row r="226" spans="5:86">
      <c r="E226" s="22">
        <v>10</v>
      </c>
      <c r="F226" s="25">
        <f t="shared" si="439"/>
        <v>0.05</v>
      </c>
      <c r="G226" s="25"/>
      <c r="H226" s="25">
        <f t="shared" si="404"/>
        <v>0.9</v>
      </c>
      <c r="I226" s="212">
        <f t="shared" si="405"/>
        <v>14</v>
      </c>
      <c r="J226" s="131">
        <f t="shared" si="406"/>
        <v>12.2728</v>
      </c>
      <c r="K226" s="131">
        <f t="shared" si="407"/>
        <v>26.2728</v>
      </c>
      <c r="L226" s="131"/>
      <c r="M226" s="25">
        <f t="shared" si="408"/>
        <v>0.467129502755702</v>
      </c>
      <c r="N226" s="27">
        <f t="shared" si="409"/>
        <v>4.46381478761305</v>
      </c>
      <c r="O226" s="27">
        <f t="shared" si="363"/>
        <v>0.9</v>
      </c>
      <c r="P226" s="25">
        <f t="shared" si="410"/>
        <v>0.247989710422947</v>
      </c>
      <c r="Q226" s="25">
        <f t="shared" si="411"/>
        <v>18</v>
      </c>
      <c r="R226" s="25"/>
      <c r="S226" s="27">
        <f t="shared" si="412"/>
        <v>168.060333203844</v>
      </c>
      <c r="T226" s="27">
        <f t="shared" si="413"/>
        <v>18</v>
      </c>
      <c r="U226" s="25">
        <f t="shared" si="414"/>
        <v>0.305819140119381</v>
      </c>
      <c r="V226" s="25">
        <f t="shared" si="415"/>
        <v>0.546105607356038</v>
      </c>
      <c r="W226" s="25">
        <f t="shared" si="416"/>
        <v>0.622961223435934</v>
      </c>
      <c r="X226" s="24">
        <f t="shared" si="417"/>
        <v>350</v>
      </c>
      <c r="Y226" s="131">
        <f t="shared" si="418"/>
        <v>350</v>
      </c>
      <c r="AA226" s="25">
        <f t="shared" si="419"/>
        <v>0.747407204409123</v>
      </c>
      <c r="AB226" s="5">
        <f t="shared" si="420"/>
        <v>1.52248713498371</v>
      </c>
      <c r="AC226" s="5">
        <f t="shared" si="421"/>
        <v>0.132823461427263</v>
      </c>
      <c r="AD226" s="5"/>
      <c r="AE226" s="5">
        <f t="shared" si="422"/>
        <v>0.611107489733394</v>
      </c>
      <c r="AF226" s="216">
        <f t="shared" si="423"/>
        <v>817.777777777778</v>
      </c>
      <c r="AG226" s="217">
        <f t="shared" si="424"/>
        <v>0.0213994565217391</v>
      </c>
      <c r="AI226" s="5">
        <f t="shared" si="425"/>
        <v>0.458569203376889</v>
      </c>
      <c r="AJ226" s="5">
        <f t="shared" si="426"/>
        <v>0.458569203376889</v>
      </c>
      <c r="AK226" s="5">
        <f t="shared" si="427"/>
        <v>1.30571280225126</v>
      </c>
      <c r="AM226" s="216">
        <f t="shared" si="428"/>
        <v>50</v>
      </c>
      <c r="AN226" s="220">
        <f t="shared" si="429"/>
        <v>350</v>
      </c>
      <c r="AP226">
        <f t="shared" si="430"/>
        <v>50</v>
      </c>
      <c r="AQ226">
        <f t="shared" si="431"/>
        <v>350</v>
      </c>
      <c r="AS226" s="192">
        <f t="shared" si="364"/>
        <v>2.85714285714286</v>
      </c>
      <c r="AT226" s="192">
        <f t="shared" si="432"/>
        <v>0.81887357745873</v>
      </c>
      <c r="AU226" s="192">
        <f t="shared" si="304"/>
        <v>2.03826927968413</v>
      </c>
      <c r="AV226" s="192"/>
      <c r="AW226" s="5">
        <f t="shared" si="305"/>
        <v>0.286605752110555</v>
      </c>
      <c r="AX226" s="5"/>
      <c r="BA226" s="220">
        <f t="shared" si="433"/>
        <v>4.67115663597264</v>
      </c>
      <c r="BB226" s="220">
        <f t="shared" si="434"/>
        <v>1.49461117743786</v>
      </c>
      <c r="BC226" s="192">
        <f t="shared" si="359"/>
        <v>0.242651104724301</v>
      </c>
      <c r="BD226" s="220">
        <f t="shared" si="435"/>
        <v>0</v>
      </c>
      <c r="BQ226" s="217">
        <f t="shared" si="436"/>
        <v>0.03301375</v>
      </c>
      <c r="CG226" s="227">
        <f t="shared" si="437"/>
        <v>-50</v>
      </c>
      <c r="CH226">
        <f t="shared" si="438"/>
        <v>-50</v>
      </c>
    </row>
    <row r="227" spans="5:86">
      <c r="E227" s="22">
        <v>11</v>
      </c>
      <c r="F227" s="25">
        <f t="shared" si="439"/>
        <v>0.055</v>
      </c>
      <c r="G227" s="25"/>
      <c r="H227" s="25">
        <f t="shared" si="404"/>
        <v>0.99</v>
      </c>
      <c r="I227" s="212">
        <f t="shared" si="405"/>
        <v>14</v>
      </c>
      <c r="J227" s="131">
        <f t="shared" si="406"/>
        <v>12.2728</v>
      </c>
      <c r="K227" s="131">
        <f t="shared" si="407"/>
        <v>26.2728</v>
      </c>
      <c r="L227" s="131"/>
      <c r="M227" s="25">
        <f t="shared" si="408"/>
        <v>0.467129502755702</v>
      </c>
      <c r="N227" s="27">
        <f t="shared" si="409"/>
        <v>4.46381478761305</v>
      </c>
      <c r="O227" s="27">
        <f t="shared" si="363"/>
        <v>0.99</v>
      </c>
      <c r="P227" s="25">
        <f t="shared" si="410"/>
        <v>0.247989710422947</v>
      </c>
      <c r="Q227" s="25">
        <f t="shared" si="411"/>
        <v>18</v>
      </c>
      <c r="R227" s="25"/>
      <c r="S227" s="27">
        <f t="shared" si="412"/>
        <v>150.884173467186</v>
      </c>
      <c r="T227" s="27">
        <f t="shared" si="413"/>
        <v>18</v>
      </c>
      <c r="U227" s="25">
        <f t="shared" si="414"/>
        <v>0.336401054131319</v>
      </c>
      <c r="V227" s="25">
        <f t="shared" si="415"/>
        <v>0.600716168091642</v>
      </c>
      <c r="W227" s="25">
        <f t="shared" si="416"/>
        <v>0.685257345779527</v>
      </c>
      <c r="X227" s="24">
        <f t="shared" si="417"/>
        <v>350</v>
      </c>
      <c r="Y227" s="131">
        <f t="shared" si="418"/>
        <v>350</v>
      </c>
      <c r="AA227" s="25">
        <f t="shared" si="419"/>
        <v>0.747407204409123</v>
      </c>
      <c r="AB227" s="5">
        <f t="shared" si="420"/>
        <v>1.52248713498371</v>
      </c>
      <c r="AC227" s="5">
        <f t="shared" si="421"/>
        <v>0.132823461427263</v>
      </c>
      <c r="AD227" s="5"/>
      <c r="AE227" s="5">
        <f t="shared" si="422"/>
        <v>0.611107489733394</v>
      </c>
      <c r="AF227" s="216">
        <f t="shared" si="423"/>
        <v>899.555555555556</v>
      </c>
      <c r="AG227" s="217">
        <f t="shared" si="424"/>
        <v>0.0213994565217391</v>
      </c>
      <c r="AI227" s="5">
        <f t="shared" si="425"/>
        <v>0.480951438000019</v>
      </c>
      <c r="AJ227" s="5">
        <f t="shared" si="426"/>
        <v>0.480951438000019</v>
      </c>
      <c r="AK227" s="5">
        <f t="shared" si="427"/>
        <v>1.32063429200001</v>
      </c>
      <c r="AM227" s="216">
        <f t="shared" si="428"/>
        <v>55</v>
      </c>
      <c r="AN227" s="220">
        <f t="shared" si="429"/>
        <v>350</v>
      </c>
      <c r="AP227">
        <f t="shared" si="430"/>
        <v>55</v>
      </c>
      <c r="AQ227">
        <f t="shared" si="431"/>
        <v>350</v>
      </c>
      <c r="AS227" s="192">
        <f t="shared" si="364"/>
        <v>2.85714285714286</v>
      </c>
      <c r="AT227" s="192">
        <f t="shared" si="432"/>
        <v>0.858841853571462</v>
      </c>
      <c r="AU227" s="192">
        <f t="shared" si="304"/>
        <v>1.9983010035714</v>
      </c>
      <c r="AV227" s="192"/>
      <c r="AW227" s="5">
        <f t="shared" si="305"/>
        <v>0.300594648750012</v>
      </c>
      <c r="AX227" s="5"/>
      <c r="BA227" s="220">
        <f t="shared" si="433"/>
        <v>4.67115663597264</v>
      </c>
      <c r="BB227" s="220">
        <f t="shared" si="434"/>
        <v>1.79197952469981</v>
      </c>
      <c r="BC227" s="192">
        <f t="shared" si="359"/>
        <v>0.261682274277206</v>
      </c>
      <c r="BD227" s="220">
        <f t="shared" si="435"/>
        <v>0</v>
      </c>
      <c r="BQ227" s="217">
        <f t="shared" si="436"/>
        <v>0.036315125</v>
      </c>
      <c r="CG227" s="227">
        <f t="shared" si="437"/>
        <v>-50</v>
      </c>
      <c r="CH227">
        <f t="shared" si="438"/>
        <v>-50</v>
      </c>
    </row>
    <row r="228" spans="5:86">
      <c r="E228" s="22">
        <v>12</v>
      </c>
      <c r="F228" s="25">
        <f t="shared" si="439"/>
        <v>0.06</v>
      </c>
      <c r="G228" s="25"/>
      <c r="H228" s="25">
        <f t="shared" si="404"/>
        <v>1.08</v>
      </c>
      <c r="I228" s="212">
        <f t="shared" si="405"/>
        <v>14</v>
      </c>
      <c r="J228" s="131">
        <f t="shared" si="406"/>
        <v>12.2728</v>
      </c>
      <c r="K228" s="131">
        <f t="shared" si="407"/>
        <v>26.2728</v>
      </c>
      <c r="L228" s="131"/>
      <c r="M228" s="25">
        <f t="shared" si="408"/>
        <v>0.467129502755702</v>
      </c>
      <c r="N228" s="27">
        <f t="shared" si="409"/>
        <v>4.46381478761305</v>
      </c>
      <c r="O228" s="27">
        <f t="shared" si="363"/>
        <v>1.08</v>
      </c>
      <c r="P228" s="25">
        <f t="shared" si="410"/>
        <v>0.247989710422947</v>
      </c>
      <c r="Q228" s="25">
        <f t="shared" si="411"/>
        <v>18</v>
      </c>
      <c r="R228" s="25"/>
      <c r="S228" s="27">
        <f t="shared" si="412"/>
        <v>136.57179060093</v>
      </c>
      <c r="T228" s="27">
        <f t="shared" si="413"/>
        <v>18</v>
      </c>
      <c r="U228" s="25">
        <f t="shared" si="414"/>
        <v>0.366982968143257</v>
      </c>
      <c r="V228" s="25">
        <f t="shared" si="415"/>
        <v>0.655326728827245</v>
      </c>
      <c r="W228" s="25">
        <f t="shared" si="416"/>
        <v>0.747553468123121</v>
      </c>
      <c r="X228" s="24">
        <f t="shared" si="417"/>
        <v>350</v>
      </c>
      <c r="Y228" s="131">
        <f t="shared" si="418"/>
        <v>350</v>
      </c>
      <c r="AA228" s="25">
        <f t="shared" si="419"/>
        <v>0.747407204409123</v>
      </c>
      <c r="AB228" s="5">
        <f t="shared" si="420"/>
        <v>1.52248713498371</v>
      </c>
      <c r="AC228" s="5">
        <f t="shared" si="421"/>
        <v>0.132823461427263</v>
      </c>
      <c r="AD228" s="5"/>
      <c r="AE228" s="5">
        <f t="shared" si="422"/>
        <v>0.611107489733394</v>
      </c>
      <c r="AF228" s="216">
        <f t="shared" si="423"/>
        <v>981.333333333333</v>
      </c>
      <c r="AG228" s="217">
        <f t="shared" si="424"/>
        <v>0.0213994565217391</v>
      </c>
      <c r="AI228" s="5">
        <f t="shared" si="425"/>
        <v>0.502337393733392</v>
      </c>
      <c r="AJ228" s="5">
        <f t="shared" si="426"/>
        <v>0.502337393733392</v>
      </c>
      <c r="AK228" s="5">
        <f t="shared" si="427"/>
        <v>1.33489159582226</v>
      </c>
      <c r="AM228" s="216">
        <f t="shared" si="428"/>
        <v>60</v>
      </c>
      <c r="AN228" s="220">
        <f t="shared" si="429"/>
        <v>350</v>
      </c>
      <c r="AP228">
        <f t="shared" si="430"/>
        <v>60</v>
      </c>
      <c r="AQ228">
        <f t="shared" si="431"/>
        <v>350</v>
      </c>
      <c r="AS228" s="192">
        <f t="shared" si="364"/>
        <v>2.85714285714286</v>
      </c>
      <c r="AT228" s="192">
        <f t="shared" si="432"/>
        <v>0.8970310602382</v>
      </c>
      <c r="AU228" s="192">
        <f t="shared" si="304"/>
        <v>1.96011179690466</v>
      </c>
      <c r="AV228" s="192"/>
      <c r="AW228" s="5">
        <f t="shared" si="305"/>
        <v>0.31396087108337</v>
      </c>
      <c r="AX228" s="5"/>
      <c r="BA228" s="220">
        <f t="shared" si="433"/>
        <v>4.67115663597264</v>
      </c>
      <c r="BB228" s="220">
        <f t="shared" si="434"/>
        <v>2.11624009551052</v>
      </c>
      <c r="BC228" s="192">
        <f t="shared" si="359"/>
        <v>0.28001597098638</v>
      </c>
      <c r="BD228" s="220">
        <f t="shared" si="435"/>
        <v>0</v>
      </c>
      <c r="BQ228" s="217">
        <f t="shared" si="436"/>
        <v>0.0396165</v>
      </c>
      <c r="CG228" s="227">
        <f t="shared" si="437"/>
        <v>-50</v>
      </c>
      <c r="CH228">
        <f t="shared" si="438"/>
        <v>-50</v>
      </c>
    </row>
    <row r="229" spans="5:86">
      <c r="E229" s="22">
        <v>13</v>
      </c>
      <c r="F229" s="25">
        <f t="shared" si="439"/>
        <v>0.065</v>
      </c>
      <c r="G229" s="25"/>
      <c r="H229" s="25">
        <f t="shared" si="404"/>
        <v>1.17</v>
      </c>
      <c r="I229" s="212">
        <f t="shared" si="405"/>
        <v>14</v>
      </c>
      <c r="J229" s="131">
        <f t="shared" si="406"/>
        <v>12.2728</v>
      </c>
      <c r="K229" s="131">
        <f t="shared" si="407"/>
        <v>26.2728</v>
      </c>
      <c r="L229" s="131"/>
      <c r="M229" s="25">
        <f t="shared" si="408"/>
        <v>0.467129502755702</v>
      </c>
      <c r="N229" s="27">
        <f t="shared" si="409"/>
        <v>4.46381478761305</v>
      </c>
      <c r="O229" s="27">
        <f t="shared" si="363"/>
        <v>1.17</v>
      </c>
      <c r="P229" s="25">
        <f t="shared" si="410"/>
        <v>0.247989710422947</v>
      </c>
      <c r="Q229" s="25">
        <f t="shared" si="411"/>
        <v>18</v>
      </c>
      <c r="R229" s="25"/>
      <c r="S229" s="27">
        <f t="shared" si="412"/>
        <v>124.462350598905</v>
      </c>
      <c r="T229" s="27">
        <f t="shared" si="413"/>
        <v>18</v>
      </c>
      <c r="U229" s="25">
        <f t="shared" si="414"/>
        <v>0.397564882155195</v>
      </c>
      <c r="V229" s="25">
        <f t="shared" si="415"/>
        <v>0.709937289562849</v>
      </c>
      <c r="W229" s="25">
        <f t="shared" si="416"/>
        <v>0.809849590466714</v>
      </c>
      <c r="X229" s="24">
        <f t="shared" si="417"/>
        <v>350</v>
      </c>
      <c r="Y229" s="131">
        <f t="shared" si="418"/>
        <v>350</v>
      </c>
      <c r="AA229" s="25">
        <f t="shared" si="419"/>
        <v>0.747407204409123</v>
      </c>
      <c r="AB229" s="5">
        <f t="shared" si="420"/>
        <v>1.52248713498371</v>
      </c>
      <c r="AC229" s="5">
        <f t="shared" si="421"/>
        <v>0.132823461427263</v>
      </c>
      <c r="AD229" s="5"/>
      <c r="AE229" s="5">
        <f t="shared" si="422"/>
        <v>0.611107489733394</v>
      </c>
      <c r="AF229" s="216">
        <f t="shared" si="423"/>
        <v>1063.11111111111</v>
      </c>
      <c r="AG229" s="217">
        <f t="shared" si="424"/>
        <v>0.0213994565217391</v>
      </c>
      <c r="AI229" s="5">
        <f t="shared" si="425"/>
        <v>0.522849336397617</v>
      </c>
      <c r="AJ229" s="5">
        <f t="shared" si="426"/>
        <v>0.522849336397617</v>
      </c>
      <c r="AK229" s="5">
        <f t="shared" si="427"/>
        <v>1.34856622426508</v>
      </c>
      <c r="AM229" s="216">
        <f t="shared" si="428"/>
        <v>65</v>
      </c>
      <c r="AN229" s="220">
        <f t="shared" si="429"/>
        <v>350</v>
      </c>
      <c r="AP229">
        <f t="shared" si="430"/>
        <v>65</v>
      </c>
      <c r="AQ229">
        <f t="shared" si="431"/>
        <v>350</v>
      </c>
      <c r="AS229" s="192">
        <f t="shared" si="364"/>
        <v>2.85714285714286</v>
      </c>
      <c r="AT229" s="192">
        <f t="shared" si="432"/>
        <v>0.933659529281459</v>
      </c>
      <c r="AU229" s="192">
        <f t="shared" si="304"/>
        <v>1.9234833278614</v>
      </c>
      <c r="AV229" s="192"/>
      <c r="AW229" s="5">
        <f t="shared" si="305"/>
        <v>0.326780835248511</v>
      </c>
      <c r="AX229" s="5"/>
      <c r="BA229" s="220">
        <f t="shared" si="433"/>
        <v>4.67115663597264</v>
      </c>
      <c r="BB229" s="220">
        <f t="shared" si="434"/>
        <v>2.46739288986998</v>
      </c>
      <c r="BC229" s="192">
        <f t="shared" si="359"/>
        <v>0.297681943597597</v>
      </c>
      <c r="BD229" s="220">
        <f t="shared" si="435"/>
        <v>0</v>
      </c>
      <c r="BQ229" s="217">
        <f t="shared" si="436"/>
        <v>0.042917875</v>
      </c>
      <c r="CG229" s="227">
        <f t="shared" si="437"/>
        <v>-50</v>
      </c>
      <c r="CH229">
        <f t="shared" si="438"/>
        <v>-50</v>
      </c>
    </row>
    <row r="230" spans="5:86">
      <c r="E230" s="22">
        <v>14</v>
      </c>
      <c r="F230" s="25">
        <f t="shared" si="439"/>
        <v>0.07</v>
      </c>
      <c r="G230" s="25"/>
      <c r="H230" s="25">
        <f t="shared" si="404"/>
        <v>1.26</v>
      </c>
      <c r="I230" s="212">
        <f t="shared" si="405"/>
        <v>14</v>
      </c>
      <c r="J230" s="131">
        <f t="shared" si="406"/>
        <v>12.2728</v>
      </c>
      <c r="K230" s="131">
        <f t="shared" si="407"/>
        <v>26.2728</v>
      </c>
      <c r="L230" s="131"/>
      <c r="M230" s="25">
        <f t="shared" si="408"/>
        <v>0.467129502755702</v>
      </c>
      <c r="N230" s="27">
        <f t="shared" si="409"/>
        <v>4.46381478761305</v>
      </c>
      <c r="O230" s="27">
        <f t="shared" si="363"/>
        <v>1.26</v>
      </c>
      <c r="P230" s="25">
        <f t="shared" si="410"/>
        <v>0.247989710422947</v>
      </c>
      <c r="Q230" s="25">
        <f t="shared" si="411"/>
        <v>18</v>
      </c>
      <c r="R230" s="25"/>
      <c r="S230" s="27">
        <f t="shared" si="412"/>
        <v>114.083830891304</v>
      </c>
      <c r="T230" s="27">
        <f t="shared" si="413"/>
        <v>18</v>
      </c>
      <c r="U230" s="25">
        <f t="shared" si="414"/>
        <v>0.428146796167134</v>
      </c>
      <c r="V230" s="25">
        <f t="shared" si="415"/>
        <v>0.764547850298453</v>
      </c>
      <c r="W230" s="25">
        <f t="shared" si="416"/>
        <v>0.872145712810308</v>
      </c>
      <c r="X230" s="24">
        <f t="shared" si="417"/>
        <v>350</v>
      </c>
      <c r="Y230" s="131">
        <f t="shared" si="418"/>
        <v>350</v>
      </c>
      <c r="AA230" s="25">
        <f t="shared" si="419"/>
        <v>0.747407204409123</v>
      </c>
      <c r="AB230" s="5">
        <f t="shared" si="420"/>
        <v>1.52248713498371</v>
      </c>
      <c r="AC230" s="5">
        <f t="shared" si="421"/>
        <v>0.132823461427263</v>
      </c>
      <c r="AD230" s="5"/>
      <c r="AE230" s="5">
        <f t="shared" si="422"/>
        <v>0.611107489733394</v>
      </c>
      <c r="AF230" s="216">
        <f t="shared" si="423"/>
        <v>1144.88888888889</v>
      </c>
      <c r="AG230" s="217">
        <f t="shared" si="424"/>
        <v>0.0213994565217391</v>
      </c>
      <c r="AI230" s="5">
        <f t="shared" si="425"/>
        <v>0.542586398650021</v>
      </c>
      <c r="AJ230" s="5">
        <f t="shared" si="426"/>
        <v>0.542586398650021</v>
      </c>
      <c r="AK230" s="5">
        <f t="shared" si="427"/>
        <v>1.36172426576668</v>
      </c>
      <c r="AM230" s="216">
        <f t="shared" si="428"/>
        <v>70</v>
      </c>
      <c r="AN230" s="220">
        <f t="shared" si="429"/>
        <v>350</v>
      </c>
      <c r="AP230">
        <f t="shared" si="430"/>
        <v>70</v>
      </c>
      <c r="AQ230">
        <f t="shared" si="431"/>
        <v>350</v>
      </c>
      <c r="AS230" s="192">
        <f t="shared" si="364"/>
        <v>2.85714285714286</v>
      </c>
      <c r="AT230" s="192">
        <f t="shared" si="432"/>
        <v>0.96890428330361</v>
      </c>
      <c r="AU230" s="192">
        <f t="shared" si="304"/>
        <v>1.88823857383925</v>
      </c>
      <c r="AV230" s="192"/>
      <c r="AW230" s="5">
        <f t="shared" si="305"/>
        <v>0.339116499156263</v>
      </c>
      <c r="AX230" s="5"/>
      <c r="BA230" s="220">
        <f t="shared" si="433"/>
        <v>4.67115663597264</v>
      </c>
      <c r="BB230" s="220">
        <f t="shared" si="434"/>
        <v>2.8454379077782</v>
      </c>
      <c r="BC230" s="192">
        <f t="shared" si="359"/>
        <v>0.314706428973208</v>
      </c>
      <c r="BD230" s="220">
        <f t="shared" si="435"/>
        <v>0</v>
      </c>
      <c r="BQ230" s="217">
        <f t="shared" si="436"/>
        <v>0.04621925</v>
      </c>
      <c r="CG230" s="227">
        <f t="shared" si="437"/>
        <v>-50</v>
      </c>
      <c r="CH230">
        <f t="shared" si="438"/>
        <v>-50</v>
      </c>
    </row>
    <row r="231" spans="5:86">
      <c r="E231" s="22">
        <v>15</v>
      </c>
      <c r="F231" s="25">
        <f t="shared" si="439"/>
        <v>0.075</v>
      </c>
      <c r="G231" s="25"/>
      <c r="H231" s="25">
        <f t="shared" si="404"/>
        <v>1.35</v>
      </c>
      <c r="I231" s="212">
        <f t="shared" si="405"/>
        <v>14</v>
      </c>
      <c r="J231" s="131">
        <f t="shared" si="406"/>
        <v>12.2728</v>
      </c>
      <c r="K231" s="131">
        <f t="shared" si="407"/>
        <v>26.2728</v>
      </c>
      <c r="L231" s="131"/>
      <c r="M231" s="25">
        <f t="shared" si="408"/>
        <v>0.467129502755702</v>
      </c>
      <c r="N231" s="27">
        <f t="shared" si="409"/>
        <v>4.46381478761305</v>
      </c>
      <c r="O231" s="27">
        <f t="shared" si="363"/>
        <v>1.35</v>
      </c>
      <c r="P231" s="25">
        <f t="shared" si="410"/>
        <v>0.247989710422947</v>
      </c>
      <c r="Q231" s="25">
        <f t="shared" si="411"/>
        <v>18</v>
      </c>
      <c r="R231" s="25"/>
      <c r="S231" s="27">
        <f t="shared" si="412"/>
        <v>105.090083296273</v>
      </c>
      <c r="T231" s="27">
        <f t="shared" si="413"/>
        <v>18</v>
      </c>
      <c r="U231" s="25">
        <f t="shared" si="414"/>
        <v>0.458728710179072</v>
      </c>
      <c r="V231" s="25">
        <f t="shared" si="415"/>
        <v>0.819158411034057</v>
      </c>
      <c r="W231" s="25">
        <f t="shared" si="416"/>
        <v>0.934441835153901</v>
      </c>
      <c r="X231" s="24">
        <f t="shared" si="417"/>
        <v>350</v>
      </c>
      <c r="Y231" s="131">
        <f t="shared" si="418"/>
        <v>350</v>
      </c>
      <c r="AA231" s="25">
        <f t="shared" si="419"/>
        <v>0.747407204409123</v>
      </c>
      <c r="AB231" s="5">
        <f t="shared" si="420"/>
        <v>1.52248713498371</v>
      </c>
      <c r="AC231" s="5">
        <f t="shared" si="421"/>
        <v>0.132823461427263</v>
      </c>
      <c r="AD231" s="5"/>
      <c r="AE231" s="5">
        <f t="shared" si="422"/>
        <v>0.611107489733394</v>
      </c>
      <c r="AF231" s="216">
        <f t="shared" si="423"/>
        <v>1226.66666666667</v>
      </c>
      <c r="AG231" s="217">
        <f t="shared" si="424"/>
        <v>0.0213994565217391</v>
      </c>
      <c r="AI231" s="5">
        <f t="shared" si="425"/>
        <v>0.561630280013971</v>
      </c>
      <c r="AJ231" s="5">
        <f t="shared" si="426"/>
        <v>0.561630280013971</v>
      </c>
      <c r="AK231" s="5">
        <f t="shared" si="427"/>
        <v>1.37442018667598</v>
      </c>
      <c r="AM231" s="216">
        <f t="shared" si="428"/>
        <v>75</v>
      </c>
      <c r="AN231" s="220">
        <f t="shared" si="429"/>
        <v>350</v>
      </c>
      <c r="AP231">
        <f t="shared" si="430"/>
        <v>75</v>
      </c>
      <c r="AQ231">
        <f t="shared" si="431"/>
        <v>350</v>
      </c>
      <c r="AS231" s="192">
        <f t="shared" si="364"/>
        <v>2.85714285714286</v>
      </c>
      <c r="AT231" s="192">
        <f t="shared" si="432"/>
        <v>1.00291121431066</v>
      </c>
      <c r="AU231" s="192">
        <f t="shared" si="304"/>
        <v>1.85423164283219</v>
      </c>
      <c r="AV231" s="192"/>
      <c r="AW231" s="5">
        <f t="shared" si="305"/>
        <v>0.351018925008732</v>
      </c>
      <c r="AX231" s="5"/>
      <c r="BA231" s="220">
        <f t="shared" si="433"/>
        <v>4.67115663597264</v>
      </c>
      <c r="BB231" s="220">
        <f t="shared" si="434"/>
        <v>3.25037514923518</v>
      </c>
      <c r="BC231" s="192">
        <f t="shared" si="359"/>
        <v>0.331112793362892</v>
      </c>
      <c r="BD231" s="220">
        <f t="shared" si="435"/>
        <v>0</v>
      </c>
      <c r="BQ231" s="217">
        <f t="shared" si="436"/>
        <v>0.049520625</v>
      </c>
      <c r="CG231" s="227">
        <f t="shared" si="437"/>
        <v>-50</v>
      </c>
      <c r="CH231">
        <f t="shared" si="438"/>
        <v>-50</v>
      </c>
    </row>
    <row r="232" spans="5:86">
      <c r="E232" s="22">
        <v>16</v>
      </c>
      <c r="F232" s="25">
        <f t="shared" si="439"/>
        <v>0.08</v>
      </c>
      <c r="G232" s="25"/>
      <c r="H232" s="25">
        <f t="shared" si="404"/>
        <v>1.44</v>
      </c>
      <c r="I232" s="212">
        <f t="shared" si="405"/>
        <v>14</v>
      </c>
      <c r="J232" s="131">
        <f t="shared" si="406"/>
        <v>12.2728</v>
      </c>
      <c r="K232" s="131">
        <f t="shared" si="407"/>
        <v>26.2728</v>
      </c>
      <c r="L232" s="131"/>
      <c r="M232" s="25">
        <f t="shared" si="408"/>
        <v>0.467129502755702</v>
      </c>
      <c r="N232" s="27">
        <f t="shared" si="409"/>
        <v>4.46381478761305</v>
      </c>
      <c r="O232" s="27">
        <f t="shared" si="363"/>
        <v>1.44</v>
      </c>
      <c r="P232" s="25">
        <f t="shared" si="410"/>
        <v>0.247989710422947</v>
      </c>
      <c r="Q232" s="25">
        <f t="shared" si="411"/>
        <v>18</v>
      </c>
      <c r="R232" s="25"/>
      <c r="S232" s="27">
        <f t="shared" si="412"/>
        <v>97.2214983710791</v>
      </c>
      <c r="T232" s="27">
        <f t="shared" si="413"/>
        <v>18</v>
      </c>
      <c r="U232" s="25">
        <f t="shared" si="414"/>
        <v>0.48931062419101</v>
      </c>
      <c r="V232" s="25">
        <f t="shared" si="415"/>
        <v>0.87376897176966</v>
      </c>
      <c r="W232" s="25">
        <f t="shared" si="416"/>
        <v>0.996737957497494</v>
      </c>
      <c r="X232" s="24">
        <f t="shared" si="417"/>
        <v>350</v>
      </c>
      <c r="Y232" s="131">
        <f t="shared" si="418"/>
        <v>350</v>
      </c>
      <c r="AA232" s="25">
        <f t="shared" si="419"/>
        <v>0.747407204409123</v>
      </c>
      <c r="AB232" s="5">
        <f t="shared" si="420"/>
        <v>1.52248713498371</v>
      </c>
      <c r="AC232" s="5">
        <f t="shared" si="421"/>
        <v>0.132823461427263</v>
      </c>
      <c r="AD232" s="5"/>
      <c r="AE232" s="5">
        <f t="shared" si="422"/>
        <v>0.611107489733394</v>
      </c>
      <c r="AF232" s="216">
        <f t="shared" si="423"/>
        <v>1308.44444444444</v>
      </c>
      <c r="AG232" s="217">
        <f t="shared" si="424"/>
        <v>0.0213994565217391</v>
      </c>
      <c r="AI232" s="5">
        <f t="shared" si="425"/>
        <v>0.580049258991978</v>
      </c>
      <c r="AJ232" s="5">
        <f t="shared" si="426"/>
        <v>0.580049258991978</v>
      </c>
      <c r="AK232" s="5">
        <f t="shared" si="427"/>
        <v>1.38669950599465</v>
      </c>
      <c r="AM232" s="216">
        <f t="shared" si="428"/>
        <v>80</v>
      </c>
      <c r="AN232" s="220">
        <f t="shared" si="429"/>
        <v>350</v>
      </c>
      <c r="AP232">
        <f t="shared" si="430"/>
        <v>80</v>
      </c>
      <c r="AQ232">
        <f t="shared" si="431"/>
        <v>350</v>
      </c>
      <c r="AS232" s="192">
        <f t="shared" si="364"/>
        <v>2.85714285714286</v>
      </c>
      <c r="AT232" s="192">
        <f t="shared" si="432"/>
        <v>1.03580224819996</v>
      </c>
      <c r="AU232" s="192">
        <f t="shared" si="304"/>
        <v>1.8213406089429</v>
      </c>
      <c r="AV232" s="192"/>
      <c r="AW232" s="5">
        <f t="shared" si="305"/>
        <v>0.362530786869986</v>
      </c>
      <c r="AX232" s="5"/>
      <c r="BA232" s="220">
        <f t="shared" si="433"/>
        <v>4.67115663597264</v>
      </c>
      <c r="BB232" s="220">
        <f t="shared" si="434"/>
        <v>3.68220461424092</v>
      </c>
      <c r="BC232" s="192">
        <f t="shared" si="359"/>
        <v>0.346922020751028</v>
      </c>
      <c r="BD232" s="220">
        <f t="shared" si="435"/>
        <v>0</v>
      </c>
      <c r="BQ232" s="217">
        <f t="shared" si="436"/>
        <v>0.052822</v>
      </c>
      <c r="CG232" s="227">
        <f t="shared" si="437"/>
        <v>-50</v>
      </c>
      <c r="CH232">
        <f t="shared" si="438"/>
        <v>-50</v>
      </c>
    </row>
    <row r="233" spans="5:86">
      <c r="E233" s="22">
        <v>17</v>
      </c>
      <c r="F233" s="25">
        <f t="shared" si="439"/>
        <v>0.085</v>
      </c>
      <c r="G233" s="25"/>
      <c r="H233" s="25">
        <f t="shared" si="404"/>
        <v>1.53</v>
      </c>
      <c r="I233" s="212">
        <f t="shared" si="405"/>
        <v>14</v>
      </c>
      <c r="J233" s="131">
        <f t="shared" si="406"/>
        <v>12.2728</v>
      </c>
      <c r="K233" s="131">
        <f t="shared" si="407"/>
        <v>26.2728</v>
      </c>
      <c r="L233" s="131"/>
      <c r="M233" s="25">
        <f t="shared" si="408"/>
        <v>0.467129502755702</v>
      </c>
      <c r="N233" s="27">
        <f t="shared" si="409"/>
        <v>4.46381478761305</v>
      </c>
      <c r="O233" s="27">
        <f t="shared" si="363"/>
        <v>1.53</v>
      </c>
      <c r="P233" s="25">
        <f t="shared" si="410"/>
        <v>0.247989710422947</v>
      </c>
      <c r="Q233" s="25">
        <f t="shared" si="411"/>
        <v>18</v>
      </c>
      <c r="R233" s="25"/>
      <c r="S233" s="27">
        <f t="shared" si="412"/>
        <v>90.2795529400116</v>
      </c>
      <c r="T233" s="27">
        <f t="shared" si="413"/>
        <v>18</v>
      </c>
      <c r="U233" s="25">
        <f t="shared" si="414"/>
        <v>0.519892538202948</v>
      </c>
      <c r="V233" s="25">
        <f t="shared" si="415"/>
        <v>0.928379532505264</v>
      </c>
      <c r="W233" s="25">
        <f t="shared" si="416"/>
        <v>1.05903407984109</v>
      </c>
      <c r="X233" s="24">
        <f t="shared" si="417"/>
        <v>350</v>
      </c>
      <c r="Y233" s="131">
        <f t="shared" si="418"/>
        <v>350</v>
      </c>
      <c r="AA233" s="25">
        <f t="shared" si="419"/>
        <v>0.747407204409123</v>
      </c>
      <c r="AB233" s="5">
        <f t="shared" si="420"/>
        <v>1.52248713498371</v>
      </c>
      <c r="AC233" s="5">
        <f t="shared" si="421"/>
        <v>0.132823461427263</v>
      </c>
      <c r="AD233" s="5"/>
      <c r="AE233" s="5">
        <f t="shared" si="422"/>
        <v>0.611107489733394</v>
      </c>
      <c r="AF233" s="216">
        <f t="shared" si="423"/>
        <v>1390.22222222222</v>
      </c>
      <c r="AG233" s="217">
        <f t="shared" si="424"/>
        <v>0.0213994565217391</v>
      </c>
      <c r="AI233" s="5">
        <f t="shared" si="425"/>
        <v>0.597901090721295</v>
      </c>
      <c r="AJ233" s="5">
        <f t="shared" si="426"/>
        <v>0.597901090721295</v>
      </c>
      <c r="AK233" s="5">
        <f t="shared" si="427"/>
        <v>1.39860072714753</v>
      </c>
      <c r="AM233" s="216">
        <f t="shared" si="428"/>
        <v>85</v>
      </c>
      <c r="AN233" s="220">
        <f t="shared" si="429"/>
        <v>350</v>
      </c>
      <c r="AP233">
        <f t="shared" si="430"/>
        <v>85</v>
      </c>
      <c r="AQ233">
        <f t="shared" si="431"/>
        <v>350</v>
      </c>
      <c r="AS233" s="192">
        <f t="shared" si="364"/>
        <v>2.85714285714286</v>
      </c>
      <c r="AT233" s="192">
        <f t="shared" si="432"/>
        <v>1.06768051914517</v>
      </c>
      <c r="AU233" s="192">
        <f t="shared" si="304"/>
        <v>1.78946233799769</v>
      </c>
      <c r="AV233" s="192"/>
      <c r="AW233" s="5">
        <f t="shared" si="305"/>
        <v>0.373688181700809</v>
      </c>
      <c r="AX233" s="5"/>
      <c r="BA233" s="220">
        <f t="shared" si="433"/>
        <v>4.67115663597264</v>
      </c>
      <c r="BB233" s="220">
        <f t="shared" si="434"/>
        <v>4.14092630279541</v>
      </c>
      <c r="BC233" s="192">
        <f t="shared" si="359"/>
        <v>0.362153092213818</v>
      </c>
      <c r="BD233" s="220">
        <f t="shared" si="435"/>
        <v>0</v>
      </c>
      <c r="BQ233" s="217">
        <f t="shared" si="436"/>
        <v>0.056123375</v>
      </c>
      <c r="CG233" s="227">
        <f t="shared" si="437"/>
        <v>-50</v>
      </c>
      <c r="CH233">
        <f t="shared" si="438"/>
        <v>-50</v>
      </c>
    </row>
    <row r="234" spans="5:86">
      <c r="E234" s="22">
        <v>18</v>
      </c>
      <c r="F234" s="25">
        <f t="shared" si="439"/>
        <v>0.09</v>
      </c>
      <c r="G234" s="25"/>
      <c r="H234" s="25">
        <f t="shared" si="404"/>
        <v>1.62</v>
      </c>
      <c r="I234" s="212">
        <f t="shared" si="405"/>
        <v>14</v>
      </c>
      <c r="J234" s="131">
        <f t="shared" si="406"/>
        <v>12.2728</v>
      </c>
      <c r="K234" s="131">
        <f t="shared" si="407"/>
        <v>26.2728</v>
      </c>
      <c r="L234" s="131"/>
      <c r="M234" s="25">
        <f t="shared" si="408"/>
        <v>0.467129502755702</v>
      </c>
      <c r="N234" s="27">
        <f t="shared" si="409"/>
        <v>4.46381478761305</v>
      </c>
      <c r="O234" s="27">
        <f t="shared" si="363"/>
        <v>1.62</v>
      </c>
      <c r="P234" s="25">
        <f t="shared" si="410"/>
        <v>0.247989710422947</v>
      </c>
      <c r="Q234" s="25">
        <f t="shared" si="411"/>
        <v>18</v>
      </c>
      <c r="R234" s="25"/>
      <c r="S234" s="27">
        <f t="shared" si="412"/>
        <v>84.1098417863122</v>
      </c>
      <c r="T234" s="27">
        <f t="shared" si="413"/>
        <v>18</v>
      </c>
      <c r="U234" s="25">
        <f t="shared" si="414"/>
        <v>0.550474452214886</v>
      </c>
      <c r="V234" s="25">
        <f t="shared" si="415"/>
        <v>0.982990093240868</v>
      </c>
      <c r="W234" s="25">
        <f t="shared" si="416"/>
        <v>1.12133020218468</v>
      </c>
      <c r="X234" s="24">
        <f t="shared" si="417"/>
        <v>350</v>
      </c>
      <c r="Y234" s="131">
        <f t="shared" si="418"/>
        <v>350</v>
      </c>
      <c r="AA234" s="25">
        <f t="shared" si="419"/>
        <v>0.747407204409123</v>
      </c>
      <c r="AB234" s="5">
        <f t="shared" si="420"/>
        <v>1.52248713498371</v>
      </c>
      <c r="AC234" s="5">
        <f t="shared" si="421"/>
        <v>0.132823461427263</v>
      </c>
      <c r="AD234" s="5"/>
      <c r="AE234" s="5">
        <f t="shared" si="422"/>
        <v>0.611107489733394</v>
      </c>
      <c r="AF234" s="216">
        <f t="shared" si="423"/>
        <v>1472</v>
      </c>
      <c r="AG234" s="217">
        <f t="shared" si="424"/>
        <v>0.0213994565217391</v>
      </c>
      <c r="AI234" s="5">
        <f t="shared" si="425"/>
        <v>0.615235146683189</v>
      </c>
      <c r="AJ234" s="5">
        <f t="shared" si="426"/>
        <v>0.615235146683189</v>
      </c>
      <c r="AK234" s="5">
        <f t="shared" si="427"/>
        <v>1.41015676445546</v>
      </c>
      <c r="AM234" s="216">
        <f t="shared" si="428"/>
        <v>90</v>
      </c>
      <c r="AN234" s="220">
        <f t="shared" si="429"/>
        <v>350</v>
      </c>
      <c r="AP234">
        <f t="shared" si="430"/>
        <v>90</v>
      </c>
      <c r="AQ234">
        <f t="shared" si="431"/>
        <v>350</v>
      </c>
      <c r="AS234" s="192">
        <f t="shared" si="364"/>
        <v>2.85714285714286</v>
      </c>
      <c r="AT234" s="192">
        <f t="shared" si="432"/>
        <v>1.0986341905057</v>
      </c>
      <c r="AU234" s="192">
        <f t="shared" ref="AU234:AU297" si="440">AS234-AT234</f>
        <v>1.75850866663716</v>
      </c>
      <c r="AV234" s="192"/>
      <c r="AW234" s="5">
        <f t="shared" ref="AW234:AW297" si="441">AT234/AS234</f>
        <v>0.384521966676993</v>
      </c>
      <c r="AX234" s="5"/>
      <c r="BA234" s="220">
        <f t="shared" si="433"/>
        <v>4.67115663597264</v>
      </c>
      <c r="BB234" s="220">
        <f t="shared" si="434"/>
        <v>4.62654021489866</v>
      </c>
      <c r="BC234" s="192">
        <f t="shared" si="359"/>
        <v>0.376823285707963</v>
      </c>
      <c r="BD234" s="220">
        <f t="shared" si="435"/>
        <v>0</v>
      </c>
      <c r="BQ234" s="217">
        <f t="shared" si="436"/>
        <v>0.05942475</v>
      </c>
      <c r="CG234" s="227">
        <f t="shared" si="437"/>
        <v>-50</v>
      </c>
      <c r="CH234">
        <f t="shared" si="438"/>
        <v>-50</v>
      </c>
    </row>
    <row r="235" spans="5:86">
      <c r="E235" s="22">
        <v>19</v>
      </c>
      <c r="F235" s="25">
        <f t="shared" si="439"/>
        <v>0.095</v>
      </c>
      <c r="G235" s="25"/>
      <c r="H235" s="25">
        <f t="shared" si="404"/>
        <v>1.71</v>
      </c>
      <c r="I235" s="212">
        <f t="shared" si="405"/>
        <v>14</v>
      </c>
      <c r="J235" s="131">
        <f t="shared" si="406"/>
        <v>12.2728</v>
      </c>
      <c r="K235" s="131">
        <f t="shared" si="407"/>
        <v>26.2728</v>
      </c>
      <c r="L235" s="131"/>
      <c r="M235" s="25">
        <f t="shared" si="408"/>
        <v>0.467129502755702</v>
      </c>
      <c r="N235" s="27">
        <f t="shared" si="409"/>
        <v>4.46381478761305</v>
      </c>
      <c r="O235" s="27">
        <f t="shared" si="363"/>
        <v>1.71</v>
      </c>
      <c r="P235" s="25">
        <f t="shared" si="410"/>
        <v>0.247989710422947</v>
      </c>
      <c r="Q235" s="25">
        <f t="shared" si="411"/>
        <v>18</v>
      </c>
      <c r="R235" s="25"/>
      <c r="S235" s="27">
        <f t="shared" si="412"/>
        <v>78.5904677640219</v>
      </c>
      <c r="T235" s="27">
        <f t="shared" si="413"/>
        <v>18</v>
      </c>
      <c r="U235" s="25">
        <f t="shared" si="414"/>
        <v>0.581056366226824</v>
      </c>
      <c r="V235" s="25">
        <f t="shared" si="415"/>
        <v>1.03760065397647</v>
      </c>
      <c r="W235" s="25">
        <f t="shared" si="416"/>
        <v>1.18362632452827</v>
      </c>
      <c r="X235" s="24">
        <f t="shared" si="417"/>
        <v>350</v>
      </c>
      <c r="Y235" s="131">
        <f t="shared" si="418"/>
        <v>350</v>
      </c>
      <c r="AA235" s="25">
        <f t="shared" si="419"/>
        <v>0.747407204409123</v>
      </c>
      <c r="AB235" s="5">
        <f t="shared" si="420"/>
        <v>1.52248713498371</v>
      </c>
      <c r="AC235" s="5">
        <f t="shared" si="421"/>
        <v>0.132823461427263</v>
      </c>
      <c r="AD235" s="5"/>
      <c r="AE235" s="5">
        <f t="shared" si="422"/>
        <v>0.611107489733394</v>
      </c>
      <c r="AF235" s="216">
        <f t="shared" si="423"/>
        <v>1553.77777777778</v>
      </c>
      <c r="AG235" s="217">
        <f t="shared" si="424"/>
        <v>0.0213994565217391</v>
      </c>
      <c r="AI235" s="5">
        <f t="shared" si="425"/>
        <v>0.632094025555421</v>
      </c>
      <c r="AJ235" s="5">
        <f t="shared" si="426"/>
        <v>0.632094025555421</v>
      </c>
      <c r="AK235" s="5">
        <f t="shared" si="427"/>
        <v>1.42139601703695</v>
      </c>
      <c r="AM235" s="216">
        <f t="shared" si="428"/>
        <v>95</v>
      </c>
      <c r="AN235" s="220">
        <f t="shared" si="429"/>
        <v>350</v>
      </c>
      <c r="AP235">
        <f t="shared" si="430"/>
        <v>95</v>
      </c>
      <c r="AQ235">
        <f t="shared" si="431"/>
        <v>350</v>
      </c>
      <c r="AS235" s="192">
        <f t="shared" si="364"/>
        <v>2.85714285714286</v>
      </c>
      <c r="AT235" s="192">
        <f t="shared" si="432"/>
        <v>1.12873933134897</v>
      </c>
      <c r="AU235" s="192">
        <f t="shared" si="440"/>
        <v>1.72840352579389</v>
      </c>
      <c r="AV235" s="192"/>
      <c r="AW235" s="5">
        <f t="shared" si="441"/>
        <v>0.395058765972138</v>
      </c>
      <c r="AX235" s="5"/>
      <c r="BA235" s="220">
        <f t="shared" si="433"/>
        <v>4.67115663597264</v>
      </c>
      <c r="BB235" s="220">
        <f t="shared" si="434"/>
        <v>5.13904635055067</v>
      </c>
      <c r="BC235" s="192">
        <f t="shared" si="359"/>
        <v>0.390948416548618</v>
      </c>
      <c r="BD235" s="220">
        <f t="shared" si="435"/>
        <v>0</v>
      </c>
      <c r="BQ235" s="217">
        <f t="shared" si="436"/>
        <v>0.062726125</v>
      </c>
      <c r="CG235" s="227">
        <f t="shared" si="437"/>
        <v>-50</v>
      </c>
      <c r="CH235">
        <f t="shared" si="438"/>
        <v>-50</v>
      </c>
    </row>
    <row r="236" spans="5:86">
      <c r="E236" s="22">
        <v>20</v>
      </c>
      <c r="F236" s="25">
        <f t="shared" si="439"/>
        <v>0.1</v>
      </c>
      <c r="G236" s="25"/>
      <c r="H236" s="25">
        <f t="shared" si="404"/>
        <v>1.8</v>
      </c>
      <c r="I236" s="212">
        <f t="shared" si="405"/>
        <v>14</v>
      </c>
      <c r="J236" s="131">
        <f t="shared" si="406"/>
        <v>12.2728</v>
      </c>
      <c r="K236" s="131">
        <f t="shared" si="407"/>
        <v>26.2728</v>
      </c>
      <c r="L236" s="131"/>
      <c r="M236" s="25">
        <f t="shared" si="408"/>
        <v>0.467129502755702</v>
      </c>
      <c r="N236" s="27">
        <f t="shared" si="409"/>
        <v>4.46381478761305</v>
      </c>
      <c r="O236" s="27">
        <f t="shared" si="363"/>
        <v>1.8</v>
      </c>
      <c r="P236" s="25">
        <f t="shared" si="410"/>
        <v>0.247989710422947</v>
      </c>
      <c r="Q236" s="25">
        <f t="shared" si="411"/>
        <v>18</v>
      </c>
      <c r="R236" s="25"/>
      <c r="S236" s="27">
        <f t="shared" si="412"/>
        <v>73.6239148832962</v>
      </c>
      <c r="T236" s="27">
        <f t="shared" si="413"/>
        <v>18</v>
      </c>
      <c r="U236" s="25">
        <f t="shared" si="414"/>
        <v>0.611638280238762</v>
      </c>
      <c r="V236" s="25">
        <f t="shared" si="415"/>
        <v>1.09221121471208</v>
      </c>
      <c r="W236" s="25">
        <f t="shared" si="416"/>
        <v>1.24592244687187</v>
      </c>
      <c r="X236" s="24">
        <f t="shared" si="417"/>
        <v>350</v>
      </c>
      <c r="Y236" s="131">
        <f t="shared" si="418"/>
        <v>350</v>
      </c>
      <c r="AA236" s="25">
        <f t="shared" si="419"/>
        <v>0.747407204409123</v>
      </c>
      <c r="AB236" s="5">
        <f t="shared" si="420"/>
        <v>1.52248713498371</v>
      </c>
      <c r="AC236" s="5">
        <f t="shared" si="421"/>
        <v>0.132823461427263</v>
      </c>
      <c r="AD236" s="5"/>
      <c r="AE236" s="5">
        <f t="shared" si="422"/>
        <v>0.611107489733394</v>
      </c>
      <c r="AF236" s="216">
        <f t="shared" si="423"/>
        <v>1635.55555555556</v>
      </c>
      <c r="AG236" s="217">
        <f t="shared" si="424"/>
        <v>0.0213994565217391</v>
      </c>
      <c r="AI236" s="5">
        <f t="shared" si="425"/>
        <v>0.648514786702222</v>
      </c>
      <c r="AJ236" s="5">
        <f t="shared" si="426"/>
        <v>0.648514786702222</v>
      </c>
      <c r="AK236" s="5">
        <f t="shared" si="427"/>
        <v>1.43234319113481</v>
      </c>
      <c r="AM236" s="216">
        <f t="shared" si="428"/>
        <v>100</v>
      </c>
      <c r="AN236" s="220">
        <f t="shared" si="429"/>
        <v>350</v>
      </c>
      <c r="AP236">
        <f t="shared" si="430"/>
        <v>100</v>
      </c>
      <c r="AQ236">
        <f t="shared" si="431"/>
        <v>350</v>
      </c>
      <c r="AS236" s="192">
        <f t="shared" si="364"/>
        <v>2.85714285714286</v>
      </c>
      <c r="AT236" s="192">
        <f t="shared" si="432"/>
        <v>1.15806211911111</v>
      </c>
      <c r="AU236" s="192">
        <f t="shared" si="440"/>
        <v>1.69908073803175</v>
      </c>
      <c r="AV236" s="192"/>
      <c r="AW236" s="5">
        <f t="shared" si="441"/>
        <v>0.405321741688889</v>
      </c>
      <c r="AX236" s="5"/>
      <c r="BA236" s="220">
        <f t="shared" si="433"/>
        <v>4.67115663597264</v>
      </c>
      <c r="BB236" s="220">
        <f t="shared" si="434"/>
        <v>5.67844470975143</v>
      </c>
      <c r="BC236" s="192">
        <f t="shared" si="359"/>
        <v>0.404543032864702</v>
      </c>
      <c r="BD236" s="220">
        <f t="shared" si="435"/>
        <v>0</v>
      </c>
      <c r="BQ236" s="217">
        <f t="shared" si="436"/>
        <v>0.0660275</v>
      </c>
      <c r="CG236" s="227">
        <f t="shared" si="437"/>
        <v>-50</v>
      </c>
      <c r="CH236">
        <f t="shared" si="438"/>
        <v>-50</v>
      </c>
    </row>
    <row r="237" spans="5:86">
      <c r="E237" s="22">
        <v>21</v>
      </c>
      <c r="F237" s="25">
        <f t="shared" si="439"/>
        <v>0.105</v>
      </c>
      <c r="G237" s="25"/>
      <c r="H237" s="25">
        <f t="shared" si="404"/>
        <v>1.89</v>
      </c>
      <c r="I237" s="212">
        <f t="shared" si="405"/>
        <v>14</v>
      </c>
      <c r="J237" s="131">
        <f t="shared" si="406"/>
        <v>12.2728</v>
      </c>
      <c r="K237" s="131">
        <f t="shared" si="407"/>
        <v>26.2728</v>
      </c>
      <c r="L237" s="131"/>
      <c r="M237" s="25">
        <f t="shared" si="408"/>
        <v>0.467129502755702</v>
      </c>
      <c r="N237" s="27">
        <f t="shared" si="409"/>
        <v>4.46381478761305</v>
      </c>
      <c r="O237" s="27">
        <f t="shared" si="363"/>
        <v>1.89</v>
      </c>
      <c r="P237" s="25">
        <f t="shared" si="410"/>
        <v>0.247989710422947</v>
      </c>
      <c r="Q237" s="25">
        <f t="shared" si="411"/>
        <v>18</v>
      </c>
      <c r="R237" s="25"/>
      <c r="S237" s="27">
        <f t="shared" si="412"/>
        <v>69.1312433785793</v>
      </c>
      <c r="T237" s="27">
        <f t="shared" si="413"/>
        <v>18</v>
      </c>
      <c r="U237" s="25">
        <f t="shared" si="414"/>
        <v>0.6422201942507</v>
      </c>
      <c r="V237" s="25">
        <f t="shared" si="415"/>
        <v>1.14682177544768</v>
      </c>
      <c r="W237" s="25">
        <f t="shared" si="416"/>
        <v>1.30821856921546</v>
      </c>
      <c r="X237" s="24">
        <f t="shared" si="417"/>
        <v>350</v>
      </c>
      <c r="Y237" s="131">
        <f t="shared" si="418"/>
        <v>350</v>
      </c>
      <c r="AA237" s="25">
        <f t="shared" si="419"/>
        <v>0.747407204409123</v>
      </c>
      <c r="AB237" s="5">
        <f t="shared" si="420"/>
        <v>1.52248713498371</v>
      </c>
      <c r="AC237" s="5">
        <f t="shared" si="421"/>
        <v>0.132823461427263</v>
      </c>
      <c r="AD237" s="5"/>
      <c r="AE237" s="5">
        <f t="shared" si="422"/>
        <v>0.611107489733394</v>
      </c>
      <c r="AF237" s="216">
        <f t="shared" si="423"/>
        <v>1717.33333333333</v>
      </c>
      <c r="AG237" s="217">
        <f t="shared" si="424"/>
        <v>0.0213994565217391</v>
      </c>
      <c r="AI237" s="5">
        <f t="shared" si="425"/>
        <v>0.664529909033446</v>
      </c>
      <c r="AJ237" s="5">
        <f t="shared" si="426"/>
        <v>0.664529909033446</v>
      </c>
      <c r="AK237" s="5">
        <f t="shared" si="427"/>
        <v>1.44301993935563</v>
      </c>
      <c r="AM237" s="216">
        <f t="shared" si="428"/>
        <v>105</v>
      </c>
      <c r="AN237" s="220">
        <f t="shared" si="429"/>
        <v>350</v>
      </c>
      <c r="AP237">
        <f t="shared" si="430"/>
        <v>105</v>
      </c>
      <c r="AQ237">
        <f t="shared" si="431"/>
        <v>350</v>
      </c>
      <c r="AS237" s="192">
        <f t="shared" si="364"/>
        <v>2.85714285714286</v>
      </c>
      <c r="AT237" s="192">
        <f t="shared" si="432"/>
        <v>1.18666055184544</v>
      </c>
      <c r="AU237" s="192">
        <f t="shared" si="440"/>
        <v>1.67048230529742</v>
      </c>
      <c r="AV237" s="192"/>
      <c r="AW237" s="5">
        <f t="shared" si="441"/>
        <v>0.415331193145904</v>
      </c>
      <c r="AX237" s="5"/>
      <c r="BA237" s="220">
        <f t="shared" si="433"/>
        <v>4.67115663597264</v>
      </c>
      <c r="BB237" s="220">
        <f t="shared" si="434"/>
        <v>6.24473529250095</v>
      </c>
      <c r="BC237" s="192">
        <f t="shared" si="359"/>
        <v>0.417620576324355</v>
      </c>
      <c r="BD237" s="220">
        <f t="shared" si="435"/>
        <v>0</v>
      </c>
      <c r="BQ237" s="217">
        <f t="shared" si="436"/>
        <v>0.069328875</v>
      </c>
      <c r="CG237" s="227">
        <f t="shared" si="437"/>
        <v>-50</v>
      </c>
      <c r="CH237">
        <f t="shared" si="438"/>
        <v>-50</v>
      </c>
    </row>
    <row r="238" spans="5:86">
      <c r="E238" s="22">
        <v>22</v>
      </c>
      <c r="F238" s="25">
        <f t="shared" si="439"/>
        <v>0.11</v>
      </c>
      <c r="G238" s="25"/>
      <c r="H238" s="25">
        <f t="shared" si="404"/>
        <v>1.98</v>
      </c>
      <c r="I238" s="212">
        <f t="shared" si="405"/>
        <v>14</v>
      </c>
      <c r="J238" s="131">
        <f t="shared" si="406"/>
        <v>12.2728</v>
      </c>
      <c r="K238" s="131">
        <f t="shared" si="407"/>
        <v>26.2728</v>
      </c>
      <c r="L238" s="131"/>
      <c r="M238" s="25">
        <f t="shared" si="408"/>
        <v>0.467129502755702</v>
      </c>
      <c r="N238" s="27">
        <f t="shared" si="409"/>
        <v>4.46381478761305</v>
      </c>
      <c r="O238" s="27">
        <f t="shared" si="363"/>
        <v>1.98</v>
      </c>
      <c r="P238" s="25">
        <f t="shared" si="410"/>
        <v>0.247989710422947</v>
      </c>
      <c r="Q238" s="25">
        <f t="shared" si="411"/>
        <v>18</v>
      </c>
      <c r="R238" s="25"/>
      <c r="S238" s="27">
        <f t="shared" si="412"/>
        <v>65.0478679474827</v>
      </c>
      <c r="T238" s="27">
        <f t="shared" si="413"/>
        <v>18</v>
      </c>
      <c r="U238" s="25">
        <f t="shared" si="414"/>
        <v>0.672802108262639</v>
      </c>
      <c r="V238" s="25">
        <f t="shared" si="415"/>
        <v>1.20143233618328</v>
      </c>
      <c r="W238" s="25">
        <f t="shared" si="416"/>
        <v>1.37051469155905</v>
      </c>
      <c r="X238" s="24">
        <f t="shared" si="417"/>
        <v>350</v>
      </c>
      <c r="Y238" s="131">
        <f t="shared" si="418"/>
        <v>350</v>
      </c>
      <c r="AA238" s="25">
        <f t="shared" si="419"/>
        <v>0.747407204409123</v>
      </c>
      <c r="AB238" s="5">
        <f t="shared" si="420"/>
        <v>1.52248713498371</v>
      </c>
      <c r="AC238" s="5">
        <f t="shared" si="421"/>
        <v>0.132823461427263</v>
      </c>
      <c r="AD238" s="5"/>
      <c r="AE238" s="5">
        <f t="shared" si="422"/>
        <v>0.611107489733394</v>
      </c>
      <c r="AF238" s="216">
        <f t="shared" si="423"/>
        <v>1799.11111111111</v>
      </c>
      <c r="AG238" s="217">
        <f t="shared" si="424"/>
        <v>0.0213994565217391</v>
      </c>
      <c r="AI238" s="5">
        <f t="shared" si="425"/>
        <v>0.680168046462469</v>
      </c>
      <c r="AJ238" s="5">
        <f t="shared" si="426"/>
        <v>0.680168046462469</v>
      </c>
      <c r="AK238" s="5">
        <f t="shared" si="427"/>
        <v>1.45344536430831</v>
      </c>
      <c r="AM238" s="216">
        <f t="shared" si="428"/>
        <v>110</v>
      </c>
      <c r="AN238" s="220">
        <f t="shared" si="429"/>
        <v>350</v>
      </c>
      <c r="AP238">
        <f t="shared" si="430"/>
        <v>110</v>
      </c>
      <c r="AQ238">
        <f t="shared" si="431"/>
        <v>350</v>
      </c>
      <c r="AS238" s="192">
        <f t="shared" si="364"/>
        <v>2.85714285714286</v>
      </c>
      <c r="AT238" s="192">
        <f t="shared" si="432"/>
        <v>1.21458579725441</v>
      </c>
      <c r="AU238" s="192">
        <f t="shared" si="440"/>
        <v>1.64255705988845</v>
      </c>
      <c r="AV238" s="192"/>
      <c r="AW238" s="5">
        <f t="shared" si="441"/>
        <v>0.425105029039043</v>
      </c>
      <c r="AX238" s="5"/>
      <c r="BA238" s="220">
        <f t="shared" si="433"/>
        <v>4.67115663597264</v>
      </c>
      <c r="BB238" s="220">
        <f t="shared" si="434"/>
        <v>6.83791809879923</v>
      </c>
      <c r="BC238" s="192">
        <f t="shared" si="359"/>
        <v>0.43019351568507</v>
      </c>
      <c r="BD238" s="220">
        <f t="shared" si="435"/>
        <v>0</v>
      </c>
      <c r="BQ238" s="217">
        <f t="shared" si="436"/>
        <v>0.07263025</v>
      </c>
      <c r="CG238" s="227">
        <f t="shared" si="437"/>
        <v>-50</v>
      </c>
      <c r="CH238">
        <f t="shared" si="438"/>
        <v>-50</v>
      </c>
    </row>
    <row r="239" spans="5:86">
      <c r="E239" s="22">
        <v>23</v>
      </c>
      <c r="F239" s="25">
        <f t="shared" si="439"/>
        <v>0.115</v>
      </c>
      <c r="G239" s="25"/>
      <c r="H239" s="25">
        <f t="shared" si="404"/>
        <v>2.07</v>
      </c>
      <c r="I239" s="212">
        <f t="shared" si="405"/>
        <v>14</v>
      </c>
      <c r="J239" s="131">
        <f t="shared" si="406"/>
        <v>12.2728</v>
      </c>
      <c r="K239" s="131">
        <f t="shared" si="407"/>
        <v>26.2728</v>
      </c>
      <c r="L239" s="131"/>
      <c r="M239" s="25">
        <f t="shared" si="408"/>
        <v>0.467129502755702</v>
      </c>
      <c r="N239" s="27">
        <f t="shared" si="409"/>
        <v>4.46381478761305</v>
      </c>
      <c r="O239" s="27">
        <f t="shared" si="363"/>
        <v>2.07</v>
      </c>
      <c r="P239" s="25">
        <f t="shared" si="410"/>
        <v>0.247989710422947</v>
      </c>
      <c r="Q239" s="25">
        <f t="shared" si="411"/>
        <v>18</v>
      </c>
      <c r="R239" s="25"/>
      <c r="S239" s="27">
        <f t="shared" si="412"/>
        <v>61.3204373263944</v>
      </c>
      <c r="T239" s="27">
        <f t="shared" si="413"/>
        <v>18</v>
      </c>
      <c r="U239" s="25">
        <f t="shared" si="414"/>
        <v>0.703384022274577</v>
      </c>
      <c r="V239" s="25">
        <f t="shared" si="415"/>
        <v>1.25604289691889</v>
      </c>
      <c r="W239" s="25">
        <f t="shared" si="416"/>
        <v>1.43281081390265</v>
      </c>
      <c r="X239" s="24">
        <f t="shared" si="417"/>
        <v>350</v>
      </c>
      <c r="Y239" s="131">
        <f t="shared" si="418"/>
        <v>350</v>
      </c>
      <c r="AA239" s="25">
        <f t="shared" si="419"/>
        <v>0.747407204409123</v>
      </c>
      <c r="AB239" s="5">
        <f t="shared" si="420"/>
        <v>1.52248713498371</v>
      </c>
      <c r="AC239" s="5">
        <f t="shared" si="421"/>
        <v>0.132823461427263</v>
      </c>
      <c r="AD239" s="5"/>
      <c r="AE239" s="5">
        <f t="shared" si="422"/>
        <v>0.611107489733394</v>
      </c>
      <c r="AF239" s="216">
        <f t="shared" si="423"/>
        <v>1880.88888888889</v>
      </c>
      <c r="AG239" s="217">
        <f t="shared" si="424"/>
        <v>0.0213994565217391</v>
      </c>
      <c r="AI239" s="5">
        <f t="shared" si="425"/>
        <v>0.695454630336978</v>
      </c>
      <c r="AJ239" s="5">
        <f t="shared" si="426"/>
        <v>0.695454630336978</v>
      </c>
      <c r="AK239" s="5">
        <f t="shared" si="427"/>
        <v>1.46363642022465</v>
      </c>
      <c r="AM239" s="216">
        <f t="shared" si="428"/>
        <v>115</v>
      </c>
      <c r="AN239" s="220">
        <f t="shared" si="429"/>
        <v>350</v>
      </c>
      <c r="AP239">
        <f t="shared" si="430"/>
        <v>115</v>
      </c>
      <c r="AQ239">
        <f t="shared" si="431"/>
        <v>350</v>
      </c>
      <c r="AS239" s="192">
        <f t="shared" si="364"/>
        <v>2.85714285714286</v>
      </c>
      <c r="AT239" s="192">
        <f t="shared" si="432"/>
        <v>1.24188326845889</v>
      </c>
      <c r="AU239" s="192">
        <f t="shared" si="440"/>
        <v>1.61525958868397</v>
      </c>
      <c r="AV239" s="192"/>
      <c r="AW239" s="5">
        <f t="shared" si="441"/>
        <v>0.434659143960611</v>
      </c>
      <c r="AX239" s="5"/>
      <c r="BA239" s="220">
        <f t="shared" si="433"/>
        <v>4.67115663597264</v>
      </c>
      <c r="BB239" s="220">
        <f t="shared" si="434"/>
        <v>7.45799312864627</v>
      </c>
      <c r="BC239" s="192">
        <f t="shared" si="359"/>
        <v>0.442273458806325</v>
      </c>
      <c r="BD239" s="220">
        <f t="shared" si="435"/>
        <v>0</v>
      </c>
      <c r="BQ239" s="217">
        <f t="shared" si="436"/>
        <v>0.075931625</v>
      </c>
      <c r="CG239" s="227">
        <f t="shared" si="437"/>
        <v>-50</v>
      </c>
      <c r="CH239">
        <f t="shared" si="438"/>
        <v>-50</v>
      </c>
    </row>
    <row r="240" spans="5:86">
      <c r="E240" s="22">
        <v>24</v>
      </c>
      <c r="F240" s="25">
        <f t="shared" si="439"/>
        <v>0.12</v>
      </c>
      <c r="G240" s="25"/>
      <c r="H240" s="25">
        <f t="shared" si="404"/>
        <v>2.16</v>
      </c>
      <c r="I240" s="212">
        <f t="shared" si="405"/>
        <v>14</v>
      </c>
      <c r="J240" s="131">
        <f t="shared" si="406"/>
        <v>12.2728</v>
      </c>
      <c r="K240" s="131">
        <f t="shared" si="407"/>
        <v>26.2728</v>
      </c>
      <c r="L240" s="131"/>
      <c r="M240" s="25">
        <f t="shared" si="408"/>
        <v>0.467129502755702</v>
      </c>
      <c r="N240" s="27">
        <f t="shared" si="409"/>
        <v>4.46381478761305</v>
      </c>
      <c r="O240" s="27">
        <f t="shared" si="363"/>
        <v>2.16</v>
      </c>
      <c r="P240" s="25">
        <f t="shared" si="410"/>
        <v>0.247989710422947</v>
      </c>
      <c r="Q240" s="25">
        <f t="shared" si="411"/>
        <v>18</v>
      </c>
      <c r="R240" s="25"/>
      <c r="S240" s="27">
        <f t="shared" si="412"/>
        <v>57.9044939802269</v>
      </c>
      <c r="T240" s="27">
        <f t="shared" si="413"/>
        <v>18</v>
      </c>
      <c r="U240" s="25">
        <f t="shared" si="414"/>
        <v>0.733965936286515</v>
      </c>
      <c r="V240" s="25">
        <f t="shared" si="415"/>
        <v>1.31065345765449</v>
      </c>
      <c r="W240" s="25">
        <f t="shared" si="416"/>
        <v>1.49510693624624</v>
      </c>
      <c r="X240" s="24">
        <f t="shared" si="417"/>
        <v>350</v>
      </c>
      <c r="Y240" s="131">
        <f t="shared" si="418"/>
        <v>350</v>
      </c>
      <c r="AA240" s="25">
        <f t="shared" si="419"/>
        <v>0.747407204409123</v>
      </c>
      <c r="AB240" s="5">
        <f t="shared" si="420"/>
        <v>1.52248713498371</v>
      </c>
      <c r="AC240" s="5">
        <f t="shared" si="421"/>
        <v>0.132823461427263</v>
      </c>
      <c r="AD240" s="5"/>
      <c r="AE240" s="5">
        <f t="shared" si="422"/>
        <v>0.611107489733394</v>
      </c>
      <c r="AF240" s="216">
        <f t="shared" si="423"/>
        <v>1962.66666666667</v>
      </c>
      <c r="AG240" s="217">
        <f t="shared" si="424"/>
        <v>0.0213994565217391</v>
      </c>
      <c r="AI240" s="5">
        <f t="shared" si="425"/>
        <v>0.710412355104917</v>
      </c>
      <c r="AJ240" s="5">
        <f t="shared" si="426"/>
        <v>0.710412355104917</v>
      </c>
      <c r="AK240" s="5">
        <f t="shared" si="427"/>
        <v>1.47360823673661</v>
      </c>
      <c r="AM240" s="216">
        <f t="shared" si="428"/>
        <v>120</v>
      </c>
      <c r="AN240" s="220">
        <f t="shared" si="429"/>
        <v>350</v>
      </c>
      <c r="AP240">
        <f t="shared" si="430"/>
        <v>120</v>
      </c>
      <c r="AQ240">
        <f t="shared" si="431"/>
        <v>350</v>
      </c>
      <c r="AS240" s="192">
        <f t="shared" si="364"/>
        <v>2.85714285714286</v>
      </c>
      <c r="AT240" s="192">
        <f t="shared" si="432"/>
        <v>1.26859349125878</v>
      </c>
      <c r="AU240" s="192">
        <f t="shared" si="440"/>
        <v>1.58854936588408</v>
      </c>
      <c r="AV240" s="192"/>
      <c r="AW240" s="5">
        <f t="shared" si="441"/>
        <v>0.444007721940573</v>
      </c>
      <c r="AX240" s="5"/>
      <c r="BA240" s="220">
        <f t="shared" si="433"/>
        <v>4.67115663597264</v>
      </c>
      <c r="BB240" s="220">
        <f t="shared" si="434"/>
        <v>8.10496038204206</v>
      </c>
      <c r="BC240" s="192">
        <f t="shared" si="359"/>
        <v>0.453871247395451</v>
      </c>
      <c r="BD240" s="220">
        <f t="shared" si="435"/>
        <v>0</v>
      </c>
      <c r="BQ240" s="217">
        <f t="shared" si="436"/>
        <v>0.079233</v>
      </c>
      <c r="CG240" s="227">
        <f t="shared" si="437"/>
        <v>-50</v>
      </c>
      <c r="CH240">
        <f t="shared" si="438"/>
        <v>-50</v>
      </c>
    </row>
    <row r="241" spans="5:86">
      <c r="E241" s="22">
        <v>25</v>
      </c>
      <c r="F241" s="25">
        <f t="shared" si="439"/>
        <v>0.125</v>
      </c>
      <c r="G241" s="25"/>
      <c r="H241" s="25">
        <f t="shared" si="404"/>
        <v>2.25</v>
      </c>
      <c r="I241" s="212">
        <f t="shared" si="405"/>
        <v>14</v>
      </c>
      <c r="J241" s="131">
        <f t="shared" si="406"/>
        <v>12.2728</v>
      </c>
      <c r="K241" s="131">
        <f t="shared" si="407"/>
        <v>26.2728</v>
      </c>
      <c r="L241" s="131"/>
      <c r="M241" s="25">
        <f t="shared" si="408"/>
        <v>0.467129502755702</v>
      </c>
      <c r="N241" s="27">
        <f t="shared" si="409"/>
        <v>4.46381478761305</v>
      </c>
      <c r="O241" s="27">
        <f t="shared" si="363"/>
        <v>2.25</v>
      </c>
      <c r="P241" s="25">
        <f t="shared" si="410"/>
        <v>0.247989710422947</v>
      </c>
      <c r="Q241" s="25">
        <f t="shared" si="411"/>
        <v>18</v>
      </c>
      <c r="R241" s="25"/>
      <c r="S241" s="27">
        <f t="shared" si="412"/>
        <v>54.7626954749897</v>
      </c>
      <c r="T241" s="27">
        <f t="shared" si="413"/>
        <v>18</v>
      </c>
      <c r="U241" s="25">
        <f t="shared" si="414"/>
        <v>0.764547850298453</v>
      </c>
      <c r="V241" s="25">
        <f t="shared" si="415"/>
        <v>1.36526401839009</v>
      </c>
      <c r="W241" s="25">
        <f t="shared" si="416"/>
        <v>1.55740305858983</v>
      </c>
      <c r="X241" s="24">
        <f t="shared" si="417"/>
        <v>350</v>
      </c>
      <c r="Y241" s="131">
        <f t="shared" si="418"/>
        <v>342.15323663663</v>
      </c>
      <c r="AA241" s="25">
        <f t="shared" si="419"/>
        <v>0.747407204409123</v>
      </c>
      <c r="AB241" s="5">
        <f t="shared" si="420"/>
        <v>1.52248713498371</v>
      </c>
      <c r="AC241" s="5">
        <f t="shared" si="421"/>
        <v>0.132823461427263</v>
      </c>
      <c r="AD241" s="5"/>
      <c r="AE241" s="5">
        <f t="shared" si="422"/>
        <v>0.611107489733394</v>
      </c>
      <c r="AF241" s="216">
        <f t="shared" si="423"/>
        <v>2044.44444444444</v>
      </c>
      <c r="AG241" s="217">
        <f t="shared" si="424"/>
        <v>0.0213994565217391</v>
      </c>
      <c r="AI241" s="5">
        <f t="shared" si="425"/>
        <v>0.725061573739973</v>
      </c>
      <c r="AJ241" s="5">
        <f t="shared" si="426"/>
        <v>0.725061573739973</v>
      </c>
      <c r="AK241" s="5">
        <f t="shared" si="427"/>
        <v>1.48337438249331</v>
      </c>
      <c r="AM241" s="216">
        <f t="shared" si="428"/>
        <v>125</v>
      </c>
      <c r="AN241" s="220">
        <f t="shared" si="429"/>
        <v>342.15323663663</v>
      </c>
      <c r="AP241">
        <f t="shared" si="430"/>
        <v>125</v>
      </c>
      <c r="AQ241">
        <f t="shared" si="431"/>
        <v>342.15323663663</v>
      </c>
      <c r="AS241" s="192">
        <f t="shared" si="364"/>
        <v>2.92266707697993</v>
      </c>
      <c r="AT241" s="192">
        <f t="shared" si="432"/>
        <v>1.29475281024995</v>
      </c>
      <c r="AU241" s="192">
        <f t="shared" si="440"/>
        <v>1.62791426672998</v>
      </c>
      <c r="AV241" s="192"/>
      <c r="AW241" s="5">
        <f t="shared" si="441"/>
        <v>0.443003864671393</v>
      </c>
      <c r="AX241" s="5"/>
      <c r="BA241" s="220">
        <f t="shared" si="433"/>
        <v>4.67115663597264</v>
      </c>
      <c r="BB241" s="220">
        <f t="shared" si="434"/>
        <v>8.77881985898661</v>
      </c>
      <c r="BC241" s="192">
        <f t="shared" si="359"/>
        <v>0.484498293669636</v>
      </c>
      <c r="BD241" s="220">
        <f t="shared" si="435"/>
        <v>0</v>
      </c>
      <c r="BQ241" s="217">
        <f t="shared" si="436"/>
        <v>0.082534375</v>
      </c>
      <c r="CG241" s="227">
        <f t="shared" si="437"/>
        <v>-50</v>
      </c>
      <c r="CH241">
        <f t="shared" si="438"/>
        <v>-50</v>
      </c>
    </row>
    <row r="242" spans="5:86">
      <c r="E242" s="22">
        <v>26</v>
      </c>
      <c r="F242" s="25">
        <f t="shared" si="439"/>
        <v>0.13</v>
      </c>
      <c r="G242" s="25"/>
      <c r="H242" s="25">
        <f t="shared" si="404"/>
        <v>2.34</v>
      </c>
      <c r="I242" s="212">
        <f t="shared" si="405"/>
        <v>14</v>
      </c>
      <c r="J242" s="131">
        <f t="shared" si="406"/>
        <v>12.2728</v>
      </c>
      <c r="K242" s="131">
        <f t="shared" si="407"/>
        <v>26.2728</v>
      </c>
      <c r="L242" s="131"/>
      <c r="M242" s="25">
        <f t="shared" si="408"/>
        <v>0.467129502755702</v>
      </c>
      <c r="N242" s="27">
        <f t="shared" si="409"/>
        <v>4.46381478761305</v>
      </c>
      <c r="O242" s="27">
        <f t="shared" si="363"/>
        <v>2.34</v>
      </c>
      <c r="P242" s="25">
        <f t="shared" si="410"/>
        <v>0.247989710422947</v>
      </c>
      <c r="Q242" s="25">
        <f t="shared" si="411"/>
        <v>18</v>
      </c>
      <c r="R242" s="25"/>
      <c r="S242" s="27">
        <f t="shared" si="412"/>
        <v>51.8634463115624</v>
      </c>
      <c r="T242" s="27">
        <f t="shared" si="413"/>
        <v>18</v>
      </c>
      <c r="U242" s="25">
        <f t="shared" si="414"/>
        <v>0.795129764310391</v>
      </c>
      <c r="V242" s="25">
        <f t="shared" si="415"/>
        <v>1.4198745791257</v>
      </c>
      <c r="W242" s="25">
        <f t="shared" si="416"/>
        <v>1.61969918093343</v>
      </c>
      <c r="X242" s="24">
        <f t="shared" si="417"/>
        <v>350</v>
      </c>
      <c r="Y242" s="131">
        <f t="shared" si="418"/>
        <v>328.99349676599</v>
      </c>
      <c r="AA242" s="25">
        <f t="shared" si="419"/>
        <v>0.747407204409123</v>
      </c>
      <c r="AB242" s="5">
        <f t="shared" si="420"/>
        <v>1.52248713498371</v>
      </c>
      <c r="AC242" s="5">
        <f t="shared" si="421"/>
        <v>0.132823461427263</v>
      </c>
      <c r="AD242" s="5"/>
      <c r="AE242" s="5">
        <f t="shared" si="422"/>
        <v>0.611107489733394</v>
      </c>
      <c r="AF242" s="216">
        <f t="shared" si="423"/>
        <v>2126.22222222222</v>
      </c>
      <c r="AG242" s="217">
        <f t="shared" si="424"/>
        <v>0.0213994565217391</v>
      </c>
      <c r="AI242" s="5">
        <f t="shared" si="425"/>
        <v>0.739420622611283</v>
      </c>
      <c r="AJ242" s="5">
        <f t="shared" si="426"/>
        <v>0.739420622611283</v>
      </c>
      <c r="AK242" s="5">
        <f t="shared" si="427"/>
        <v>1.49294708174086</v>
      </c>
      <c r="AM242" s="216">
        <f t="shared" si="428"/>
        <v>130</v>
      </c>
      <c r="AN242" s="220">
        <f t="shared" si="429"/>
        <v>328.99349676599</v>
      </c>
      <c r="AP242">
        <f t="shared" si="430"/>
        <v>130</v>
      </c>
      <c r="AQ242">
        <f t="shared" si="431"/>
        <v>328.99349676599</v>
      </c>
      <c r="AS242" s="192">
        <f t="shared" si="364"/>
        <v>3.03957376005913</v>
      </c>
      <c r="AT242" s="192">
        <f t="shared" si="432"/>
        <v>1.32039396894872</v>
      </c>
      <c r="AU242" s="192">
        <f t="shared" si="440"/>
        <v>1.71917979111041</v>
      </c>
      <c r="AV242" s="192"/>
      <c r="AW242" s="5">
        <f t="shared" si="441"/>
        <v>0.434401028953163</v>
      </c>
      <c r="AX242" s="5"/>
      <c r="BA242" s="220">
        <f t="shared" si="433"/>
        <v>4.67115663597264</v>
      </c>
      <c r="BB242" s="220">
        <f t="shared" si="434"/>
        <v>9.47957155947992</v>
      </c>
      <c r="BC242" s="192">
        <f t="shared" si="359"/>
        <v>0.53212707820084</v>
      </c>
      <c r="BD242" s="220">
        <f t="shared" si="435"/>
        <v>0</v>
      </c>
      <c r="BQ242" s="217">
        <f t="shared" si="436"/>
        <v>0.08583575</v>
      </c>
      <c r="CG242" s="227">
        <f t="shared" si="437"/>
        <v>-50</v>
      </c>
      <c r="CH242">
        <f t="shared" si="438"/>
        <v>-50</v>
      </c>
    </row>
    <row r="243" spans="5:86">
      <c r="E243" s="22">
        <v>27</v>
      </c>
      <c r="F243" s="25">
        <f t="shared" si="439"/>
        <v>0.135</v>
      </c>
      <c r="G243" s="25"/>
      <c r="H243" s="25">
        <f t="shared" si="404"/>
        <v>2.43</v>
      </c>
      <c r="I243" s="212">
        <f t="shared" si="405"/>
        <v>14</v>
      </c>
      <c r="J243" s="131">
        <f t="shared" si="406"/>
        <v>12.2728</v>
      </c>
      <c r="K243" s="131">
        <f t="shared" si="407"/>
        <v>26.2728</v>
      </c>
      <c r="L243" s="131"/>
      <c r="M243" s="25">
        <f t="shared" si="408"/>
        <v>0.467129502755702</v>
      </c>
      <c r="N243" s="27">
        <f t="shared" si="409"/>
        <v>4.46381478761305</v>
      </c>
      <c r="O243" s="27">
        <f t="shared" si="363"/>
        <v>2.43</v>
      </c>
      <c r="P243" s="25">
        <f t="shared" si="410"/>
        <v>0.247989710422947</v>
      </c>
      <c r="Q243" s="25">
        <f t="shared" si="411"/>
        <v>18</v>
      </c>
      <c r="R243" s="25"/>
      <c r="S243" s="27">
        <f t="shared" si="412"/>
        <v>49.1798338055113</v>
      </c>
      <c r="T243" s="27">
        <f t="shared" si="413"/>
        <v>18</v>
      </c>
      <c r="U243" s="25">
        <f t="shared" si="414"/>
        <v>0.825711678322329</v>
      </c>
      <c r="V243" s="25">
        <f t="shared" si="415"/>
        <v>1.4744851398613</v>
      </c>
      <c r="W243" s="25">
        <f t="shared" si="416"/>
        <v>1.68199530327702</v>
      </c>
      <c r="X243" s="24">
        <f t="shared" si="417"/>
        <v>350</v>
      </c>
      <c r="Y243" s="131">
        <f t="shared" si="418"/>
        <v>316.808552441324</v>
      </c>
      <c r="AA243" s="25">
        <f t="shared" si="419"/>
        <v>0.747407204409123</v>
      </c>
      <c r="AB243" s="5">
        <f t="shared" si="420"/>
        <v>1.52248713498371</v>
      </c>
      <c r="AC243" s="5">
        <f t="shared" si="421"/>
        <v>0.132823461427263</v>
      </c>
      <c r="AD243" s="5"/>
      <c r="AE243" s="5">
        <f t="shared" si="422"/>
        <v>0.611107489733394</v>
      </c>
      <c r="AF243" s="216">
        <f t="shared" si="423"/>
        <v>2208</v>
      </c>
      <c r="AG243" s="217">
        <f t="shared" si="424"/>
        <v>0.0213994565217391</v>
      </c>
      <c r="AI243" s="5">
        <f t="shared" si="425"/>
        <v>0.753506090600088</v>
      </c>
      <c r="AJ243" s="5">
        <f t="shared" si="426"/>
        <v>0.825711678322329</v>
      </c>
      <c r="AK243" s="5">
        <f t="shared" si="427"/>
        <v>1.55047445221489</v>
      </c>
      <c r="AM243" s="216">
        <f t="shared" si="428"/>
        <v>135</v>
      </c>
      <c r="AN243" s="220">
        <f t="shared" si="429"/>
        <v>316.808552441324</v>
      </c>
      <c r="AP243">
        <f t="shared" si="430"/>
        <v>135</v>
      </c>
      <c r="AQ243">
        <f t="shared" si="431"/>
        <v>316.808552441324</v>
      </c>
      <c r="AS243" s="192">
        <f t="shared" si="364"/>
        <v>3.15648044313832</v>
      </c>
      <c r="AT243" s="192">
        <f t="shared" si="432"/>
        <v>1.4744851398613</v>
      </c>
      <c r="AU243" s="192">
        <f t="shared" si="440"/>
        <v>1.68199530327702</v>
      </c>
      <c r="AV243" s="192"/>
      <c r="AW243" s="5">
        <f t="shared" si="441"/>
        <v>0.467129502755702</v>
      </c>
      <c r="AX243" s="5"/>
      <c r="BA243" s="220">
        <f t="shared" si="433"/>
        <v>4.67115663597264</v>
      </c>
      <c r="BB243" s="220">
        <f t="shared" si="434"/>
        <v>10.207215483522</v>
      </c>
      <c r="BC243" s="192">
        <f t="shared" si="359"/>
        <v>0.5406413474819</v>
      </c>
      <c r="BD243" s="220">
        <f t="shared" si="435"/>
        <v>0</v>
      </c>
      <c r="BQ243" s="217">
        <f t="shared" si="436"/>
        <v>0.089137125</v>
      </c>
      <c r="CG243" s="227">
        <f t="shared" si="437"/>
        <v>-50</v>
      </c>
      <c r="CH243">
        <f t="shared" si="438"/>
        <v>-50</v>
      </c>
    </row>
    <row r="244" spans="5:86">
      <c r="E244" s="22">
        <v>28</v>
      </c>
      <c r="F244" s="25">
        <f t="shared" si="439"/>
        <v>0.14</v>
      </c>
      <c r="G244" s="25"/>
      <c r="H244" s="25">
        <f t="shared" si="404"/>
        <v>2.52</v>
      </c>
      <c r="I244" s="212">
        <f t="shared" si="405"/>
        <v>14</v>
      </c>
      <c r="J244" s="131">
        <f t="shared" si="406"/>
        <v>12.2728</v>
      </c>
      <c r="K244" s="131">
        <f t="shared" si="407"/>
        <v>26.2728</v>
      </c>
      <c r="L244" s="131"/>
      <c r="M244" s="25">
        <f t="shared" si="408"/>
        <v>0.467129502755702</v>
      </c>
      <c r="N244" s="27">
        <f t="shared" si="409"/>
        <v>4.46381478761305</v>
      </c>
      <c r="O244" s="27">
        <f t="shared" si="363"/>
        <v>2.52</v>
      </c>
      <c r="P244" s="25">
        <f t="shared" si="410"/>
        <v>0.247989710422947</v>
      </c>
      <c r="Q244" s="25">
        <f t="shared" si="411"/>
        <v>18</v>
      </c>
      <c r="R244" s="25"/>
      <c r="S244" s="27">
        <f t="shared" si="412"/>
        <v>46.6887920021807</v>
      </c>
      <c r="T244" s="27">
        <f t="shared" si="413"/>
        <v>18</v>
      </c>
      <c r="U244" s="25">
        <f t="shared" si="414"/>
        <v>0.856293592334267</v>
      </c>
      <c r="V244" s="25">
        <f t="shared" si="415"/>
        <v>1.52909570059691</v>
      </c>
      <c r="W244" s="25">
        <f t="shared" si="416"/>
        <v>1.74429142562062</v>
      </c>
      <c r="X244" s="24">
        <f t="shared" si="417"/>
        <v>350</v>
      </c>
      <c r="Y244" s="131">
        <f t="shared" si="418"/>
        <v>305.493961282705</v>
      </c>
      <c r="AA244" s="25">
        <f t="shared" si="419"/>
        <v>0.747407204409123</v>
      </c>
      <c r="AB244" s="5">
        <f t="shared" si="420"/>
        <v>1.52248713498371</v>
      </c>
      <c r="AC244" s="5">
        <f t="shared" si="421"/>
        <v>0.132823461427263</v>
      </c>
      <c r="AD244" s="5"/>
      <c r="AE244" s="5">
        <f t="shared" si="422"/>
        <v>0.611107489733394</v>
      </c>
      <c r="AF244" s="216">
        <f t="shared" si="423"/>
        <v>2289.77777777778</v>
      </c>
      <c r="AG244" s="217">
        <f t="shared" si="424"/>
        <v>0.0213994565217391</v>
      </c>
      <c r="AI244" s="5">
        <f t="shared" si="425"/>
        <v>0.767333043730035</v>
      </c>
      <c r="AJ244" s="5">
        <f t="shared" si="426"/>
        <v>0.856293592334267</v>
      </c>
      <c r="AK244" s="5">
        <f t="shared" si="427"/>
        <v>1.57086239488951</v>
      </c>
      <c r="AM244" s="216">
        <f t="shared" si="428"/>
        <v>140</v>
      </c>
      <c r="AN244" s="220">
        <f t="shared" si="429"/>
        <v>305.493961282705</v>
      </c>
      <c r="AP244">
        <f t="shared" si="430"/>
        <v>140</v>
      </c>
      <c r="AQ244">
        <f t="shared" si="431"/>
        <v>305.493961282705</v>
      </c>
      <c r="AS244" s="192">
        <f t="shared" si="364"/>
        <v>3.27338712621752</v>
      </c>
      <c r="AT244" s="192">
        <f t="shared" si="432"/>
        <v>1.52909570059691</v>
      </c>
      <c r="AU244" s="192">
        <f t="shared" si="440"/>
        <v>1.74429142562062</v>
      </c>
      <c r="AV244" s="192"/>
      <c r="AW244" s="5">
        <f t="shared" si="441"/>
        <v>0.467129502755702</v>
      </c>
      <c r="AX244" s="5"/>
      <c r="BA244" s="220">
        <f t="shared" si="433"/>
        <v>4.67115663597264</v>
      </c>
      <c r="BB244" s="220">
        <f t="shared" si="434"/>
        <v>10.9617516311128</v>
      </c>
      <c r="BC244" s="192">
        <f t="shared" si="359"/>
        <v>0.581430475206872</v>
      </c>
      <c r="BD244" s="220">
        <f t="shared" si="435"/>
        <v>0</v>
      </c>
      <c r="BQ244" s="217">
        <f t="shared" si="436"/>
        <v>0.0924385</v>
      </c>
      <c r="CG244" s="227">
        <f t="shared" si="437"/>
        <v>-50</v>
      </c>
      <c r="CH244">
        <f t="shared" si="438"/>
        <v>-50</v>
      </c>
    </row>
    <row r="245" spans="5:86">
      <c r="E245" s="22">
        <v>29</v>
      </c>
      <c r="F245" s="25">
        <f t="shared" si="439"/>
        <v>0.145</v>
      </c>
      <c r="G245" s="25"/>
      <c r="H245" s="25">
        <f t="shared" si="404"/>
        <v>2.61</v>
      </c>
      <c r="I245" s="212">
        <f t="shared" si="405"/>
        <v>14</v>
      </c>
      <c r="J245" s="131">
        <f t="shared" si="406"/>
        <v>12.2728</v>
      </c>
      <c r="K245" s="131">
        <f t="shared" si="407"/>
        <v>26.2728</v>
      </c>
      <c r="L245" s="131"/>
      <c r="M245" s="25">
        <f t="shared" si="408"/>
        <v>0.467129502755702</v>
      </c>
      <c r="N245" s="27">
        <f t="shared" si="409"/>
        <v>4.46381478761305</v>
      </c>
      <c r="O245" s="27">
        <f t="shared" si="363"/>
        <v>2.61</v>
      </c>
      <c r="P245" s="25">
        <f t="shared" si="410"/>
        <v>0.247989710422947</v>
      </c>
      <c r="Q245" s="25">
        <f t="shared" si="411"/>
        <v>18</v>
      </c>
      <c r="R245" s="25"/>
      <c r="S245" s="27">
        <f t="shared" si="412"/>
        <v>44.3704385848408</v>
      </c>
      <c r="T245" s="27">
        <f t="shared" si="413"/>
        <v>18</v>
      </c>
      <c r="U245" s="25">
        <f t="shared" si="414"/>
        <v>0.886875506346205</v>
      </c>
      <c r="V245" s="25">
        <f t="shared" si="415"/>
        <v>1.58370626133251</v>
      </c>
      <c r="W245" s="25">
        <f t="shared" si="416"/>
        <v>1.80658754796421</v>
      </c>
      <c r="X245" s="24">
        <f t="shared" si="417"/>
        <v>350</v>
      </c>
      <c r="Y245" s="131">
        <f t="shared" si="418"/>
        <v>294.959686755715</v>
      </c>
      <c r="AA245" s="25">
        <f t="shared" si="419"/>
        <v>0.747407204409123</v>
      </c>
      <c r="AB245" s="5">
        <f t="shared" si="420"/>
        <v>1.52248713498371</v>
      </c>
      <c r="AC245" s="5">
        <f t="shared" si="421"/>
        <v>0.132823461427263</v>
      </c>
      <c r="AD245" s="5"/>
      <c r="AE245" s="5">
        <f t="shared" si="422"/>
        <v>0.611107489733394</v>
      </c>
      <c r="AF245" s="216">
        <f t="shared" si="423"/>
        <v>2371.55555555556</v>
      </c>
      <c r="AG245" s="217">
        <f t="shared" si="424"/>
        <v>0.0213994565217391</v>
      </c>
      <c r="AI245" s="5">
        <f t="shared" si="425"/>
        <v>0.780915213982012</v>
      </c>
      <c r="AJ245" s="5">
        <f t="shared" si="426"/>
        <v>0.886875506346205</v>
      </c>
      <c r="AK245" s="5">
        <f t="shared" si="427"/>
        <v>1.59125033756414</v>
      </c>
      <c r="AM245" s="216">
        <f t="shared" si="428"/>
        <v>145</v>
      </c>
      <c r="AN245" s="220">
        <f t="shared" si="429"/>
        <v>294.959686755715</v>
      </c>
      <c r="AP245">
        <f t="shared" si="430"/>
        <v>145</v>
      </c>
      <c r="AQ245">
        <f t="shared" si="431"/>
        <v>294.959686755715</v>
      </c>
      <c r="AS245" s="192">
        <f t="shared" si="364"/>
        <v>3.39029380929672</v>
      </c>
      <c r="AT245" s="192">
        <f t="shared" si="432"/>
        <v>1.58370626133251</v>
      </c>
      <c r="AU245" s="192">
        <f t="shared" si="440"/>
        <v>1.80658754796421</v>
      </c>
      <c r="AV245" s="192"/>
      <c r="AW245" s="5">
        <f t="shared" si="441"/>
        <v>0.467129502755702</v>
      </c>
      <c r="AX245" s="5"/>
      <c r="BA245" s="220">
        <f t="shared" si="433"/>
        <v>4.67115663597264</v>
      </c>
      <c r="BB245" s="220">
        <f t="shared" si="434"/>
        <v>11.7431800022524</v>
      </c>
      <c r="BC245" s="192">
        <f t="shared" ref="BC245:BC308" si="442">H245/Efficiency/I245*AU245/Vinripple1</f>
        <v>0.623702843940024</v>
      </c>
      <c r="BD245" s="220">
        <f t="shared" si="435"/>
        <v>0</v>
      </c>
      <c r="BQ245" s="217">
        <f t="shared" si="436"/>
        <v>0.095739875</v>
      </c>
      <c r="CG245" s="227">
        <f t="shared" si="437"/>
        <v>-50</v>
      </c>
      <c r="CH245">
        <f t="shared" si="438"/>
        <v>-50</v>
      </c>
    </row>
    <row r="246" spans="5:86">
      <c r="E246" s="22">
        <v>30</v>
      </c>
      <c r="F246" s="25">
        <f t="shared" si="439"/>
        <v>0.15</v>
      </c>
      <c r="G246" s="25"/>
      <c r="H246" s="25">
        <f t="shared" si="404"/>
        <v>2.7</v>
      </c>
      <c r="I246" s="212">
        <f t="shared" si="405"/>
        <v>14</v>
      </c>
      <c r="J246" s="131">
        <f t="shared" si="406"/>
        <v>12.2728</v>
      </c>
      <c r="K246" s="131">
        <f t="shared" si="407"/>
        <v>26.2728</v>
      </c>
      <c r="L246" s="131"/>
      <c r="M246" s="25">
        <f t="shared" si="408"/>
        <v>0.467129502755702</v>
      </c>
      <c r="N246" s="27">
        <f t="shared" si="409"/>
        <v>4.46381478761305</v>
      </c>
      <c r="O246" s="27">
        <f t="shared" si="363"/>
        <v>2.7</v>
      </c>
      <c r="P246" s="25">
        <f t="shared" si="410"/>
        <v>0.247989710422947</v>
      </c>
      <c r="Q246" s="25">
        <f t="shared" si="411"/>
        <v>18</v>
      </c>
      <c r="R246" s="25"/>
      <c r="S246" s="27">
        <f t="shared" si="412"/>
        <v>42.207544411666</v>
      </c>
      <c r="T246" s="27">
        <f t="shared" si="413"/>
        <v>18</v>
      </c>
      <c r="U246" s="25">
        <f t="shared" si="414"/>
        <v>0.917457420358143</v>
      </c>
      <c r="V246" s="25">
        <f t="shared" si="415"/>
        <v>1.63831682206811</v>
      </c>
      <c r="W246" s="25">
        <f t="shared" si="416"/>
        <v>1.8688836703078</v>
      </c>
      <c r="X246" s="24">
        <f t="shared" si="417"/>
        <v>350</v>
      </c>
      <c r="Y246" s="131">
        <f t="shared" si="418"/>
        <v>285.127697197191</v>
      </c>
      <c r="AA246" s="25">
        <f t="shared" si="419"/>
        <v>0.747407204409123</v>
      </c>
      <c r="AB246" s="5">
        <f t="shared" si="420"/>
        <v>1.52248713498371</v>
      </c>
      <c r="AC246" s="5">
        <f t="shared" si="421"/>
        <v>0.132823461427263</v>
      </c>
      <c r="AD246" s="5"/>
      <c r="AE246" s="5">
        <f t="shared" si="422"/>
        <v>0.611107489733394</v>
      </c>
      <c r="AF246" s="216">
        <f t="shared" si="423"/>
        <v>2453.33333333333</v>
      </c>
      <c r="AG246" s="217">
        <f t="shared" si="424"/>
        <v>0.0213994565217391</v>
      </c>
      <c r="AI246" s="5">
        <f t="shared" si="425"/>
        <v>0.794265159035157</v>
      </c>
      <c r="AJ246" s="5">
        <f t="shared" si="426"/>
        <v>0.917457420358143</v>
      </c>
      <c r="AK246" s="5">
        <f t="shared" si="427"/>
        <v>1.61163828023876</v>
      </c>
      <c r="AM246" s="216">
        <f t="shared" si="428"/>
        <v>150</v>
      </c>
      <c r="AN246" s="220">
        <f t="shared" si="429"/>
        <v>285.127697197191</v>
      </c>
      <c r="AP246">
        <f t="shared" si="430"/>
        <v>150</v>
      </c>
      <c r="AQ246">
        <f t="shared" si="431"/>
        <v>285.127697197191</v>
      </c>
      <c r="AS246" s="192">
        <f t="shared" si="364"/>
        <v>3.50720049237592</v>
      </c>
      <c r="AT246" s="192">
        <f t="shared" si="432"/>
        <v>1.63831682206811</v>
      </c>
      <c r="AU246" s="192">
        <f t="shared" si="440"/>
        <v>1.8688836703078</v>
      </c>
      <c r="AV246" s="192"/>
      <c r="AW246" s="5">
        <f t="shared" si="441"/>
        <v>0.467129502755702</v>
      </c>
      <c r="AX246" s="5"/>
      <c r="BA246" s="220">
        <f t="shared" si="433"/>
        <v>4.67115663597264</v>
      </c>
      <c r="BB246" s="220">
        <f t="shared" si="434"/>
        <v>12.5515005969407</v>
      </c>
      <c r="BC246" s="192">
        <f t="shared" si="442"/>
        <v>0.667458453681358</v>
      </c>
      <c r="BD246" s="220">
        <f t="shared" si="435"/>
        <v>0</v>
      </c>
      <c r="BQ246" s="217">
        <f t="shared" si="436"/>
        <v>0.09904125</v>
      </c>
      <c r="CG246" s="227">
        <f t="shared" si="437"/>
        <v>-50</v>
      </c>
      <c r="CH246">
        <f t="shared" si="438"/>
        <v>-50</v>
      </c>
    </row>
    <row r="247" spans="5:86">
      <c r="E247" s="22">
        <v>31</v>
      </c>
      <c r="F247" s="25">
        <f t="shared" si="439"/>
        <v>0.155</v>
      </c>
      <c r="G247" s="25"/>
      <c r="H247" s="25">
        <f t="shared" si="404"/>
        <v>2.79</v>
      </c>
      <c r="I247" s="212">
        <f t="shared" si="405"/>
        <v>14</v>
      </c>
      <c r="J247" s="131">
        <f t="shared" si="406"/>
        <v>12.2728</v>
      </c>
      <c r="K247" s="131">
        <f t="shared" si="407"/>
        <v>26.2728</v>
      </c>
      <c r="L247" s="131"/>
      <c r="M247" s="25">
        <f t="shared" si="408"/>
        <v>0.467129502755702</v>
      </c>
      <c r="N247" s="27">
        <f t="shared" si="409"/>
        <v>4.46381478761305</v>
      </c>
      <c r="O247" s="27">
        <f t="shared" si="363"/>
        <v>2.79</v>
      </c>
      <c r="P247" s="25">
        <f t="shared" si="410"/>
        <v>0.247989710422947</v>
      </c>
      <c r="Q247" s="25">
        <f t="shared" si="411"/>
        <v>18</v>
      </c>
      <c r="R247" s="25"/>
      <c r="S247" s="27">
        <f t="shared" si="412"/>
        <v>40.1851057339587</v>
      </c>
      <c r="T247" s="27">
        <f t="shared" si="413"/>
        <v>18</v>
      </c>
      <c r="U247" s="25">
        <f t="shared" si="414"/>
        <v>0.948039334370082</v>
      </c>
      <c r="V247" s="25">
        <f t="shared" si="415"/>
        <v>1.69292738280372</v>
      </c>
      <c r="W247" s="25">
        <f t="shared" si="416"/>
        <v>1.9311797926514</v>
      </c>
      <c r="X247" s="24">
        <f t="shared" si="417"/>
        <v>350</v>
      </c>
      <c r="Y247" s="131">
        <f t="shared" si="418"/>
        <v>275.930029545669</v>
      </c>
      <c r="AA247" s="25">
        <f t="shared" si="419"/>
        <v>0.747407204409123</v>
      </c>
      <c r="AB247" s="5">
        <f t="shared" si="420"/>
        <v>1.52248713498371</v>
      </c>
      <c r="AC247" s="5">
        <f t="shared" si="421"/>
        <v>0.132823461427263</v>
      </c>
      <c r="AD247" s="5"/>
      <c r="AE247" s="5">
        <f t="shared" si="422"/>
        <v>0.611107489733394</v>
      </c>
      <c r="AF247" s="216">
        <f t="shared" si="423"/>
        <v>2535.11111111111</v>
      </c>
      <c r="AG247" s="217">
        <f t="shared" si="424"/>
        <v>0.0213994565217391</v>
      </c>
      <c r="AI247" s="5">
        <f t="shared" si="425"/>
        <v>0.807394398225374</v>
      </c>
      <c r="AJ247" s="5">
        <f t="shared" si="426"/>
        <v>0.948039334370082</v>
      </c>
      <c r="AK247" s="5">
        <f t="shared" si="427"/>
        <v>1.63202622291339</v>
      </c>
      <c r="AM247" s="216">
        <f t="shared" si="428"/>
        <v>155</v>
      </c>
      <c r="AN247" s="220">
        <f t="shared" si="429"/>
        <v>275.930029545669</v>
      </c>
      <c r="AP247">
        <f t="shared" si="430"/>
        <v>155</v>
      </c>
      <c r="AQ247">
        <f t="shared" si="431"/>
        <v>275.930029545669</v>
      </c>
      <c r="AS247" s="192">
        <f t="shared" si="364"/>
        <v>3.62410717545511</v>
      </c>
      <c r="AT247" s="192">
        <f t="shared" si="432"/>
        <v>1.69292738280372</v>
      </c>
      <c r="AU247" s="192">
        <f t="shared" si="440"/>
        <v>1.93117979265139</v>
      </c>
      <c r="AV247" s="192"/>
      <c r="AW247" s="5">
        <f t="shared" si="441"/>
        <v>0.467129502755702</v>
      </c>
      <c r="AX247" s="5"/>
      <c r="BA247" s="220">
        <f t="shared" si="433"/>
        <v>4.67115663597264</v>
      </c>
      <c r="BB247" s="220">
        <f t="shared" si="434"/>
        <v>13.3867134151778</v>
      </c>
      <c r="BC247" s="192">
        <f t="shared" si="442"/>
        <v>0.712697304430872</v>
      </c>
      <c r="BD247" s="220">
        <f t="shared" si="435"/>
        <v>0</v>
      </c>
      <c r="BQ247" s="217">
        <f t="shared" si="436"/>
        <v>0.102342625</v>
      </c>
      <c r="CG247" s="227">
        <f t="shared" si="437"/>
        <v>-50</v>
      </c>
      <c r="CH247">
        <f t="shared" si="438"/>
        <v>-50</v>
      </c>
    </row>
    <row r="248" spans="5:86">
      <c r="E248" s="22">
        <v>32</v>
      </c>
      <c r="F248" s="25">
        <f t="shared" si="439"/>
        <v>0.16</v>
      </c>
      <c r="G248" s="25"/>
      <c r="H248" s="25">
        <f t="shared" ref="H248:H279" si="443">F248*Vout</f>
        <v>2.88</v>
      </c>
      <c r="I248" s="212">
        <f t="shared" ref="I248:I279" si="444">VIN_max</f>
        <v>14</v>
      </c>
      <c r="J248" s="131">
        <f t="shared" ref="J248:J279" si="445">(T248+Vfwd1)*Nps</f>
        <v>12.2728</v>
      </c>
      <c r="K248" s="131">
        <f t="shared" ref="K248:K279" si="446">(Vout+Vfwd1)*Nps+I248</f>
        <v>26.2728</v>
      </c>
      <c r="L248" s="131"/>
      <c r="M248" s="25">
        <f t="shared" ref="M248:M279" si="447">(Vout+Vfwd1)*Nps/((Vout+Vfwd1)*Nps+I248)</f>
        <v>0.467129502755702</v>
      </c>
      <c r="N248" s="27">
        <f t="shared" ref="N248:N279" si="448">M248*I248*(Isw_max+VIN_max/Lmag*ILIM_delay)*0.5*Efficiency</f>
        <v>4.46381478761305</v>
      </c>
      <c r="O248" s="27">
        <f t="shared" si="363"/>
        <v>2.88</v>
      </c>
      <c r="P248" s="25">
        <f t="shared" ref="P248:P279" si="449">N248/Vout</f>
        <v>0.247989710422947</v>
      </c>
      <c r="Q248" s="25">
        <f t="shared" ref="Q248:Q279" si="450">MIN(Vout,N248/F248)</f>
        <v>18</v>
      </c>
      <c r="R248" s="25"/>
      <c r="S248" s="27">
        <f t="shared" ref="S248:S279" si="451">(SQRT(Isw_max^2*Nps^2*I248^2+4*Isw_max*F248/Efficiency*(Nps^2*Vfwd1*I248-Nps*I248^2)+4*(F248/Efficiency)^2*Nps^2*Vfwd1^2+8*(F248/Efficiency)^2*Nps*Vfwd1*I248+4*(F248/Efficiency)^2*I248^2)-2*F248/Efficiency*I248-2*F248/Efficiency*Nps*Vfwd1+Isw_max*Nps*I248)/(4*F248/Efficiency*Nps)</f>
        <v>38.2899966350006</v>
      </c>
      <c r="T248" s="27">
        <f t="shared" ref="T248:T279" si="452">MIN(Vout,S248)</f>
        <v>18</v>
      </c>
      <c r="U248" s="25">
        <f t="shared" ref="U248:U279" si="453">MIN(2*Vout*F248/(Efficiency*I248*M248),Isw_max)</f>
        <v>0.97862124838202</v>
      </c>
      <c r="V248" s="25">
        <f t="shared" ref="V248:V279" si="454">L*U248/I248*1000000</f>
        <v>1.74753794353932</v>
      </c>
      <c r="W248" s="25">
        <f t="shared" ref="W248:W279" si="455">L*U248/J248*1000000</f>
        <v>1.99347591499499</v>
      </c>
      <c r="X248" s="24">
        <f t="shared" ref="X248:X279" si="456">IF(1/((350000*L)*(1/I248+1/J248))&gt;Isw_min,350,0.001/((Isw_min*L)*(1/I248+1/J248)))</f>
        <v>350</v>
      </c>
      <c r="Y248" s="131">
        <f t="shared" si="418"/>
        <v>267.307216122367</v>
      </c>
      <c r="AA248" s="25">
        <f t="shared" ref="AA248:AA279" si="457">1/((X248*1000*L)*(1/I248+1/J248))</f>
        <v>0.747407204409123</v>
      </c>
      <c r="AB248" s="5">
        <f t="shared" ref="AB248:AB279" si="458">L*AA248/J248*1000000</f>
        <v>1.52248713498371</v>
      </c>
      <c r="AC248" s="5">
        <f t="shared" ref="AC248:AC279" si="459">0.5*AB248*AA248*Nps*X248/1000</f>
        <v>0.132823461427263</v>
      </c>
      <c r="AD248" s="5"/>
      <c r="AE248" s="5">
        <f t="shared" ref="AE248:AE279" si="460">L*Isw_min/J248*1000000</f>
        <v>0.611107489733394</v>
      </c>
      <c r="AF248" s="216">
        <f t="shared" ref="AF248:AF279" si="461">MAX(12000,F248/(0.5*AE248/1000000*Isw_min*Nps))/1000</f>
        <v>2616.88888888889</v>
      </c>
      <c r="AG248" s="217">
        <f t="shared" ref="AG248:AG279" si="462">0.5*AE248/1000000*Isw_min*Nps*X248*1000</f>
        <v>0.0213994565217391</v>
      </c>
      <c r="AI248" s="5">
        <f t="shared" ref="AI248:AI279" si="463">SQRT(F248/(0.5*L/J248*Fsw_DCM*Nps))</f>
        <v>0.820313528910919</v>
      </c>
      <c r="AJ248" s="5">
        <f t="shared" ref="AJ248:AJ279" si="464">MAX(IF(F248&gt;AC248,U248,AI248),Isw_min)</f>
        <v>0.97862124838202</v>
      </c>
      <c r="AK248" s="5">
        <f t="shared" ref="AK248:AK279" si="465">IF(F248&gt;AG248,(AJ248-Isw_min)/1.2*0.8+1.2,AF248*0.2/350+1)</f>
        <v>1.65241416558801</v>
      </c>
      <c r="AM248" s="216">
        <f t="shared" ref="AM248:AM279" si="466">F248*1000</f>
        <v>160</v>
      </c>
      <c r="AN248" s="220">
        <f t="shared" ref="AN248:AN279" si="467">IF(F248&gt;AG248,Y248,AF248)</f>
        <v>267.307216122367</v>
      </c>
      <c r="AP248">
        <f t="shared" ref="AP248:AP279" si="468">IF(H248&gt;N248,"",AM248)</f>
        <v>160</v>
      </c>
      <c r="AQ248">
        <f t="shared" ref="AQ248:AQ279" si="469">IF(H248&gt;N248,"",AN248)</f>
        <v>267.307216122367</v>
      </c>
      <c r="AS248" s="192">
        <f t="shared" si="364"/>
        <v>3.74101385853431</v>
      </c>
      <c r="AT248" s="192">
        <f t="shared" ref="AT248:AT279" si="470">L*AJ248/I248*1000000</f>
        <v>1.74753794353932</v>
      </c>
      <c r="AU248" s="192">
        <f t="shared" si="440"/>
        <v>1.99347591499499</v>
      </c>
      <c r="AV248" s="192"/>
      <c r="AW248" s="5">
        <f t="shared" si="441"/>
        <v>0.467129502755702</v>
      </c>
      <c r="AX248" s="5"/>
      <c r="BA248" s="220">
        <f t="shared" ref="BA248:BA279" si="471">L*Isw_max^2/(2*Vout_ripple*Vout)*1000000000*((1+M248)/2)^2</f>
        <v>4.67115663597264</v>
      </c>
      <c r="BB248" s="220">
        <f t="shared" ref="BB248:BB279" si="472">L*F248^2/(2*Cout*Vout*Nps^2)*1000000000*((1+M248)/(1-M248))^2+F248*RCoutEsr</f>
        <v>14.2488184569637</v>
      </c>
      <c r="BC248" s="192">
        <f t="shared" si="442"/>
        <v>0.759419396188567</v>
      </c>
      <c r="BD248" s="220">
        <f t="shared" ref="BD248:BD279" si="473">((CB248/I248/Efficiency)*AU248/Cin+(CB248/I248/Efficiency)*RCinEsr)*1000</f>
        <v>0</v>
      </c>
      <c r="BQ248" s="217">
        <f t="shared" ref="BQ248:BQ279" si="474">(Vfwd2*F248+BG248^2*Rdiode)*(1+Diode_TC/1000*(Ta-25))</f>
        <v>0.105644</v>
      </c>
      <c r="CG248" s="227">
        <f t="shared" ref="CG248:CG279" si="475">IF(ABS(F248-Ioutmax_Vinmax)&lt;Iout/200,AN248,-50)</f>
        <v>-50</v>
      </c>
      <c r="CH248">
        <f t="shared" ref="CH248:CH279" si="476">IF(ABS(F248-Ioutmax_Vinmin)&lt;Iout/200,N248*CC248,-50)</f>
        <v>-50</v>
      </c>
    </row>
    <row r="249" spans="5:86">
      <c r="E249" s="22">
        <v>33</v>
      </c>
      <c r="F249" s="25">
        <f t="shared" ref="F249:F280" si="477">IF(PLOT_TYPE=1,E249/100*Iout_max,min_I*EXP(N249*rr/100))</f>
        <v>0.165</v>
      </c>
      <c r="G249" s="25"/>
      <c r="H249" s="25">
        <f t="shared" si="443"/>
        <v>2.97</v>
      </c>
      <c r="I249" s="212">
        <f t="shared" si="444"/>
        <v>14</v>
      </c>
      <c r="J249" s="131">
        <f t="shared" si="445"/>
        <v>12.2728</v>
      </c>
      <c r="K249" s="131">
        <f t="shared" si="446"/>
        <v>26.2728</v>
      </c>
      <c r="L249" s="131"/>
      <c r="M249" s="25">
        <f t="shared" si="447"/>
        <v>0.467129502755702</v>
      </c>
      <c r="N249" s="27">
        <f t="shared" si="448"/>
        <v>4.46381478761305</v>
      </c>
      <c r="O249" s="27">
        <f t="shared" si="363"/>
        <v>2.97</v>
      </c>
      <c r="P249" s="25">
        <f t="shared" si="449"/>
        <v>0.247989710422947</v>
      </c>
      <c r="Q249" s="25">
        <f t="shared" si="450"/>
        <v>18</v>
      </c>
      <c r="R249" s="25"/>
      <c r="S249" s="27">
        <f t="shared" si="451"/>
        <v>36.510684673988</v>
      </c>
      <c r="T249" s="27">
        <f t="shared" si="452"/>
        <v>18</v>
      </c>
      <c r="U249" s="25">
        <f t="shared" si="453"/>
        <v>1.00920316239396</v>
      </c>
      <c r="V249" s="25">
        <f t="shared" si="454"/>
        <v>1.80214850427493</v>
      </c>
      <c r="W249" s="25">
        <f t="shared" si="455"/>
        <v>2.05577203733858</v>
      </c>
      <c r="X249" s="24">
        <f t="shared" si="456"/>
        <v>350</v>
      </c>
      <c r="Y249" s="131">
        <f t="shared" si="418"/>
        <v>259.206997451992</v>
      </c>
      <c r="AA249" s="25">
        <f t="shared" si="457"/>
        <v>0.747407204409123</v>
      </c>
      <c r="AB249" s="5">
        <f t="shared" si="458"/>
        <v>1.52248713498371</v>
      </c>
      <c r="AC249" s="5">
        <f t="shared" si="459"/>
        <v>0.132823461427263</v>
      </c>
      <c r="AD249" s="5"/>
      <c r="AE249" s="5">
        <f t="shared" si="460"/>
        <v>0.611107489733394</v>
      </c>
      <c r="AF249" s="216">
        <f t="shared" si="461"/>
        <v>2698.66666666667</v>
      </c>
      <c r="AG249" s="217">
        <f t="shared" si="462"/>
        <v>0.0213994565217391</v>
      </c>
      <c r="AI249" s="5">
        <f t="shared" si="463"/>
        <v>0.833032326589345</v>
      </c>
      <c r="AJ249" s="5">
        <f t="shared" si="464"/>
        <v>1.00920316239396</v>
      </c>
      <c r="AK249" s="5">
        <f t="shared" si="465"/>
        <v>1.67280210826264</v>
      </c>
      <c r="AM249" s="216">
        <f t="shared" si="466"/>
        <v>165</v>
      </c>
      <c r="AN249" s="220">
        <f t="shared" si="467"/>
        <v>259.206997451992</v>
      </c>
      <c r="AP249">
        <f t="shared" si="468"/>
        <v>165</v>
      </c>
      <c r="AQ249">
        <f t="shared" si="469"/>
        <v>259.206997451992</v>
      </c>
      <c r="AS249" s="192">
        <f t="shared" si="364"/>
        <v>3.85792054161351</v>
      </c>
      <c r="AT249" s="192">
        <f t="shared" si="470"/>
        <v>1.80214850427493</v>
      </c>
      <c r="AU249" s="192">
        <f t="shared" si="440"/>
        <v>2.05577203733858</v>
      </c>
      <c r="AV249" s="192"/>
      <c r="AW249" s="5">
        <f t="shared" si="441"/>
        <v>0.467129502755702</v>
      </c>
      <c r="AX249" s="5"/>
      <c r="BA249" s="220">
        <f t="shared" si="471"/>
        <v>4.67115663597264</v>
      </c>
      <c r="BB249" s="220">
        <f t="shared" si="472"/>
        <v>15.1378157222983</v>
      </c>
      <c r="BC249" s="192">
        <f t="shared" si="442"/>
        <v>0.807624728954443</v>
      </c>
      <c r="BD249" s="220">
        <f t="shared" si="473"/>
        <v>0</v>
      </c>
      <c r="BQ249" s="217">
        <f t="shared" si="474"/>
        <v>0.108945375</v>
      </c>
      <c r="CG249" s="227">
        <f t="shared" si="475"/>
        <v>-50</v>
      </c>
      <c r="CH249">
        <f t="shared" si="476"/>
        <v>-50</v>
      </c>
    </row>
    <row r="250" spans="5:86">
      <c r="E250" s="22">
        <v>34</v>
      </c>
      <c r="F250" s="25">
        <f t="shared" si="477"/>
        <v>0.17</v>
      </c>
      <c r="G250" s="25"/>
      <c r="H250" s="25">
        <f t="shared" si="443"/>
        <v>3.06</v>
      </c>
      <c r="I250" s="212">
        <f t="shared" si="444"/>
        <v>14</v>
      </c>
      <c r="J250" s="131">
        <f t="shared" si="445"/>
        <v>12.2728</v>
      </c>
      <c r="K250" s="131">
        <f t="shared" si="446"/>
        <v>26.2728</v>
      </c>
      <c r="L250" s="131"/>
      <c r="M250" s="25">
        <f t="shared" si="447"/>
        <v>0.467129502755702</v>
      </c>
      <c r="N250" s="27">
        <f t="shared" si="448"/>
        <v>4.46381478761305</v>
      </c>
      <c r="O250" s="27">
        <f t="shared" si="363"/>
        <v>3.06</v>
      </c>
      <c r="P250" s="25">
        <f t="shared" si="449"/>
        <v>0.247989710422947</v>
      </c>
      <c r="Q250" s="25">
        <f t="shared" si="450"/>
        <v>18</v>
      </c>
      <c r="R250" s="25"/>
      <c r="S250" s="27">
        <f t="shared" si="451"/>
        <v>34.8369967232375</v>
      </c>
      <c r="T250" s="27">
        <f t="shared" si="452"/>
        <v>18</v>
      </c>
      <c r="U250" s="25">
        <f t="shared" si="453"/>
        <v>1.0397850764059</v>
      </c>
      <c r="V250" s="25">
        <f t="shared" si="454"/>
        <v>1.85675906501053</v>
      </c>
      <c r="W250" s="25">
        <f t="shared" si="455"/>
        <v>2.11806815968217</v>
      </c>
      <c r="X250" s="24">
        <f t="shared" si="456"/>
        <v>350</v>
      </c>
      <c r="Y250" s="131">
        <f t="shared" si="418"/>
        <v>251.583262232816</v>
      </c>
      <c r="AA250" s="25">
        <f t="shared" si="457"/>
        <v>0.747407204409123</v>
      </c>
      <c r="AB250" s="5">
        <f t="shared" si="458"/>
        <v>1.52248713498371</v>
      </c>
      <c r="AC250" s="5">
        <f t="shared" si="459"/>
        <v>0.132823461427263</v>
      </c>
      <c r="AD250" s="5"/>
      <c r="AE250" s="5">
        <f t="shared" si="460"/>
        <v>0.611107489733394</v>
      </c>
      <c r="AF250" s="216">
        <f t="shared" si="461"/>
        <v>2780.44444444444</v>
      </c>
      <c r="AG250" s="217">
        <f t="shared" si="462"/>
        <v>0.0213994565217391</v>
      </c>
      <c r="AI250" s="5">
        <f t="shared" si="463"/>
        <v>0.845559831455722</v>
      </c>
      <c r="AJ250" s="5">
        <f t="shared" si="464"/>
        <v>1.0397850764059</v>
      </c>
      <c r="AK250" s="5">
        <f t="shared" si="465"/>
        <v>1.69319005093726</v>
      </c>
      <c r="AM250" s="216">
        <f t="shared" si="466"/>
        <v>170</v>
      </c>
      <c r="AN250" s="220">
        <f t="shared" si="467"/>
        <v>251.583262232816</v>
      </c>
      <c r="AP250">
        <f t="shared" si="468"/>
        <v>170</v>
      </c>
      <c r="AQ250">
        <f t="shared" si="469"/>
        <v>251.583262232816</v>
      </c>
      <c r="AS250" s="192">
        <f t="shared" si="364"/>
        <v>3.9748272246927</v>
      </c>
      <c r="AT250" s="192">
        <f t="shared" si="470"/>
        <v>1.85675906501053</v>
      </c>
      <c r="AU250" s="192">
        <f t="shared" si="440"/>
        <v>2.11806815968217</v>
      </c>
      <c r="AV250" s="192"/>
      <c r="AW250" s="5">
        <f t="shared" si="441"/>
        <v>0.467129502755702</v>
      </c>
      <c r="AX250" s="5"/>
      <c r="BA250" s="220">
        <f t="shared" si="471"/>
        <v>4.67115663597264</v>
      </c>
      <c r="BB250" s="220">
        <f t="shared" si="472"/>
        <v>16.0537052111816</v>
      </c>
      <c r="BC250" s="192">
        <f t="shared" si="442"/>
        <v>0.857313302728499</v>
      </c>
      <c r="BD250" s="220">
        <f t="shared" si="473"/>
        <v>0</v>
      </c>
      <c r="BQ250" s="217">
        <f t="shared" si="474"/>
        <v>0.11224675</v>
      </c>
      <c r="CG250" s="227">
        <f t="shared" si="475"/>
        <v>-50</v>
      </c>
      <c r="CH250">
        <f t="shared" si="476"/>
        <v>-50</v>
      </c>
    </row>
    <row r="251" spans="5:86">
      <c r="E251" s="22">
        <v>35</v>
      </c>
      <c r="F251" s="25">
        <f t="shared" si="477"/>
        <v>0.175</v>
      </c>
      <c r="G251" s="25"/>
      <c r="H251" s="25">
        <f t="shared" si="443"/>
        <v>3.15</v>
      </c>
      <c r="I251" s="212">
        <f t="shared" si="444"/>
        <v>14</v>
      </c>
      <c r="J251" s="131">
        <f t="shared" si="445"/>
        <v>12.2728</v>
      </c>
      <c r="K251" s="131">
        <f t="shared" si="446"/>
        <v>26.2728</v>
      </c>
      <c r="L251" s="131"/>
      <c r="M251" s="25">
        <f t="shared" si="447"/>
        <v>0.467129502755702</v>
      </c>
      <c r="N251" s="27">
        <f t="shared" si="448"/>
        <v>4.46381478761305</v>
      </c>
      <c r="O251" s="27">
        <f t="shared" si="363"/>
        <v>3.15</v>
      </c>
      <c r="P251" s="25">
        <f t="shared" si="449"/>
        <v>0.247989710422947</v>
      </c>
      <c r="Q251" s="25">
        <f t="shared" si="450"/>
        <v>18</v>
      </c>
      <c r="R251" s="25"/>
      <c r="S251" s="27">
        <f t="shared" si="451"/>
        <v>33.2599249610589</v>
      </c>
      <c r="T251" s="27">
        <f t="shared" si="452"/>
        <v>18</v>
      </c>
      <c r="U251" s="25">
        <f t="shared" si="453"/>
        <v>1.07036699041783</v>
      </c>
      <c r="V251" s="25">
        <f t="shared" si="454"/>
        <v>1.91136962574613</v>
      </c>
      <c r="W251" s="25">
        <f t="shared" si="455"/>
        <v>2.18036428202577</v>
      </c>
      <c r="X251" s="24">
        <f t="shared" si="456"/>
        <v>350</v>
      </c>
      <c r="Y251" s="131">
        <f t="shared" si="418"/>
        <v>244.395169026164</v>
      </c>
      <c r="AA251" s="25">
        <f t="shared" si="457"/>
        <v>0.747407204409123</v>
      </c>
      <c r="AB251" s="5">
        <f t="shared" si="458"/>
        <v>1.52248713498371</v>
      </c>
      <c r="AC251" s="5">
        <f t="shared" si="459"/>
        <v>0.132823461427263</v>
      </c>
      <c r="AD251" s="5"/>
      <c r="AE251" s="5">
        <f t="shared" si="460"/>
        <v>0.611107489733394</v>
      </c>
      <c r="AF251" s="216">
        <f t="shared" si="461"/>
        <v>2862.22222222222</v>
      </c>
      <c r="AG251" s="217">
        <f t="shared" si="462"/>
        <v>0.0213994565217391</v>
      </c>
      <c r="AI251" s="5">
        <f t="shared" si="463"/>
        <v>0.857904423581089</v>
      </c>
      <c r="AJ251" s="5">
        <f t="shared" si="464"/>
        <v>1.07036699041783</v>
      </c>
      <c r="AK251" s="5">
        <f t="shared" si="465"/>
        <v>1.71357799361189</v>
      </c>
      <c r="AM251" s="216">
        <f t="shared" si="466"/>
        <v>175</v>
      </c>
      <c r="AN251" s="220">
        <f t="shared" si="467"/>
        <v>244.395169026164</v>
      </c>
      <c r="AP251">
        <f t="shared" si="468"/>
        <v>175</v>
      </c>
      <c r="AQ251">
        <f t="shared" si="469"/>
        <v>244.395169026164</v>
      </c>
      <c r="AS251" s="192">
        <f t="shared" si="364"/>
        <v>4.0917339077719</v>
      </c>
      <c r="AT251" s="192">
        <f t="shared" si="470"/>
        <v>1.91136962574613</v>
      </c>
      <c r="AU251" s="192">
        <f t="shared" si="440"/>
        <v>2.18036428202577</v>
      </c>
      <c r="AV251" s="192"/>
      <c r="AW251" s="5">
        <f t="shared" si="441"/>
        <v>0.467129502755702</v>
      </c>
      <c r="AX251" s="5"/>
      <c r="BA251" s="220">
        <f t="shared" si="471"/>
        <v>4.67115663597264</v>
      </c>
      <c r="BB251" s="220">
        <f t="shared" si="472"/>
        <v>16.9964869236138</v>
      </c>
      <c r="BC251" s="192">
        <f t="shared" si="442"/>
        <v>0.908485117510737</v>
      </c>
      <c r="BD251" s="220">
        <f t="shared" si="473"/>
        <v>0</v>
      </c>
      <c r="BQ251" s="217">
        <f t="shared" si="474"/>
        <v>0.115548125</v>
      </c>
      <c r="CG251" s="227">
        <f t="shared" si="475"/>
        <v>-50</v>
      </c>
      <c r="CH251">
        <f t="shared" si="476"/>
        <v>-50</v>
      </c>
    </row>
    <row r="252" spans="5:86">
      <c r="E252" s="22">
        <v>36</v>
      </c>
      <c r="F252" s="25">
        <f t="shared" si="477"/>
        <v>0.18</v>
      </c>
      <c r="G252" s="25"/>
      <c r="H252" s="25">
        <f t="shared" si="443"/>
        <v>3.24</v>
      </c>
      <c r="I252" s="212">
        <f t="shared" si="444"/>
        <v>14</v>
      </c>
      <c r="J252" s="131">
        <f t="shared" si="445"/>
        <v>12.2728</v>
      </c>
      <c r="K252" s="131">
        <f t="shared" si="446"/>
        <v>26.2728</v>
      </c>
      <c r="L252" s="131"/>
      <c r="M252" s="25">
        <f t="shared" si="447"/>
        <v>0.467129502755702</v>
      </c>
      <c r="N252" s="27">
        <f t="shared" si="448"/>
        <v>4.46381478761305</v>
      </c>
      <c r="O252" s="27">
        <f t="shared" si="363"/>
        <v>3.24</v>
      </c>
      <c r="P252" s="25">
        <f t="shared" si="449"/>
        <v>0.247989710422947</v>
      </c>
      <c r="Q252" s="25">
        <f t="shared" si="450"/>
        <v>18</v>
      </c>
      <c r="R252" s="25"/>
      <c r="S252" s="27">
        <f t="shared" si="451"/>
        <v>31.7714652133495</v>
      </c>
      <c r="T252" s="27">
        <f t="shared" si="452"/>
        <v>18</v>
      </c>
      <c r="U252" s="25">
        <f t="shared" si="453"/>
        <v>1.10094890442977</v>
      </c>
      <c r="V252" s="25">
        <f t="shared" si="454"/>
        <v>1.96598018648174</v>
      </c>
      <c r="W252" s="25">
        <f t="shared" si="455"/>
        <v>2.24266040436936</v>
      </c>
      <c r="X252" s="24">
        <f t="shared" si="456"/>
        <v>350</v>
      </c>
      <c r="Y252" s="131">
        <f t="shared" si="418"/>
        <v>237.606414330993</v>
      </c>
      <c r="AA252" s="25">
        <f t="shared" si="457"/>
        <v>0.747407204409123</v>
      </c>
      <c r="AB252" s="5">
        <f t="shared" si="458"/>
        <v>1.52248713498371</v>
      </c>
      <c r="AC252" s="5">
        <f t="shared" si="459"/>
        <v>0.132823461427263</v>
      </c>
      <c r="AD252" s="5"/>
      <c r="AE252" s="5">
        <f t="shared" si="460"/>
        <v>0.611107489733394</v>
      </c>
      <c r="AF252" s="216">
        <f t="shared" si="461"/>
        <v>2944</v>
      </c>
      <c r="AG252" s="217">
        <f t="shared" si="462"/>
        <v>0.0213994565217391</v>
      </c>
      <c r="AI252" s="5">
        <f t="shared" si="463"/>
        <v>0.870073888487967</v>
      </c>
      <c r="AJ252" s="5">
        <f t="shared" si="464"/>
        <v>1.10094890442977</v>
      </c>
      <c r="AK252" s="5">
        <f t="shared" si="465"/>
        <v>1.73396593628651</v>
      </c>
      <c r="AM252" s="216">
        <f t="shared" si="466"/>
        <v>180</v>
      </c>
      <c r="AN252" s="220">
        <f t="shared" si="467"/>
        <v>237.606414330993</v>
      </c>
      <c r="AP252">
        <f t="shared" si="468"/>
        <v>180</v>
      </c>
      <c r="AQ252">
        <f t="shared" si="469"/>
        <v>237.606414330993</v>
      </c>
      <c r="AS252" s="192">
        <f t="shared" si="364"/>
        <v>4.2086405908511</v>
      </c>
      <c r="AT252" s="192">
        <f t="shared" si="470"/>
        <v>1.96598018648174</v>
      </c>
      <c r="AU252" s="192">
        <f t="shared" si="440"/>
        <v>2.24266040436936</v>
      </c>
      <c r="AV252" s="192"/>
      <c r="AW252" s="5">
        <f t="shared" si="441"/>
        <v>0.467129502755702</v>
      </c>
      <c r="AX252" s="5"/>
      <c r="BA252" s="220">
        <f t="shared" si="471"/>
        <v>4.67115663597264</v>
      </c>
      <c r="BB252" s="220">
        <f t="shared" si="472"/>
        <v>17.9661608595946</v>
      </c>
      <c r="BC252" s="192">
        <f t="shared" si="442"/>
        <v>0.961140173301155</v>
      </c>
      <c r="BD252" s="220">
        <f t="shared" si="473"/>
        <v>0</v>
      </c>
      <c r="BQ252" s="217">
        <f t="shared" si="474"/>
        <v>0.1188495</v>
      </c>
      <c r="CG252" s="227">
        <f t="shared" si="475"/>
        <v>-50</v>
      </c>
      <c r="CH252">
        <f t="shared" si="476"/>
        <v>-50</v>
      </c>
    </row>
    <row r="253" spans="5:86">
      <c r="E253" s="22">
        <v>37</v>
      </c>
      <c r="F253" s="25">
        <f t="shared" si="477"/>
        <v>0.185</v>
      </c>
      <c r="G253" s="25"/>
      <c r="H253" s="25">
        <f t="shared" si="443"/>
        <v>3.33</v>
      </c>
      <c r="I253" s="212">
        <f t="shared" si="444"/>
        <v>14</v>
      </c>
      <c r="J253" s="131">
        <f t="shared" si="445"/>
        <v>12.2728</v>
      </c>
      <c r="K253" s="131">
        <f t="shared" si="446"/>
        <v>26.2728</v>
      </c>
      <c r="L253" s="131"/>
      <c r="M253" s="25">
        <f t="shared" si="447"/>
        <v>0.467129502755702</v>
      </c>
      <c r="N253" s="27">
        <f t="shared" si="448"/>
        <v>4.46381478761305</v>
      </c>
      <c r="O253" s="27">
        <f t="shared" si="363"/>
        <v>3.33</v>
      </c>
      <c r="P253" s="25">
        <f t="shared" si="449"/>
        <v>0.247989710422947</v>
      </c>
      <c r="Q253" s="25">
        <f t="shared" si="450"/>
        <v>18</v>
      </c>
      <c r="R253" s="25"/>
      <c r="S253" s="27">
        <f t="shared" si="451"/>
        <v>30.3644815250332</v>
      </c>
      <c r="T253" s="27">
        <f t="shared" si="452"/>
        <v>18</v>
      </c>
      <c r="U253" s="25">
        <f t="shared" si="453"/>
        <v>1.13153081844171</v>
      </c>
      <c r="V253" s="25">
        <f t="shared" si="454"/>
        <v>2.02059074721734</v>
      </c>
      <c r="W253" s="25">
        <f t="shared" si="455"/>
        <v>2.30495652671296</v>
      </c>
      <c r="X253" s="24">
        <f t="shared" si="456"/>
        <v>350</v>
      </c>
      <c r="Y253" s="131">
        <f t="shared" si="418"/>
        <v>231.184619349074</v>
      </c>
      <c r="AA253" s="25">
        <f t="shared" si="457"/>
        <v>0.747407204409123</v>
      </c>
      <c r="AB253" s="5">
        <f t="shared" si="458"/>
        <v>1.52248713498371</v>
      </c>
      <c r="AC253" s="5">
        <f t="shared" si="459"/>
        <v>0.132823461427263</v>
      </c>
      <c r="AD253" s="5"/>
      <c r="AE253" s="5">
        <f t="shared" si="460"/>
        <v>0.611107489733394</v>
      </c>
      <c r="AF253" s="216">
        <f t="shared" si="461"/>
        <v>3025.77777777778</v>
      </c>
      <c r="AG253" s="217">
        <f t="shared" si="462"/>
        <v>0.0213994565217391</v>
      </c>
      <c r="AI253" s="5">
        <f t="shared" si="463"/>
        <v>0.882075474580913</v>
      </c>
      <c r="AJ253" s="5">
        <f t="shared" si="464"/>
        <v>1.13153081844171</v>
      </c>
      <c r="AK253" s="5">
        <f t="shared" si="465"/>
        <v>1.75435387896114</v>
      </c>
      <c r="AM253" s="216">
        <f t="shared" si="466"/>
        <v>185</v>
      </c>
      <c r="AN253" s="220">
        <f t="shared" si="467"/>
        <v>231.184619349074</v>
      </c>
      <c r="AP253">
        <f t="shared" si="468"/>
        <v>185</v>
      </c>
      <c r="AQ253">
        <f t="shared" si="469"/>
        <v>231.184619349074</v>
      </c>
      <c r="AS253" s="192">
        <f t="shared" si="364"/>
        <v>4.32554727393029</v>
      </c>
      <c r="AT253" s="192">
        <f t="shared" si="470"/>
        <v>2.02059074721734</v>
      </c>
      <c r="AU253" s="192">
        <f t="shared" si="440"/>
        <v>2.30495652671295</v>
      </c>
      <c r="AV253" s="192"/>
      <c r="AW253" s="5">
        <f t="shared" si="441"/>
        <v>0.467129502755702</v>
      </c>
      <c r="AX253" s="5"/>
      <c r="BA253" s="220">
        <f t="shared" si="471"/>
        <v>4.67115663597264</v>
      </c>
      <c r="BB253" s="220">
        <f t="shared" si="472"/>
        <v>18.9627270191243</v>
      </c>
      <c r="BC253" s="192">
        <f t="shared" si="442"/>
        <v>1.01527847009975</v>
      </c>
      <c r="BD253" s="220">
        <f t="shared" si="473"/>
        <v>0</v>
      </c>
      <c r="BQ253" s="217">
        <f t="shared" si="474"/>
        <v>0.122150875</v>
      </c>
      <c r="CG253" s="227">
        <f t="shared" si="475"/>
        <v>-50</v>
      </c>
      <c r="CH253">
        <f t="shared" si="476"/>
        <v>-50</v>
      </c>
    </row>
    <row r="254" spans="5:86">
      <c r="E254" s="22">
        <v>38</v>
      </c>
      <c r="F254" s="25">
        <f t="shared" si="477"/>
        <v>0.19</v>
      </c>
      <c r="G254" s="25"/>
      <c r="H254" s="25">
        <f t="shared" si="443"/>
        <v>3.42</v>
      </c>
      <c r="I254" s="212">
        <f t="shared" si="444"/>
        <v>14</v>
      </c>
      <c r="J254" s="131">
        <f t="shared" si="445"/>
        <v>12.2728</v>
      </c>
      <c r="K254" s="131">
        <f t="shared" si="446"/>
        <v>26.2728</v>
      </c>
      <c r="L254" s="131"/>
      <c r="M254" s="25">
        <f t="shared" si="447"/>
        <v>0.467129502755702</v>
      </c>
      <c r="N254" s="27">
        <f t="shared" si="448"/>
        <v>4.46381478761305</v>
      </c>
      <c r="O254" s="27">
        <f t="shared" si="363"/>
        <v>3.42</v>
      </c>
      <c r="P254" s="25">
        <f t="shared" si="449"/>
        <v>0.247989710422947</v>
      </c>
      <c r="Q254" s="25">
        <f t="shared" si="450"/>
        <v>18</v>
      </c>
      <c r="R254" s="25"/>
      <c r="S254" s="27">
        <f t="shared" si="451"/>
        <v>29.0325921307373</v>
      </c>
      <c r="T254" s="27">
        <f t="shared" si="452"/>
        <v>18</v>
      </c>
      <c r="U254" s="25">
        <f t="shared" si="453"/>
        <v>1.16211273245365</v>
      </c>
      <c r="V254" s="25">
        <f t="shared" si="454"/>
        <v>2.07520130795294</v>
      </c>
      <c r="W254" s="25">
        <f t="shared" si="455"/>
        <v>2.36725264905655</v>
      </c>
      <c r="X254" s="24">
        <f t="shared" si="456"/>
        <v>350</v>
      </c>
      <c r="Y254" s="131">
        <f t="shared" si="418"/>
        <v>225.10081357673</v>
      </c>
      <c r="AA254" s="25">
        <f t="shared" si="457"/>
        <v>0.747407204409123</v>
      </c>
      <c r="AB254" s="5">
        <f t="shared" si="458"/>
        <v>1.52248713498371</v>
      </c>
      <c r="AC254" s="5">
        <f t="shared" si="459"/>
        <v>0.132823461427263</v>
      </c>
      <c r="AD254" s="5"/>
      <c r="AE254" s="5">
        <f t="shared" si="460"/>
        <v>0.611107489733394</v>
      </c>
      <c r="AF254" s="216">
        <f t="shared" si="461"/>
        <v>3107.55555555556</v>
      </c>
      <c r="AG254" s="217">
        <f t="shared" si="462"/>
        <v>0.0213994565217391</v>
      </c>
      <c r="AI254" s="5">
        <f t="shared" si="463"/>
        <v>0.893915943635482</v>
      </c>
      <c r="AJ254" s="5">
        <f t="shared" si="464"/>
        <v>1.16211273245365</v>
      </c>
      <c r="AK254" s="5">
        <f t="shared" si="465"/>
        <v>1.77474182163577</v>
      </c>
      <c r="AM254" s="216">
        <f t="shared" si="466"/>
        <v>190</v>
      </c>
      <c r="AN254" s="220">
        <f t="shared" si="467"/>
        <v>225.10081357673</v>
      </c>
      <c r="AP254">
        <f t="shared" si="468"/>
        <v>190</v>
      </c>
      <c r="AQ254">
        <f t="shared" si="469"/>
        <v>225.10081357673</v>
      </c>
      <c r="AS254" s="192">
        <f t="shared" si="364"/>
        <v>4.44245395700949</v>
      </c>
      <c r="AT254" s="192">
        <f t="shared" si="470"/>
        <v>2.07520130795294</v>
      </c>
      <c r="AU254" s="192">
        <f t="shared" si="440"/>
        <v>2.36725264905655</v>
      </c>
      <c r="AV254" s="192"/>
      <c r="AW254" s="5">
        <f t="shared" si="441"/>
        <v>0.467129502755702</v>
      </c>
      <c r="AX254" s="5"/>
      <c r="BA254" s="220">
        <f t="shared" si="471"/>
        <v>4.67115663597264</v>
      </c>
      <c r="BB254" s="220">
        <f t="shared" si="472"/>
        <v>19.9861854022027</v>
      </c>
      <c r="BC254" s="192">
        <f t="shared" si="442"/>
        <v>1.07090000790653</v>
      </c>
      <c r="BD254" s="220">
        <f t="shared" si="473"/>
        <v>0</v>
      </c>
      <c r="BQ254" s="217">
        <f t="shared" si="474"/>
        <v>0.12545225</v>
      </c>
      <c r="CG254" s="227">
        <f t="shared" si="475"/>
        <v>-50</v>
      </c>
      <c r="CH254">
        <f t="shared" si="476"/>
        <v>-50</v>
      </c>
    </row>
    <row r="255" spans="5:86">
      <c r="E255" s="22">
        <v>39</v>
      </c>
      <c r="F255" s="25">
        <f t="shared" si="477"/>
        <v>0.195</v>
      </c>
      <c r="G255" s="25"/>
      <c r="H255" s="25">
        <f t="shared" si="443"/>
        <v>3.51</v>
      </c>
      <c r="I255" s="212">
        <f t="shared" si="444"/>
        <v>14</v>
      </c>
      <c r="J255" s="131">
        <f t="shared" si="445"/>
        <v>12.2728</v>
      </c>
      <c r="K255" s="131">
        <f t="shared" si="446"/>
        <v>26.2728</v>
      </c>
      <c r="L255" s="131"/>
      <c r="M255" s="25">
        <f t="shared" si="447"/>
        <v>0.467129502755702</v>
      </c>
      <c r="N255" s="27">
        <f t="shared" si="448"/>
        <v>4.46381478761305</v>
      </c>
      <c r="O255" s="27">
        <f t="shared" si="363"/>
        <v>3.51</v>
      </c>
      <c r="P255" s="25">
        <f t="shared" si="449"/>
        <v>0.247989710422947</v>
      </c>
      <c r="Q255" s="25">
        <f t="shared" si="450"/>
        <v>18</v>
      </c>
      <c r="R255" s="25"/>
      <c r="S255" s="27">
        <f t="shared" si="451"/>
        <v>27.7700729850708</v>
      </c>
      <c r="T255" s="27">
        <f t="shared" si="452"/>
        <v>18</v>
      </c>
      <c r="U255" s="25">
        <f t="shared" si="453"/>
        <v>1.19269464646559</v>
      </c>
      <c r="V255" s="25">
        <f t="shared" si="454"/>
        <v>2.12981186868855</v>
      </c>
      <c r="W255" s="25">
        <f t="shared" si="455"/>
        <v>2.42954877140014</v>
      </c>
      <c r="X255" s="24">
        <f t="shared" si="456"/>
        <v>350</v>
      </c>
      <c r="Y255" s="131">
        <f t="shared" si="418"/>
        <v>219.328997843993</v>
      </c>
      <c r="AA255" s="25">
        <f t="shared" si="457"/>
        <v>0.747407204409123</v>
      </c>
      <c r="AB255" s="5">
        <f t="shared" si="458"/>
        <v>1.52248713498371</v>
      </c>
      <c r="AC255" s="5">
        <f t="shared" si="459"/>
        <v>0.132823461427263</v>
      </c>
      <c r="AD255" s="5"/>
      <c r="AE255" s="5">
        <f t="shared" si="460"/>
        <v>0.611107489733394</v>
      </c>
      <c r="AF255" s="216">
        <f t="shared" si="461"/>
        <v>3189.33333333333</v>
      </c>
      <c r="AG255" s="217">
        <f t="shared" si="462"/>
        <v>0.0213994565217391</v>
      </c>
      <c r="AI255" s="5">
        <f t="shared" si="463"/>
        <v>0.905601615344344</v>
      </c>
      <c r="AJ255" s="5">
        <f t="shared" si="464"/>
        <v>1.19269464646559</v>
      </c>
      <c r="AK255" s="5">
        <f t="shared" si="465"/>
        <v>1.79512976431039</v>
      </c>
      <c r="AM255" s="216">
        <f t="shared" si="466"/>
        <v>195</v>
      </c>
      <c r="AN255" s="220">
        <f t="shared" si="467"/>
        <v>219.328997843993</v>
      </c>
      <c r="AP255">
        <f t="shared" si="468"/>
        <v>195</v>
      </c>
      <c r="AQ255">
        <f t="shared" si="469"/>
        <v>219.328997843993</v>
      </c>
      <c r="AS255" s="192">
        <f t="shared" si="364"/>
        <v>4.55936064008869</v>
      </c>
      <c r="AT255" s="192">
        <f t="shared" si="470"/>
        <v>2.12981186868855</v>
      </c>
      <c r="AU255" s="192">
        <f t="shared" si="440"/>
        <v>2.42954877140014</v>
      </c>
      <c r="AV255" s="192"/>
      <c r="AW255" s="5">
        <f t="shared" si="441"/>
        <v>0.467129502755702</v>
      </c>
      <c r="AX255" s="5"/>
      <c r="BA255" s="220">
        <f t="shared" si="471"/>
        <v>4.67115663597264</v>
      </c>
      <c r="BB255" s="220">
        <f t="shared" si="472"/>
        <v>21.0365360088298</v>
      </c>
      <c r="BC255" s="192">
        <f t="shared" si="442"/>
        <v>1.12800478672149</v>
      </c>
      <c r="BD255" s="220">
        <f t="shared" si="473"/>
        <v>0</v>
      </c>
      <c r="BQ255" s="217">
        <f t="shared" si="474"/>
        <v>0.128753625</v>
      </c>
      <c r="CG255" s="227">
        <f t="shared" si="475"/>
        <v>-50</v>
      </c>
      <c r="CH255">
        <f t="shared" si="476"/>
        <v>-50</v>
      </c>
    </row>
    <row r="256" spans="5:86">
      <c r="E256" s="22">
        <v>40</v>
      </c>
      <c r="F256" s="25">
        <f t="shared" si="477"/>
        <v>0.2</v>
      </c>
      <c r="G256" s="25"/>
      <c r="H256" s="25">
        <f t="shared" si="443"/>
        <v>3.6</v>
      </c>
      <c r="I256" s="212">
        <f t="shared" si="444"/>
        <v>14</v>
      </c>
      <c r="J256" s="131">
        <f t="shared" si="445"/>
        <v>12.2728</v>
      </c>
      <c r="K256" s="131">
        <f t="shared" si="446"/>
        <v>26.2728</v>
      </c>
      <c r="L256" s="131"/>
      <c r="M256" s="25">
        <f t="shared" si="447"/>
        <v>0.467129502755702</v>
      </c>
      <c r="N256" s="27">
        <f t="shared" si="448"/>
        <v>4.46381478761305</v>
      </c>
      <c r="O256" s="27">
        <f t="shared" si="363"/>
        <v>3.6</v>
      </c>
      <c r="P256" s="25">
        <f t="shared" si="449"/>
        <v>0.247989710422947</v>
      </c>
      <c r="Q256" s="25">
        <f t="shared" si="450"/>
        <v>18</v>
      </c>
      <c r="R256" s="25"/>
      <c r="S256" s="27">
        <f t="shared" si="451"/>
        <v>26.5717757808792</v>
      </c>
      <c r="T256" s="27">
        <f t="shared" si="452"/>
        <v>18</v>
      </c>
      <c r="U256" s="25">
        <f t="shared" si="453"/>
        <v>1.22327656047752</v>
      </c>
      <c r="V256" s="25">
        <f t="shared" si="454"/>
        <v>2.18442242942415</v>
      </c>
      <c r="W256" s="25">
        <f t="shared" si="455"/>
        <v>2.49184489374374</v>
      </c>
      <c r="X256" s="24">
        <f t="shared" si="456"/>
        <v>350</v>
      </c>
      <c r="Y256" s="131">
        <f t="shared" si="418"/>
        <v>213.845772897893</v>
      </c>
      <c r="AA256" s="25">
        <f t="shared" si="457"/>
        <v>0.747407204409123</v>
      </c>
      <c r="AB256" s="5">
        <f t="shared" si="458"/>
        <v>1.52248713498371</v>
      </c>
      <c r="AC256" s="5">
        <f t="shared" si="459"/>
        <v>0.132823461427263</v>
      </c>
      <c r="AD256" s="5"/>
      <c r="AE256" s="5">
        <f t="shared" si="460"/>
        <v>0.611107489733394</v>
      </c>
      <c r="AF256" s="216">
        <f t="shared" si="461"/>
        <v>3271.11111111111</v>
      </c>
      <c r="AG256" s="217">
        <f t="shared" si="462"/>
        <v>0.0213994565217391</v>
      </c>
      <c r="AI256" s="5">
        <f t="shared" si="463"/>
        <v>0.917138406753777</v>
      </c>
      <c r="AJ256" s="5">
        <f t="shared" si="464"/>
        <v>1.22327656047752</v>
      </c>
      <c r="AK256" s="5">
        <f t="shared" si="465"/>
        <v>1.81551770698502</v>
      </c>
      <c r="AM256" s="216">
        <f t="shared" si="466"/>
        <v>200</v>
      </c>
      <c r="AN256" s="220">
        <f t="shared" si="467"/>
        <v>213.845772897893</v>
      </c>
      <c r="AP256">
        <f t="shared" si="468"/>
        <v>200</v>
      </c>
      <c r="AQ256">
        <f t="shared" si="469"/>
        <v>213.845772897893</v>
      </c>
      <c r="AS256" s="192">
        <f t="shared" si="364"/>
        <v>4.67626732316789</v>
      </c>
      <c r="AT256" s="192">
        <f t="shared" si="470"/>
        <v>2.18442242942415</v>
      </c>
      <c r="AU256" s="192">
        <f t="shared" si="440"/>
        <v>2.49184489374374</v>
      </c>
      <c r="AV256" s="192"/>
      <c r="AW256" s="5">
        <f t="shared" si="441"/>
        <v>0.467129502755702</v>
      </c>
      <c r="AX256" s="5"/>
      <c r="BA256" s="220">
        <f t="shared" si="471"/>
        <v>4.67115663597264</v>
      </c>
      <c r="BB256" s="220">
        <f t="shared" si="472"/>
        <v>22.1137788390057</v>
      </c>
      <c r="BC256" s="192">
        <f t="shared" si="442"/>
        <v>1.18659280654464</v>
      </c>
      <c r="BD256" s="220">
        <f t="shared" si="473"/>
        <v>0</v>
      </c>
      <c r="BQ256" s="217">
        <f t="shared" si="474"/>
        <v>0.132055</v>
      </c>
      <c r="CG256" s="227">
        <f t="shared" si="475"/>
        <v>-50</v>
      </c>
      <c r="CH256">
        <f t="shared" si="476"/>
        <v>-50</v>
      </c>
    </row>
    <row r="257" spans="5:86">
      <c r="E257" s="22">
        <v>41</v>
      </c>
      <c r="F257" s="25">
        <f t="shared" si="477"/>
        <v>0.205</v>
      </c>
      <c r="G257" s="25"/>
      <c r="H257" s="25">
        <f t="shared" si="443"/>
        <v>3.69</v>
      </c>
      <c r="I257" s="212">
        <f t="shared" si="444"/>
        <v>14</v>
      </c>
      <c r="J257" s="131">
        <f t="shared" si="445"/>
        <v>12.2728</v>
      </c>
      <c r="K257" s="131">
        <f t="shared" si="446"/>
        <v>26.2728</v>
      </c>
      <c r="L257" s="131"/>
      <c r="M257" s="25">
        <f t="shared" si="447"/>
        <v>0.467129502755702</v>
      </c>
      <c r="N257" s="27">
        <f t="shared" si="448"/>
        <v>4.46381478761305</v>
      </c>
      <c r="O257" s="27">
        <f t="shared" si="363"/>
        <v>3.69</v>
      </c>
      <c r="P257" s="25">
        <f t="shared" si="449"/>
        <v>0.247989710422947</v>
      </c>
      <c r="Q257" s="25">
        <f t="shared" si="450"/>
        <v>18</v>
      </c>
      <c r="R257" s="25"/>
      <c r="S257" s="27">
        <f t="shared" si="451"/>
        <v>25.4330579832661</v>
      </c>
      <c r="T257" s="27">
        <f t="shared" si="452"/>
        <v>18</v>
      </c>
      <c r="U257" s="25">
        <f t="shared" si="453"/>
        <v>1.25385847448946</v>
      </c>
      <c r="V257" s="25">
        <f t="shared" si="454"/>
        <v>2.23903299015975</v>
      </c>
      <c r="W257" s="25">
        <f t="shared" si="455"/>
        <v>2.55414101608733</v>
      </c>
      <c r="X257" s="24">
        <f t="shared" si="456"/>
        <v>350</v>
      </c>
      <c r="Y257" s="131">
        <f t="shared" si="418"/>
        <v>208.630022339408</v>
      </c>
      <c r="AA257" s="25">
        <f t="shared" si="457"/>
        <v>0.747407204409123</v>
      </c>
      <c r="AB257" s="5">
        <f t="shared" si="458"/>
        <v>1.52248713498371</v>
      </c>
      <c r="AC257" s="5">
        <f t="shared" si="459"/>
        <v>0.132823461427263</v>
      </c>
      <c r="AD257" s="5"/>
      <c r="AE257" s="5">
        <f t="shared" si="460"/>
        <v>0.611107489733394</v>
      </c>
      <c r="AF257" s="216">
        <f t="shared" si="461"/>
        <v>3352.88888888889</v>
      </c>
      <c r="AG257" s="217">
        <f t="shared" si="462"/>
        <v>0.0213994565217391</v>
      </c>
      <c r="AI257" s="5">
        <f t="shared" si="463"/>
        <v>0.928531867289125</v>
      </c>
      <c r="AJ257" s="5">
        <f t="shared" si="464"/>
        <v>1.25385847448946</v>
      </c>
      <c r="AK257" s="5">
        <f t="shared" si="465"/>
        <v>1.83590564965964</v>
      </c>
      <c r="AM257" s="216">
        <f t="shared" si="466"/>
        <v>205</v>
      </c>
      <c r="AN257" s="220">
        <f t="shared" si="467"/>
        <v>208.630022339408</v>
      </c>
      <c r="AP257">
        <f t="shared" si="468"/>
        <v>205</v>
      </c>
      <c r="AQ257">
        <f t="shared" si="469"/>
        <v>208.630022339408</v>
      </c>
      <c r="AS257" s="192">
        <f t="shared" si="364"/>
        <v>4.79317400624708</v>
      </c>
      <c r="AT257" s="192">
        <f t="shared" si="470"/>
        <v>2.23903299015975</v>
      </c>
      <c r="AU257" s="192">
        <f t="shared" si="440"/>
        <v>2.55414101608733</v>
      </c>
      <c r="AV257" s="192"/>
      <c r="AW257" s="5">
        <f t="shared" si="441"/>
        <v>0.467129502755702</v>
      </c>
      <c r="AX257" s="5"/>
      <c r="BA257" s="220">
        <f t="shared" si="471"/>
        <v>4.67115663597264</v>
      </c>
      <c r="BB257" s="220">
        <f t="shared" si="472"/>
        <v>23.2179138927304</v>
      </c>
      <c r="BC257" s="192">
        <f t="shared" si="442"/>
        <v>1.24666406737596</v>
      </c>
      <c r="BD257" s="220">
        <f t="shared" si="473"/>
        <v>0</v>
      </c>
      <c r="BQ257" s="217">
        <f t="shared" si="474"/>
        <v>0.135356375</v>
      </c>
      <c r="CG257" s="227">
        <f t="shared" si="475"/>
        <v>-50</v>
      </c>
      <c r="CH257">
        <f t="shared" si="476"/>
        <v>-50</v>
      </c>
    </row>
    <row r="258" spans="5:86">
      <c r="E258" s="22">
        <v>42</v>
      </c>
      <c r="F258" s="25">
        <f t="shared" si="477"/>
        <v>0.21</v>
      </c>
      <c r="G258" s="25"/>
      <c r="H258" s="25">
        <f t="shared" si="443"/>
        <v>3.78</v>
      </c>
      <c r="I258" s="212">
        <f t="shared" si="444"/>
        <v>14</v>
      </c>
      <c r="J258" s="131">
        <f t="shared" si="445"/>
        <v>12.2728</v>
      </c>
      <c r="K258" s="131">
        <f t="shared" si="446"/>
        <v>26.2728</v>
      </c>
      <c r="L258" s="131"/>
      <c r="M258" s="25">
        <f t="shared" si="447"/>
        <v>0.467129502755702</v>
      </c>
      <c r="N258" s="27">
        <f t="shared" si="448"/>
        <v>4.46381478761305</v>
      </c>
      <c r="O258" s="27">
        <f t="shared" si="363"/>
        <v>3.78</v>
      </c>
      <c r="P258" s="25">
        <f t="shared" si="449"/>
        <v>0.247989710422947</v>
      </c>
      <c r="Q258" s="25">
        <f t="shared" si="450"/>
        <v>18</v>
      </c>
      <c r="R258" s="25"/>
      <c r="S258" s="27">
        <f t="shared" si="451"/>
        <v>24.3497228781381</v>
      </c>
      <c r="T258" s="27">
        <f t="shared" si="452"/>
        <v>18</v>
      </c>
      <c r="U258" s="25">
        <f t="shared" si="453"/>
        <v>1.2844403885014</v>
      </c>
      <c r="V258" s="25">
        <f t="shared" si="454"/>
        <v>2.29364355089536</v>
      </c>
      <c r="W258" s="25">
        <f t="shared" si="455"/>
        <v>2.61643713843092</v>
      </c>
      <c r="X258" s="24">
        <f t="shared" si="456"/>
        <v>350</v>
      </c>
      <c r="Y258" s="131">
        <f t="shared" si="418"/>
        <v>203.662640855137</v>
      </c>
      <c r="AA258" s="25">
        <f t="shared" si="457"/>
        <v>0.747407204409123</v>
      </c>
      <c r="AB258" s="5">
        <f t="shared" si="458"/>
        <v>1.52248713498371</v>
      </c>
      <c r="AC258" s="5">
        <f t="shared" si="459"/>
        <v>0.132823461427263</v>
      </c>
      <c r="AD258" s="5"/>
      <c r="AE258" s="5">
        <f t="shared" si="460"/>
        <v>0.611107489733394</v>
      </c>
      <c r="AF258" s="216">
        <f t="shared" si="461"/>
        <v>3434.66666666667</v>
      </c>
      <c r="AG258" s="217">
        <f t="shared" si="462"/>
        <v>0.0213994565217391</v>
      </c>
      <c r="AI258" s="5">
        <f t="shared" si="463"/>
        <v>0.939787209957658</v>
      </c>
      <c r="AJ258" s="5">
        <f t="shared" si="464"/>
        <v>1.2844403885014</v>
      </c>
      <c r="AK258" s="5">
        <f t="shared" si="465"/>
        <v>1.85629359233427</v>
      </c>
      <c r="AM258" s="216">
        <f t="shared" si="466"/>
        <v>210</v>
      </c>
      <c r="AN258" s="220">
        <f t="shared" si="467"/>
        <v>203.662640855137</v>
      </c>
      <c r="AP258">
        <f t="shared" si="468"/>
        <v>210</v>
      </c>
      <c r="AQ258">
        <f t="shared" si="469"/>
        <v>203.662640855137</v>
      </c>
      <c r="AS258" s="192">
        <f t="shared" si="364"/>
        <v>4.91008068932628</v>
      </c>
      <c r="AT258" s="192">
        <f t="shared" si="470"/>
        <v>2.29364355089536</v>
      </c>
      <c r="AU258" s="192">
        <f t="shared" si="440"/>
        <v>2.61643713843092</v>
      </c>
      <c r="AV258" s="192"/>
      <c r="AW258" s="5">
        <f t="shared" si="441"/>
        <v>0.467129502755702</v>
      </c>
      <c r="AX258" s="5"/>
      <c r="BA258" s="220">
        <f t="shared" si="471"/>
        <v>4.67115663597264</v>
      </c>
      <c r="BB258" s="220">
        <f t="shared" si="472"/>
        <v>24.3489411700038</v>
      </c>
      <c r="BC258" s="192">
        <f t="shared" si="442"/>
        <v>1.30821856921546</v>
      </c>
      <c r="BD258" s="220">
        <f t="shared" si="473"/>
        <v>0</v>
      </c>
      <c r="BQ258" s="217">
        <f t="shared" si="474"/>
        <v>0.13865775</v>
      </c>
      <c r="CG258" s="227">
        <f t="shared" si="475"/>
        <v>-50</v>
      </c>
      <c r="CH258">
        <f t="shared" si="476"/>
        <v>0</v>
      </c>
    </row>
    <row r="259" spans="5:86">
      <c r="E259" s="22">
        <v>43</v>
      </c>
      <c r="F259" s="25">
        <f t="shared" si="477"/>
        <v>0.215</v>
      </c>
      <c r="G259" s="25"/>
      <c r="H259" s="25">
        <f t="shared" si="443"/>
        <v>3.87</v>
      </c>
      <c r="I259" s="212">
        <f t="shared" si="444"/>
        <v>14</v>
      </c>
      <c r="J259" s="131">
        <f t="shared" si="445"/>
        <v>12.2728</v>
      </c>
      <c r="K259" s="131">
        <f t="shared" si="446"/>
        <v>26.2728</v>
      </c>
      <c r="L259" s="131"/>
      <c r="M259" s="25">
        <f t="shared" si="447"/>
        <v>0.467129502755702</v>
      </c>
      <c r="N259" s="27">
        <f t="shared" si="448"/>
        <v>4.46381478761305</v>
      </c>
      <c r="O259" s="27">
        <f t="shared" si="363"/>
        <v>3.87</v>
      </c>
      <c r="P259" s="25">
        <f t="shared" si="449"/>
        <v>0.247989710422947</v>
      </c>
      <c r="Q259" s="25">
        <f t="shared" si="450"/>
        <v>18</v>
      </c>
      <c r="R259" s="25"/>
      <c r="S259" s="27">
        <f t="shared" si="451"/>
        <v>23.3179680064182</v>
      </c>
      <c r="T259" s="27">
        <f t="shared" si="452"/>
        <v>18</v>
      </c>
      <c r="U259" s="25">
        <f t="shared" si="453"/>
        <v>1.31502230251334</v>
      </c>
      <c r="V259" s="25">
        <f t="shared" si="454"/>
        <v>2.34825411163096</v>
      </c>
      <c r="W259" s="25">
        <f t="shared" si="455"/>
        <v>2.67873326077451</v>
      </c>
      <c r="X259" s="24">
        <f t="shared" si="456"/>
        <v>350</v>
      </c>
      <c r="Y259" s="131">
        <f t="shared" si="418"/>
        <v>198.926300370133</v>
      </c>
      <c r="AA259" s="25">
        <f t="shared" si="457"/>
        <v>0.747407204409123</v>
      </c>
      <c r="AB259" s="5">
        <f t="shared" si="458"/>
        <v>1.52248713498371</v>
      </c>
      <c r="AC259" s="5">
        <f t="shared" si="459"/>
        <v>0.132823461427263</v>
      </c>
      <c r="AD259" s="5"/>
      <c r="AE259" s="5">
        <f t="shared" si="460"/>
        <v>0.611107489733394</v>
      </c>
      <c r="AF259" s="216">
        <f t="shared" si="461"/>
        <v>3516.44444444444</v>
      </c>
      <c r="AG259" s="217">
        <f t="shared" si="462"/>
        <v>0.0213994565217391</v>
      </c>
      <c r="AI259" s="5">
        <f t="shared" si="463"/>
        <v>0.950909339226706</v>
      </c>
      <c r="AJ259" s="5">
        <f t="shared" si="464"/>
        <v>1.31502230251334</v>
      </c>
      <c r="AK259" s="5">
        <f t="shared" si="465"/>
        <v>1.87668153500889</v>
      </c>
      <c r="AM259" s="216">
        <f t="shared" si="466"/>
        <v>215</v>
      </c>
      <c r="AN259" s="220">
        <f t="shared" si="467"/>
        <v>198.926300370133</v>
      </c>
      <c r="AP259">
        <f t="shared" si="468"/>
        <v>215</v>
      </c>
      <c r="AQ259">
        <f t="shared" si="469"/>
        <v>198.926300370133</v>
      </c>
      <c r="AS259" s="192">
        <f t="shared" si="364"/>
        <v>5.02698737240548</v>
      </c>
      <c r="AT259" s="192">
        <f t="shared" si="470"/>
        <v>2.34825411163096</v>
      </c>
      <c r="AU259" s="192">
        <f t="shared" si="440"/>
        <v>2.67873326077451</v>
      </c>
      <c r="AV259" s="192"/>
      <c r="AW259" s="5">
        <f t="shared" si="441"/>
        <v>0.467129502755702</v>
      </c>
      <c r="AX259" s="5"/>
      <c r="BA259" s="220">
        <f t="shared" si="471"/>
        <v>4.67115663597264</v>
      </c>
      <c r="BB259" s="220">
        <f t="shared" si="472"/>
        <v>25.506860670826</v>
      </c>
      <c r="BC259" s="192">
        <f t="shared" si="442"/>
        <v>1.37125631206314</v>
      </c>
      <c r="BD259" s="220">
        <f t="shared" si="473"/>
        <v>0</v>
      </c>
      <c r="BQ259" s="217">
        <f t="shared" si="474"/>
        <v>0.141959125</v>
      </c>
      <c r="CG259" s="227">
        <f t="shared" si="475"/>
        <v>-50</v>
      </c>
      <c r="CH259">
        <f t="shared" si="476"/>
        <v>-50</v>
      </c>
    </row>
    <row r="260" spans="5:86">
      <c r="E260" s="22">
        <v>44</v>
      </c>
      <c r="F260" s="25">
        <f t="shared" si="477"/>
        <v>0.22</v>
      </c>
      <c r="G260" s="25"/>
      <c r="H260" s="25">
        <f t="shared" si="443"/>
        <v>3.96</v>
      </c>
      <c r="I260" s="212">
        <f t="shared" si="444"/>
        <v>14</v>
      </c>
      <c r="J260" s="131">
        <f t="shared" si="445"/>
        <v>12.2728</v>
      </c>
      <c r="K260" s="131">
        <f t="shared" si="446"/>
        <v>26.2728</v>
      </c>
      <c r="L260" s="131"/>
      <c r="M260" s="25">
        <f t="shared" si="447"/>
        <v>0.467129502755702</v>
      </c>
      <c r="N260" s="27">
        <f t="shared" si="448"/>
        <v>4.46381478761305</v>
      </c>
      <c r="O260" s="27">
        <f t="shared" si="363"/>
        <v>3.96</v>
      </c>
      <c r="P260" s="25">
        <f t="shared" si="449"/>
        <v>0.247989710422947</v>
      </c>
      <c r="Q260" s="25">
        <f t="shared" si="450"/>
        <v>18</v>
      </c>
      <c r="R260" s="25"/>
      <c r="S260" s="27">
        <f t="shared" si="451"/>
        <v>22.3343406512742</v>
      </c>
      <c r="T260" s="27">
        <f t="shared" si="452"/>
        <v>18</v>
      </c>
      <c r="U260" s="25">
        <f t="shared" si="453"/>
        <v>1.34560421652528</v>
      </c>
      <c r="V260" s="25">
        <f t="shared" si="454"/>
        <v>2.40286467236657</v>
      </c>
      <c r="W260" s="25">
        <f t="shared" si="455"/>
        <v>2.74102938311811</v>
      </c>
      <c r="X260" s="24">
        <f t="shared" si="456"/>
        <v>350</v>
      </c>
      <c r="Y260" s="131">
        <f t="shared" si="418"/>
        <v>194.405248088994</v>
      </c>
      <c r="AA260" s="25">
        <f t="shared" si="457"/>
        <v>0.747407204409123</v>
      </c>
      <c r="AB260" s="5">
        <f t="shared" si="458"/>
        <v>1.52248713498371</v>
      </c>
      <c r="AC260" s="5">
        <f t="shared" si="459"/>
        <v>0.132823461427263</v>
      </c>
      <c r="AD260" s="5"/>
      <c r="AE260" s="5">
        <f t="shared" si="460"/>
        <v>0.611107489733394</v>
      </c>
      <c r="AF260" s="216">
        <f t="shared" si="461"/>
        <v>3598.22222222222</v>
      </c>
      <c r="AG260" s="217">
        <f t="shared" si="462"/>
        <v>0.0213994565217391</v>
      </c>
      <c r="AI260" s="5">
        <f t="shared" si="463"/>
        <v>0.961902876000037</v>
      </c>
      <c r="AJ260" s="5">
        <f t="shared" si="464"/>
        <v>1.34560421652528</v>
      </c>
      <c r="AK260" s="5">
        <f t="shared" si="465"/>
        <v>1.89706947768352</v>
      </c>
      <c r="AM260" s="216">
        <f t="shared" si="466"/>
        <v>220</v>
      </c>
      <c r="AN260" s="220">
        <f t="shared" si="467"/>
        <v>194.405248088994</v>
      </c>
      <c r="AP260">
        <f t="shared" si="468"/>
        <v>220</v>
      </c>
      <c r="AQ260">
        <f t="shared" si="469"/>
        <v>194.405248088994</v>
      </c>
      <c r="AS260" s="192">
        <f t="shared" si="364"/>
        <v>5.14389405548467</v>
      </c>
      <c r="AT260" s="192">
        <f t="shared" si="470"/>
        <v>2.40286467236657</v>
      </c>
      <c r="AU260" s="192">
        <f t="shared" si="440"/>
        <v>2.74102938311811</v>
      </c>
      <c r="AV260" s="192"/>
      <c r="AW260" s="5">
        <f t="shared" si="441"/>
        <v>0.467129502755702</v>
      </c>
      <c r="AX260" s="5"/>
      <c r="BA260" s="220">
        <f t="shared" si="471"/>
        <v>4.67115663597264</v>
      </c>
      <c r="BB260" s="220">
        <f t="shared" si="472"/>
        <v>26.6916723951969</v>
      </c>
      <c r="BC260" s="192">
        <f t="shared" si="442"/>
        <v>1.43577729591901</v>
      </c>
      <c r="BD260" s="220">
        <f t="shared" si="473"/>
        <v>0</v>
      </c>
      <c r="BQ260" s="217">
        <f t="shared" si="474"/>
        <v>0.1452605</v>
      </c>
      <c r="CG260" s="227">
        <f t="shared" si="475"/>
        <v>-50</v>
      </c>
      <c r="CH260">
        <f t="shared" si="476"/>
        <v>-50</v>
      </c>
    </row>
    <row r="261" spans="5:86">
      <c r="E261" s="22">
        <v>45</v>
      </c>
      <c r="F261" s="25">
        <f t="shared" si="477"/>
        <v>0.225</v>
      </c>
      <c r="G261" s="25"/>
      <c r="H261" s="25">
        <f t="shared" si="443"/>
        <v>4.05</v>
      </c>
      <c r="I261" s="212">
        <f t="shared" si="444"/>
        <v>14</v>
      </c>
      <c r="J261" s="131">
        <f t="shared" si="445"/>
        <v>12.2728</v>
      </c>
      <c r="K261" s="131">
        <f t="shared" si="446"/>
        <v>26.2728</v>
      </c>
      <c r="L261" s="131"/>
      <c r="M261" s="25">
        <f t="shared" si="447"/>
        <v>0.467129502755702</v>
      </c>
      <c r="N261" s="27">
        <f t="shared" si="448"/>
        <v>4.46381478761305</v>
      </c>
      <c r="O261" s="27">
        <f t="shared" si="363"/>
        <v>4.05</v>
      </c>
      <c r="P261" s="25">
        <f t="shared" si="449"/>
        <v>0.247989710422947</v>
      </c>
      <c r="Q261" s="25">
        <f t="shared" si="450"/>
        <v>18</v>
      </c>
      <c r="R261" s="25"/>
      <c r="S261" s="27">
        <f t="shared" si="451"/>
        <v>21.3956992826582</v>
      </c>
      <c r="T261" s="27">
        <f t="shared" si="452"/>
        <v>18</v>
      </c>
      <c r="U261" s="25">
        <f t="shared" si="453"/>
        <v>1.37618613053722</v>
      </c>
      <c r="V261" s="25">
        <f t="shared" si="454"/>
        <v>2.45747523310217</v>
      </c>
      <c r="W261" s="25">
        <f t="shared" si="455"/>
        <v>2.8033255054617</v>
      </c>
      <c r="X261" s="24">
        <f t="shared" si="456"/>
        <v>350</v>
      </c>
      <c r="Y261" s="131">
        <f t="shared" si="418"/>
        <v>190.085131464794</v>
      </c>
      <c r="AA261" s="25">
        <f t="shared" si="457"/>
        <v>0.747407204409123</v>
      </c>
      <c r="AB261" s="5">
        <f t="shared" si="458"/>
        <v>1.52248713498371</v>
      </c>
      <c r="AC261" s="5">
        <f t="shared" si="459"/>
        <v>0.132823461427263</v>
      </c>
      <c r="AD261" s="5"/>
      <c r="AE261" s="5">
        <f t="shared" si="460"/>
        <v>0.611107489733394</v>
      </c>
      <c r="AF261" s="216">
        <f t="shared" si="461"/>
        <v>3680</v>
      </c>
      <c r="AG261" s="217">
        <f t="shared" si="462"/>
        <v>0.0213994565217391</v>
      </c>
      <c r="AI261" s="5">
        <f t="shared" si="463"/>
        <v>0.972772180053333</v>
      </c>
      <c r="AJ261" s="5">
        <f t="shared" si="464"/>
        <v>1.37618613053722</v>
      </c>
      <c r="AK261" s="5">
        <f t="shared" si="465"/>
        <v>1.91745742035814</v>
      </c>
      <c r="AM261" s="216">
        <f t="shared" si="466"/>
        <v>225</v>
      </c>
      <c r="AN261" s="220">
        <f t="shared" si="467"/>
        <v>190.085131464794</v>
      </c>
      <c r="AP261">
        <f t="shared" si="468"/>
        <v>225</v>
      </c>
      <c r="AQ261">
        <f t="shared" si="469"/>
        <v>190.085131464794</v>
      </c>
      <c r="AS261" s="192">
        <f t="shared" si="364"/>
        <v>5.26080073856387</v>
      </c>
      <c r="AT261" s="192">
        <f t="shared" si="470"/>
        <v>2.45747523310217</v>
      </c>
      <c r="AU261" s="192">
        <f t="shared" si="440"/>
        <v>2.8033255054617</v>
      </c>
      <c r="AV261" s="192"/>
      <c r="AW261" s="5">
        <f t="shared" si="441"/>
        <v>0.467129502755702</v>
      </c>
      <c r="AX261" s="5"/>
      <c r="BA261" s="220">
        <f t="shared" si="471"/>
        <v>4.67115663597264</v>
      </c>
      <c r="BB261" s="220">
        <f t="shared" si="472"/>
        <v>27.9033763431166</v>
      </c>
      <c r="BC261" s="192">
        <f t="shared" si="442"/>
        <v>1.50178152078306</v>
      </c>
      <c r="BD261" s="220">
        <f t="shared" si="473"/>
        <v>0</v>
      </c>
      <c r="BQ261" s="217">
        <f t="shared" si="474"/>
        <v>0.148561875</v>
      </c>
      <c r="CG261" s="227">
        <f t="shared" si="475"/>
        <v>-50</v>
      </c>
      <c r="CH261">
        <f t="shared" si="476"/>
        <v>-50</v>
      </c>
    </row>
    <row r="262" spans="5:86">
      <c r="E262" s="22">
        <v>46</v>
      </c>
      <c r="F262" s="25">
        <f t="shared" si="477"/>
        <v>0.23</v>
      </c>
      <c r="G262" s="25"/>
      <c r="H262" s="25">
        <f t="shared" si="443"/>
        <v>4.14</v>
      </c>
      <c r="I262" s="212">
        <f t="shared" si="444"/>
        <v>14</v>
      </c>
      <c r="J262" s="131">
        <f t="shared" si="445"/>
        <v>12.2728</v>
      </c>
      <c r="K262" s="131">
        <f t="shared" si="446"/>
        <v>26.2728</v>
      </c>
      <c r="L262" s="131"/>
      <c r="M262" s="25">
        <f t="shared" si="447"/>
        <v>0.467129502755702</v>
      </c>
      <c r="N262" s="27">
        <f t="shared" si="448"/>
        <v>4.46381478761305</v>
      </c>
      <c r="O262" s="27">
        <f t="shared" ref="O262:O316" si="478">T262*F262</f>
        <v>4.14</v>
      </c>
      <c r="P262" s="25">
        <f t="shared" si="449"/>
        <v>0.247989710422947</v>
      </c>
      <c r="Q262" s="25">
        <f t="shared" si="450"/>
        <v>18</v>
      </c>
      <c r="R262" s="25"/>
      <c r="S262" s="27">
        <f t="shared" si="451"/>
        <v>20.4991800540206</v>
      </c>
      <c r="T262" s="27">
        <f t="shared" si="452"/>
        <v>18</v>
      </c>
      <c r="U262" s="25">
        <f t="shared" si="453"/>
        <v>1.40676804454915</v>
      </c>
      <c r="V262" s="25">
        <f t="shared" si="454"/>
        <v>2.51208579383777</v>
      </c>
      <c r="W262" s="25">
        <f t="shared" si="455"/>
        <v>2.8656216278053</v>
      </c>
      <c r="X262" s="24">
        <f t="shared" si="456"/>
        <v>350</v>
      </c>
      <c r="Y262" s="131">
        <f t="shared" si="418"/>
        <v>185.952845998168</v>
      </c>
      <c r="AA262" s="25">
        <f t="shared" si="457"/>
        <v>0.747407204409123</v>
      </c>
      <c r="AB262" s="5">
        <f t="shared" si="458"/>
        <v>1.52248713498371</v>
      </c>
      <c r="AC262" s="5">
        <f t="shared" si="459"/>
        <v>0.132823461427263</v>
      </c>
      <c r="AD262" s="5"/>
      <c r="AE262" s="5">
        <f t="shared" si="460"/>
        <v>0.611107489733394</v>
      </c>
      <c r="AF262" s="216">
        <f t="shared" si="461"/>
        <v>3761.77777777778</v>
      </c>
      <c r="AG262" s="217">
        <f t="shared" si="462"/>
        <v>0.0213994565217391</v>
      </c>
      <c r="AI262" s="5">
        <f t="shared" si="463"/>
        <v>0.983521370237722</v>
      </c>
      <c r="AJ262" s="5">
        <f t="shared" si="464"/>
        <v>1.40676804454915</v>
      </c>
      <c r="AK262" s="5">
        <f t="shared" si="465"/>
        <v>1.93784536303277</v>
      </c>
      <c r="AM262" s="216">
        <f t="shared" si="466"/>
        <v>230</v>
      </c>
      <c r="AN262" s="220">
        <f t="shared" si="467"/>
        <v>185.952845998168</v>
      </c>
      <c r="AP262">
        <f t="shared" si="468"/>
        <v>230</v>
      </c>
      <c r="AQ262">
        <f t="shared" si="469"/>
        <v>185.952845998168</v>
      </c>
      <c r="AS262" s="192">
        <f t="shared" si="364"/>
        <v>5.37770742164307</v>
      </c>
      <c r="AT262" s="192">
        <f t="shared" si="470"/>
        <v>2.51208579383777</v>
      </c>
      <c r="AU262" s="192">
        <f t="shared" si="440"/>
        <v>2.8656216278053</v>
      </c>
      <c r="AV262" s="192"/>
      <c r="AW262" s="5">
        <f t="shared" si="441"/>
        <v>0.467129502755702</v>
      </c>
      <c r="AX262" s="5"/>
      <c r="BA262" s="220">
        <f t="shared" si="471"/>
        <v>4.67115663597264</v>
      </c>
      <c r="BB262" s="220">
        <f t="shared" si="472"/>
        <v>29.1419725145851</v>
      </c>
      <c r="BC262" s="192">
        <f t="shared" si="442"/>
        <v>1.56926898665528</v>
      </c>
      <c r="BD262" s="220">
        <f t="shared" si="473"/>
        <v>0</v>
      </c>
      <c r="BQ262" s="217">
        <f t="shared" si="474"/>
        <v>0.15186325</v>
      </c>
      <c r="CG262" s="227">
        <f t="shared" si="475"/>
        <v>-50</v>
      </c>
      <c r="CH262">
        <f t="shared" si="476"/>
        <v>-50</v>
      </c>
    </row>
    <row r="263" spans="5:86">
      <c r="E263" s="22">
        <v>47</v>
      </c>
      <c r="F263" s="25">
        <f t="shared" si="477"/>
        <v>0.235</v>
      </c>
      <c r="G263" s="25"/>
      <c r="H263" s="25">
        <f t="shared" si="443"/>
        <v>4.23</v>
      </c>
      <c r="I263" s="212">
        <f t="shared" si="444"/>
        <v>14</v>
      </c>
      <c r="J263" s="131">
        <f t="shared" si="445"/>
        <v>12.2728</v>
      </c>
      <c r="K263" s="131">
        <f t="shared" si="446"/>
        <v>26.2728</v>
      </c>
      <c r="L263" s="131"/>
      <c r="M263" s="25">
        <f t="shared" si="447"/>
        <v>0.467129502755702</v>
      </c>
      <c r="N263" s="27">
        <f t="shared" si="448"/>
        <v>4.46381478761305</v>
      </c>
      <c r="O263" s="27">
        <f t="shared" si="478"/>
        <v>4.23</v>
      </c>
      <c r="P263" s="25">
        <f t="shared" si="449"/>
        <v>0.247989710422947</v>
      </c>
      <c r="Q263" s="25">
        <f t="shared" si="450"/>
        <v>18</v>
      </c>
      <c r="R263" s="25"/>
      <c r="S263" s="27">
        <f t="shared" si="451"/>
        <v>19.642167600107</v>
      </c>
      <c r="T263" s="27">
        <f t="shared" si="452"/>
        <v>18</v>
      </c>
      <c r="U263" s="25">
        <f t="shared" si="453"/>
        <v>1.43734995856109</v>
      </c>
      <c r="V263" s="25">
        <f t="shared" si="454"/>
        <v>2.56669635457338</v>
      </c>
      <c r="W263" s="25">
        <f t="shared" si="455"/>
        <v>2.92791775014889</v>
      </c>
      <c r="X263" s="24">
        <f t="shared" si="456"/>
        <v>350</v>
      </c>
      <c r="Y263" s="131">
        <f t="shared" si="418"/>
        <v>181.996402466292</v>
      </c>
      <c r="AA263" s="25">
        <f t="shared" si="457"/>
        <v>0.747407204409123</v>
      </c>
      <c r="AB263" s="5">
        <f t="shared" si="458"/>
        <v>1.52248713498371</v>
      </c>
      <c r="AC263" s="5">
        <f t="shared" si="459"/>
        <v>0.132823461427263</v>
      </c>
      <c r="AD263" s="5"/>
      <c r="AE263" s="5">
        <f t="shared" si="460"/>
        <v>0.611107489733394</v>
      </c>
      <c r="AF263" s="216">
        <f t="shared" si="461"/>
        <v>3843.55555555556</v>
      </c>
      <c r="AG263" s="217">
        <f t="shared" si="462"/>
        <v>0.0213994565217391</v>
      </c>
      <c r="AI263" s="5">
        <f t="shared" si="463"/>
        <v>0.994154342716893</v>
      </c>
      <c r="AJ263" s="5">
        <f t="shared" si="464"/>
        <v>1.43734995856109</v>
      </c>
      <c r="AK263" s="5">
        <f t="shared" si="465"/>
        <v>1.95823330570739</v>
      </c>
      <c r="AM263" s="216">
        <f t="shared" si="466"/>
        <v>235</v>
      </c>
      <c r="AN263" s="220">
        <f t="shared" si="467"/>
        <v>181.996402466292</v>
      </c>
      <c r="AP263">
        <f t="shared" si="468"/>
        <v>235</v>
      </c>
      <c r="AQ263">
        <f t="shared" si="469"/>
        <v>181.996402466292</v>
      </c>
      <c r="AS263" s="192">
        <f t="shared" ref="AS263:AS316" si="479">1/AN263*1000</f>
        <v>5.49461410472226</v>
      </c>
      <c r="AT263" s="192">
        <f t="shared" si="470"/>
        <v>2.56669635457338</v>
      </c>
      <c r="AU263" s="192">
        <f t="shared" si="440"/>
        <v>2.92791775014889</v>
      </c>
      <c r="AV263" s="192"/>
      <c r="AW263" s="5">
        <f t="shared" si="441"/>
        <v>0.467129502755702</v>
      </c>
      <c r="AX263" s="5"/>
      <c r="BA263" s="220">
        <f t="shared" si="471"/>
        <v>4.67115663597264</v>
      </c>
      <c r="BB263" s="220">
        <f t="shared" si="472"/>
        <v>30.4074609096023</v>
      </c>
      <c r="BC263" s="192">
        <f t="shared" si="442"/>
        <v>1.63823969353569</v>
      </c>
      <c r="BD263" s="220">
        <f t="shared" si="473"/>
        <v>0</v>
      </c>
      <c r="BQ263" s="217">
        <f t="shared" si="474"/>
        <v>0.155164625</v>
      </c>
      <c r="CG263" s="227">
        <f t="shared" si="475"/>
        <v>-50</v>
      </c>
      <c r="CH263">
        <f t="shared" si="476"/>
        <v>-50</v>
      </c>
    </row>
    <row r="264" spans="5:86">
      <c r="E264" s="22">
        <v>48</v>
      </c>
      <c r="F264" s="25">
        <f t="shared" si="477"/>
        <v>0.24</v>
      </c>
      <c r="G264" s="25"/>
      <c r="H264" s="25">
        <f t="shared" si="443"/>
        <v>4.32</v>
      </c>
      <c r="I264" s="212">
        <f t="shared" si="444"/>
        <v>14</v>
      </c>
      <c r="J264" s="131">
        <f t="shared" si="445"/>
        <v>12.2728</v>
      </c>
      <c r="K264" s="131">
        <f t="shared" si="446"/>
        <v>26.2728</v>
      </c>
      <c r="L264" s="131"/>
      <c r="M264" s="25">
        <f t="shared" si="447"/>
        <v>0.467129502755702</v>
      </c>
      <c r="N264" s="27">
        <f t="shared" si="448"/>
        <v>4.46381478761305</v>
      </c>
      <c r="O264" s="27">
        <f t="shared" si="478"/>
        <v>4.32</v>
      </c>
      <c r="P264" s="25">
        <f t="shared" si="449"/>
        <v>0.247989710422947</v>
      </c>
      <c r="Q264" s="25">
        <f t="shared" si="450"/>
        <v>18</v>
      </c>
      <c r="R264" s="25"/>
      <c r="S264" s="27">
        <f t="shared" si="451"/>
        <v>18.8222695098727</v>
      </c>
      <c r="T264" s="27">
        <f t="shared" si="452"/>
        <v>18</v>
      </c>
      <c r="U264" s="25">
        <f t="shared" si="453"/>
        <v>1.46793187257303</v>
      </c>
      <c r="V264" s="25">
        <f t="shared" si="454"/>
        <v>2.62130691530898</v>
      </c>
      <c r="W264" s="25">
        <f t="shared" si="455"/>
        <v>2.99021387249248</v>
      </c>
      <c r="X264" s="24">
        <f t="shared" si="456"/>
        <v>350</v>
      </c>
      <c r="Y264" s="131">
        <f t="shared" si="418"/>
        <v>178.204810748245</v>
      </c>
      <c r="AA264" s="25">
        <f t="shared" si="457"/>
        <v>0.747407204409123</v>
      </c>
      <c r="AB264" s="5">
        <f t="shared" si="458"/>
        <v>1.52248713498371</v>
      </c>
      <c r="AC264" s="5">
        <f t="shared" si="459"/>
        <v>0.132823461427263</v>
      </c>
      <c r="AD264" s="5"/>
      <c r="AE264" s="5">
        <f t="shared" si="460"/>
        <v>0.611107489733394</v>
      </c>
      <c r="AF264" s="216">
        <f t="shared" si="461"/>
        <v>3925.33333333333</v>
      </c>
      <c r="AG264" s="217">
        <f t="shared" si="462"/>
        <v>0.0213994565217391</v>
      </c>
      <c r="AI264" s="5">
        <f t="shared" si="463"/>
        <v>1.00467478746678</v>
      </c>
      <c r="AJ264" s="5">
        <f t="shared" si="464"/>
        <v>1.46793187257303</v>
      </c>
      <c r="AK264" s="5">
        <f t="shared" si="465"/>
        <v>1.97862124838202</v>
      </c>
      <c r="AM264" s="216">
        <f t="shared" si="466"/>
        <v>240</v>
      </c>
      <c r="AN264" s="220">
        <f t="shared" si="467"/>
        <v>178.204810748245</v>
      </c>
      <c r="AP264">
        <f t="shared" si="468"/>
        <v>240</v>
      </c>
      <c r="AQ264">
        <f t="shared" si="469"/>
        <v>178.204810748245</v>
      </c>
      <c r="AS264" s="192">
        <f t="shared" si="479"/>
        <v>5.61152078780146</v>
      </c>
      <c r="AT264" s="192">
        <f t="shared" si="470"/>
        <v>2.62130691530898</v>
      </c>
      <c r="AU264" s="192">
        <f t="shared" si="440"/>
        <v>2.99021387249248</v>
      </c>
      <c r="AV264" s="192"/>
      <c r="AW264" s="5">
        <f t="shared" si="441"/>
        <v>0.467129502755702</v>
      </c>
      <c r="AX264" s="5"/>
      <c r="BA264" s="220">
        <f t="shared" si="471"/>
        <v>4.67115663597264</v>
      </c>
      <c r="BB264" s="220">
        <f t="shared" si="472"/>
        <v>31.6998415281682</v>
      </c>
      <c r="BC264" s="192">
        <f t="shared" si="442"/>
        <v>1.70869364142428</v>
      </c>
      <c r="BD264" s="220">
        <f t="shared" si="473"/>
        <v>0</v>
      </c>
      <c r="BQ264" s="217">
        <f t="shared" si="474"/>
        <v>0.158466</v>
      </c>
      <c r="CG264" s="227">
        <f t="shared" si="475"/>
        <v>-50</v>
      </c>
      <c r="CH264">
        <f t="shared" si="476"/>
        <v>-50</v>
      </c>
    </row>
    <row r="265" spans="5:86">
      <c r="E265" s="22">
        <v>49</v>
      </c>
      <c r="F265" s="25">
        <f t="shared" si="477"/>
        <v>0.245</v>
      </c>
      <c r="G265" s="25"/>
      <c r="H265" s="25">
        <f t="shared" si="443"/>
        <v>4.41</v>
      </c>
      <c r="I265" s="212">
        <f t="shared" si="444"/>
        <v>14</v>
      </c>
      <c r="J265" s="131">
        <f t="shared" si="445"/>
        <v>12.2728</v>
      </c>
      <c r="K265" s="131">
        <f t="shared" si="446"/>
        <v>26.2728</v>
      </c>
      <c r="L265" s="131"/>
      <c r="M265" s="25">
        <f t="shared" si="447"/>
        <v>0.467129502755702</v>
      </c>
      <c r="N265" s="27">
        <f t="shared" si="448"/>
        <v>4.46381478761305</v>
      </c>
      <c r="O265" s="27">
        <f t="shared" si="478"/>
        <v>4.41</v>
      </c>
      <c r="P265" s="25">
        <f t="shared" si="449"/>
        <v>0.247989710422947</v>
      </c>
      <c r="Q265" s="25">
        <f t="shared" si="450"/>
        <v>18</v>
      </c>
      <c r="R265" s="25"/>
      <c r="S265" s="27">
        <f t="shared" si="451"/>
        <v>18.0372939506435</v>
      </c>
      <c r="T265" s="27">
        <f t="shared" si="452"/>
        <v>18</v>
      </c>
      <c r="U265" s="25">
        <f t="shared" si="453"/>
        <v>1.49851378658497</v>
      </c>
      <c r="V265" s="25">
        <f t="shared" si="454"/>
        <v>2.67591747604458</v>
      </c>
      <c r="W265" s="25">
        <f t="shared" si="455"/>
        <v>3.05250999483608</v>
      </c>
      <c r="X265" s="24">
        <f t="shared" si="456"/>
        <v>350</v>
      </c>
      <c r="Y265" s="131">
        <f t="shared" si="418"/>
        <v>174.567977875831</v>
      </c>
      <c r="AA265" s="25">
        <f t="shared" si="457"/>
        <v>0.747407204409123</v>
      </c>
      <c r="AB265" s="5">
        <f t="shared" si="458"/>
        <v>1.52248713498371</v>
      </c>
      <c r="AC265" s="5">
        <f t="shared" si="459"/>
        <v>0.132823461427263</v>
      </c>
      <c r="AD265" s="5"/>
      <c r="AE265" s="5">
        <f t="shared" si="460"/>
        <v>0.611107489733394</v>
      </c>
      <c r="AF265" s="216">
        <f t="shared" si="461"/>
        <v>4007.11111111111</v>
      </c>
      <c r="AG265" s="217">
        <f t="shared" si="462"/>
        <v>0.0213994565217391</v>
      </c>
      <c r="AI265" s="5">
        <f t="shared" si="463"/>
        <v>1.01508620323596</v>
      </c>
      <c r="AJ265" s="5">
        <f t="shared" si="464"/>
        <v>1.49851378658497</v>
      </c>
      <c r="AK265" s="5">
        <f t="shared" si="465"/>
        <v>1.99900919105664</v>
      </c>
      <c r="AM265" s="216">
        <f t="shared" si="466"/>
        <v>245</v>
      </c>
      <c r="AN265" s="220">
        <f t="shared" si="467"/>
        <v>174.567977875831</v>
      </c>
      <c r="AP265">
        <f t="shared" si="468"/>
        <v>245</v>
      </c>
      <c r="AQ265">
        <f t="shared" si="469"/>
        <v>174.567977875831</v>
      </c>
      <c r="AS265" s="192">
        <f t="shared" si="479"/>
        <v>5.72842747088066</v>
      </c>
      <c r="AT265" s="192">
        <f t="shared" si="470"/>
        <v>2.67591747604458</v>
      </c>
      <c r="AU265" s="192">
        <f t="shared" si="440"/>
        <v>3.05250999483608</v>
      </c>
      <c r="AV265" s="192"/>
      <c r="AW265" s="5">
        <f t="shared" si="441"/>
        <v>0.467129502755702</v>
      </c>
      <c r="AX265" s="5"/>
      <c r="BA265" s="220">
        <f t="shared" si="471"/>
        <v>4.67115663597264</v>
      </c>
      <c r="BB265" s="220">
        <f t="shared" si="472"/>
        <v>33.019114370283</v>
      </c>
      <c r="BC265" s="192">
        <f t="shared" si="442"/>
        <v>1.78063083032104</v>
      </c>
      <c r="BD265" s="220">
        <f t="shared" si="473"/>
        <v>0</v>
      </c>
      <c r="BQ265" s="217">
        <f t="shared" si="474"/>
        <v>0.161767375</v>
      </c>
      <c r="CG265" s="227">
        <f t="shared" si="475"/>
        <v>-50</v>
      </c>
      <c r="CH265">
        <f t="shared" si="476"/>
        <v>-50</v>
      </c>
    </row>
    <row r="266" spans="5:86">
      <c r="E266" s="22">
        <v>50</v>
      </c>
      <c r="F266" s="25">
        <f t="shared" si="477"/>
        <v>0.25</v>
      </c>
      <c r="G266" s="25"/>
      <c r="H266" s="25">
        <f t="shared" si="443"/>
        <v>4.5</v>
      </c>
      <c r="I266" s="212">
        <f t="shared" si="444"/>
        <v>14</v>
      </c>
      <c r="J266" s="131">
        <f t="shared" si="445"/>
        <v>11.7960484122035</v>
      </c>
      <c r="K266" s="131">
        <f t="shared" si="446"/>
        <v>26.2728</v>
      </c>
      <c r="L266" s="131"/>
      <c r="M266" s="25">
        <f t="shared" si="447"/>
        <v>0.467129502755702</v>
      </c>
      <c r="N266" s="27">
        <f t="shared" si="448"/>
        <v>4.46381478761305</v>
      </c>
      <c r="O266" s="27">
        <f t="shared" si="478"/>
        <v>4.32130750082591</v>
      </c>
      <c r="P266" s="25">
        <f t="shared" si="449"/>
        <v>0.247989710422947</v>
      </c>
      <c r="Q266" s="25">
        <f t="shared" si="450"/>
        <v>17.8552591504522</v>
      </c>
      <c r="R266" s="25"/>
      <c r="S266" s="27">
        <f t="shared" si="451"/>
        <v>17.2852300033036</v>
      </c>
      <c r="T266" s="27">
        <f t="shared" si="452"/>
        <v>17.2852300033036</v>
      </c>
      <c r="U266" s="25">
        <f t="shared" si="453"/>
        <v>1.5</v>
      </c>
      <c r="V266" s="25">
        <f t="shared" si="454"/>
        <v>2.67857142857143</v>
      </c>
      <c r="W266" s="25">
        <f t="shared" si="455"/>
        <v>3.17903069651737</v>
      </c>
      <c r="X266" s="24">
        <f t="shared" si="456"/>
        <v>350</v>
      </c>
      <c r="Y266" s="131">
        <f t="shared" si="418"/>
        <v>170.718321020283</v>
      </c>
      <c r="AA266" s="25">
        <f t="shared" si="457"/>
        <v>0.731649947229783</v>
      </c>
      <c r="AB266" s="5">
        <f t="shared" si="458"/>
        <v>1.55062509423253</v>
      </c>
      <c r="AC266" s="5">
        <f t="shared" si="459"/>
        <v>0.132426236337802</v>
      </c>
      <c r="AD266" s="5"/>
      <c r="AE266" s="5">
        <f t="shared" si="460"/>
        <v>0.635806139303475</v>
      </c>
      <c r="AF266" s="216">
        <f t="shared" si="461"/>
        <v>3930.05111184525</v>
      </c>
      <c r="AG266" s="217">
        <f t="shared" si="462"/>
        <v>0.0222643414830594</v>
      </c>
      <c r="AI266" s="5">
        <f t="shared" si="463"/>
        <v>1.00527835529138</v>
      </c>
      <c r="AJ266" s="5">
        <f t="shared" si="464"/>
        <v>1.5</v>
      </c>
      <c r="AK266" s="5">
        <f t="shared" si="465"/>
        <v>2</v>
      </c>
      <c r="AM266" s="216">
        <f t="shared" si="466"/>
        <v>250</v>
      </c>
      <c r="AN266" s="220">
        <f t="shared" si="467"/>
        <v>170.718321020283</v>
      </c>
      <c r="AP266" t="str">
        <f t="shared" si="468"/>
        <v/>
      </c>
      <c r="AQ266" t="str">
        <f t="shared" si="469"/>
        <v/>
      </c>
      <c r="AS266" s="192">
        <f t="shared" si="479"/>
        <v>5.8576021250888</v>
      </c>
      <c r="AT266" s="192">
        <f t="shared" si="470"/>
        <v>2.67857142857143</v>
      </c>
      <c r="AU266" s="192">
        <f t="shared" si="440"/>
        <v>3.17903069651738</v>
      </c>
      <c r="AV266" s="192"/>
      <c r="AW266" s="5">
        <f t="shared" si="441"/>
        <v>0.457281217018614</v>
      </c>
      <c r="AX266" s="5"/>
      <c r="BA266" s="220">
        <f t="shared" si="471"/>
        <v>4.67115663597264</v>
      </c>
      <c r="BB266" s="220">
        <f t="shared" si="472"/>
        <v>34.3652794359465</v>
      </c>
      <c r="BC266" s="192">
        <f t="shared" si="442"/>
        <v>1.89228017649844</v>
      </c>
      <c r="BD266" s="220">
        <f t="shared" si="473"/>
        <v>0</v>
      </c>
      <c r="BQ266" s="217">
        <f t="shared" si="474"/>
        <v>0.16506875</v>
      </c>
      <c r="CG266" s="227">
        <f t="shared" si="475"/>
        <v>170.718321020283</v>
      </c>
      <c r="CH266">
        <f t="shared" si="476"/>
        <v>-50</v>
      </c>
    </row>
    <row r="267" spans="5:86">
      <c r="E267" s="22">
        <v>51</v>
      </c>
      <c r="F267" s="25">
        <f t="shared" si="477"/>
        <v>0.255</v>
      </c>
      <c r="G267" s="25"/>
      <c r="H267" s="25">
        <f t="shared" si="443"/>
        <v>4.59</v>
      </c>
      <c r="I267" s="212">
        <f t="shared" si="444"/>
        <v>14</v>
      </c>
      <c r="J267" s="131">
        <f t="shared" si="445"/>
        <v>11.3151416348544</v>
      </c>
      <c r="K267" s="131">
        <f t="shared" si="446"/>
        <v>26.2728</v>
      </c>
      <c r="L267" s="131"/>
      <c r="M267" s="25">
        <f t="shared" si="447"/>
        <v>0.467129502755702</v>
      </c>
      <c r="N267" s="27">
        <f t="shared" si="448"/>
        <v>4.46381478761305</v>
      </c>
      <c r="O267" s="27">
        <f t="shared" si="478"/>
        <v>4.22387873596383</v>
      </c>
      <c r="P267" s="25">
        <f t="shared" si="449"/>
        <v>0.247989710422947</v>
      </c>
      <c r="Q267" s="25">
        <f t="shared" si="450"/>
        <v>17.5051560298551</v>
      </c>
      <c r="R267" s="25"/>
      <c r="S267" s="27">
        <f t="shared" si="451"/>
        <v>16.5642303371131</v>
      </c>
      <c r="T267" s="27">
        <f t="shared" si="452"/>
        <v>16.5642303371131</v>
      </c>
      <c r="U267" s="25">
        <f t="shared" si="453"/>
        <v>1.5</v>
      </c>
      <c r="V267" s="25">
        <f t="shared" si="454"/>
        <v>2.67857142857143</v>
      </c>
      <c r="W267" s="25">
        <f t="shared" si="455"/>
        <v>3.31414322596612</v>
      </c>
      <c r="X267" s="24">
        <f t="shared" si="456"/>
        <v>350</v>
      </c>
      <c r="Y267" s="131">
        <f t="shared" si="418"/>
        <v>166.869283396102</v>
      </c>
      <c r="AA267" s="25">
        <f t="shared" si="457"/>
        <v>0.71515407169758</v>
      </c>
      <c r="AB267" s="5">
        <f t="shared" si="458"/>
        <v>1.58008201482575</v>
      </c>
      <c r="AC267" s="5">
        <f t="shared" si="459"/>
        <v>0.131899493548901</v>
      </c>
      <c r="AD267" s="5"/>
      <c r="AE267" s="5">
        <f t="shared" si="460"/>
        <v>0.662828645193225</v>
      </c>
      <c r="AF267" s="216">
        <f t="shared" si="461"/>
        <v>3845.22554307896</v>
      </c>
      <c r="AG267" s="217">
        <f t="shared" si="462"/>
        <v>0.0232106020830537</v>
      </c>
      <c r="AI267" s="5">
        <f t="shared" si="463"/>
        <v>0.99437029446078</v>
      </c>
      <c r="AJ267" s="5">
        <f t="shared" si="464"/>
        <v>1.5</v>
      </c>
      <c r="AK267" s="5">
        <f t="shared" si="465"/>
        <v>2</v>
      </c>
      <c r="AM267" s="216">
        <f t="shared" si="466"/>
        <v>255</v>
      </c>
      <c r="AN267" s="220">
        <f t="shared" si="467"/>
        <v>166.869283396102</v>
      </c>
      <c r="AP267" t="str">
        <f t="shared" si="468"/>
        <v/>
      </c>
      <c r="AQ267" t="str">
        <f t="shared" si="469"/>
        <v/>
      </c>
      <c r="AS267" s="192">
        <f t="shared" si="479"/>
        <v>5.99271465453755</v>
      </c>
      <c r="AT267" s="192">
        <f t="shared" si="470"/>
        <v>2.67857142857143</v>
      </c>
      <c r="AU267" s="192">
        <f t="shared" si="440"/>
        <v>3.31414322596612</v>
      </c>
      <c r="AV267" s="192"/>
      <c r="AW267" s="5">
        <f t="shared" si="441"/>
        <v>0.446971294810987</v>
      </c>
      <c r="AX267" s="5"/>
      <c r="BA267" s="220">
        <f t="shared" si="471"/>
        <v>4.67115663597264</v>
      </c>
      <c r="BB267" s="220">
        <f t="shared" si="472"/>
        <v>35.7383367251587</v>
      </c>
      <c r="BC267" s="192">
        <f t="shared" si="442"/>
        <v>2.01215838719372</v>
      </c>
      <c r="BD267" s="220">
        <f t="shared" si="473"/>
        <v>0</v>
      </c>
      <c r="BQ267" s="217">
        <f t="shared" si="474"/>
        <v>0.168370125</v>
      </c>
      <c r="CG267" s="227">
        <f t="shared" si="475"/>
        <v>-50</v>
      </c>
      <c r="CH267">
        <f t="shared" si="476"/>
        <v>-50</v>
      </c>
    </row>
    <row r="268" spans="5:86">
      <c r="E268" s="22">
        <v>52</v>
      </c>
      <c r="F268" s="25">
        <f t="shared" si="477"/>
        <v>0.26</v>
      </c>
      <c r="G268" s="25"/>
      <c r="H268" s="25">
        <f t="shared" si="443"/>
        <v>4.68</v>
      </c>
      <c r="I268" s="212">
        <f t="shared" si="444"/>
        <v>14</v>
      </c>
      <c r="J268" s="131">
        <f t="shared" si="445"/>
        <v>10.8538214716751</v>
      </c>
      <c r="K268" s="131">
        <f t="shared" si="446"/>
        <v>26.2728</v>
      </c>
      <c r="L268" s="131"/>
      <c r="M268" s="25">
        <f t="shared" si="447"/>
        <v>0.467129502755702</v>
      </c>
      <c r="N268" s="27">
        <f t="shared" si="448"/>
        <v>4.46381478761305</v>
      </c>
      <c r="O268" s="27">
        <f t="shared" si="478"/>
        <v>4.12687493648503</v>
      </c>
      <c r="P268" s="25">
        <f t="shared" si="449"/>
        <v>0.247989710422947</v>
      </c>
      <c r="Q268" s="25">
        <f t="shared" si="450"/>
        <v>17.1685184138963</v>
      </c>
      <c r="R268" s="25"/>
      <c r="S268" s="27">
        <f t="shared" si="451"/>
        <v>15.8725959095578</v>
      </c>
      <c r="T268" s="27">
        <f t="shared" si="452"/>
        <v>15.8725959095578</v>
      </c>
      <c r="U268" s="25">
        <f t="shared" si="453"/>
        <v>1.5</v>
      </c>
      <c r="V268" s="25">
        <f t="shared" si="454"/>
        <v>2.67857142857143</v>
      </c>
      <c r="W268" s="25">
        <f t="shared" si="455"/>
        <v>3.4550043132608</v>
      </c>
      <c r="X268" s="24">
        <f t="shared" si="456"/>
        <v>350</v>
      </c>
      <c r="Y268" s="131">
        <f t="shared" si="418"/>
        <v>163.037034527804</v>
      </c>
      <c r="AA268" s="25">
        <f t="shared" si="457"/>
        <v>0.698730147976302</v>
      </c>
      <c r="AB268" s="5">
        <f t="shared" si="458"/>
        <v>1.60941045004232</v>
      </c>
      <c r="AC268" s="5">
        <f t="shared" si="459"/>
        <v>0.131262351933257</v>
      </c>
      <c r="AD268" s="5"/>
      <c r="AE268" s="5">
        <f t="shared" si="460"/>
        <v>0.691000862652159</v>
      </c>
      <c r="AF268" s="216">
        <f t="shared" si="461"/>
        <v>3760.77772132003</v>
      </c>
      <c r="AG268" s="217">
        <f t="shared" si="462"/>
        <v>0.024197122707922</v>
      </c>
      <c r="AI268" s="5">
        <f t="shared" si="463"/>
        <v>0.9833906285599</v>
      </c>
      <c r="AJ268" s="5">
        <f t="shared" si="464"/>
        <v>1.5</v>
      </c>
      <c r="AK268" s="5">
        <f t="shared" si="465"/>
        <v>2</v>
      </c>
      <c r="AM268" s="216">
        <f t="shared" si="466"/>
        <v>260</v>
      </c>
      <c r="AN268" s="220">
        <f t="shared" si="467"/>
        <v>163.037034527804</v>
      </c>
      <c r="AP268" t="str">
        <f t="shared" si="468"/>
        <v/>
      </c>
      <c r="AQ268" t="str">
        <f t="shared" si="469"/>
        <v/>
      </c>
      <c r="AS268" s="192">
        <f t="shared" si="479"/>
        <v>6.13357574183223</v>
      </c>
      <c r="AT268" s="192">
        <f t="shared" si="470"/>
        <v>2.67857142857143</v>
      </c>
      <c r="AU268" s="192">
        <f t="shared" si="440"/>
        <v>3.4550043132608</v>
      </c>
      <c r="AV268" s="192"/>
      <c r="AW268" s="5">
        <f t="shared" si="441"/>
        <v>0.436706342485189</v>
      </c>
      <c r="AX268" s="5"/>
      <c r="BA268" s="220">
        <f t="shared" si="471"/>
        <v>4.67115663597264</v>
      </c>
      <c r="BB268" s="220">
        <f t="shared" si="472"/>
        <v>37.1382862379197</v>
      </c>
      <c r="BC268" s="192">
        <f t="shared" si="442"/>
        <v>2.13881219392335</v>
      </c>
      <c r="BD268" s="220">
        <f t="shared" si="473"/>
        <v>0</v>
      </c>
      <c r="BQ268" s="217">
        <f t="shared" si="474"/>
        <v>0.1716715</v>
      </c>
      <c r="CG268" s="227">
        <f t="shared" si="475"/>
        <v>-50</v>
      </c>
      <c r="CH268">
        <f t="shared" si="476"/>
        <v>-50</v>
      </c>
    </row>
    <row r="269" spans="5:86">
      <c r="E269" s="22">
        <v>53</v>
      </c>
      <c r="F269" s="25">
        <f t="shared" si="477"/>
        <v>0.265</v>
      </c>
      <c r="G269" s="25"/>
      <c r="H269" s="25">
        <f t="shared" si="443"/>
        <v>4.77</v>
      </c>
      <c r="I269" s="212">
        <f t="shared" si="444"/>
        <v>14</v>
      </c>
      <c r="J269" s="131">
        <f t="shared" si="445"/>
        <v>10.4110445365992</v>
      </c>
      <c r="K269" s="131">
        <f t="shared" si="446"/>
        <v>26.2728</v>
      </c>
      <c r="L269" s="131"/>
      <c r="M269" s="25">
        <f t="shared" si="447"/>
        <v>0.467129502755702</v>
      </c>
      <c r="N269" s="27">
        <f t="shared" si="448"/>
        <v>4.46381478761305</v>
      </c>
      <c r="O269" s="27">
        <f t="shared" si="478"/>
        <v>4.03032204227705</v>
      </c>
      <c r="P269" s="25">
        <f t="shared" si="449"/>
        <v>0.247989710422947</v>
      </c>
      <c r="Q269" s="25">
        <f t="shared" si="450"/>
        <v>16.8445841042002</v>
      </c>
      <c r="R269" s="25"/>
      <c r="S269" s="27">
        <f t="shared" si="451"/>
        <v>15.208762423687</v>
      </c>
      <c r="T269" s="27">
        <f t="shared" si="452"/>
        <v>15.208762423687</v>
      </c>
      <c r="U269" s="25">
        <f t="shared" si="453"/>
        <v>1.5</v>
      </c>
      <c r="V269" s="25">
        <f t="shared" si="454"/>
        <v>2.67857142857143</v>
      </c>
      <c r="W269" s="25">
        <f t="shared" si="455"/>
        <v>3.60194405740669</v>
      </c>
      <c r="X269" s="24">
        <f t="shared" si="456"/>
        <v>350</v>
      </c>
      <c r="Y269" s="131">
        <f t="shared" si="418"/>
        <v>159.222599201069</v>
      </c>
      <c r="AA269" s="25">
        <f t="shared" si="457"/>
        <v>0.68238256800458</v>
      </c>
      <c r="AB269" s="5">
        <f t="shared" si="458"/>
        <v>1.63860255713468</v>
      </c>
      <c r="AC269" s="5">
        <f t="shared" si="459"/>
        <v>0.130516504741802</v>
      </c>
      <c r="AD269" s="5"/>
      <c r="AE269" s="5">
        <f t="shared" si="460"/>
        <v>0.720388811481339</v>
      </c>
      <c r="AF269" s="216">
        <f t="shared" si="461"/>
        <v>3676.73070424627</v>
      </c>
      <c r="AG269" s="217">
        <f t="shared" si="462"/>
        <v>0.0252262152060478</v>
      </c>
      <c r="AI269" s="5">
        <f t="shared" si="463"/>
        <v>0.972339980785916</v>
      </c>
      <c r="AJ269" s="5">
        <f t="shared" si="464"/>
        <v>1.5</v>
      </c>
      <c r="AK269" s="5">
        <f t="shared" si="465"/>
        <v>2</v>
      </c>
      <c r="AM269" s="216">
        <f t="shared" si="466"/>
        <v>265</v>
      </c>
      <c r="AN269" s="220">
        <f t="shared" si="467"/>
        <v>159.222599201069</v>
      </c>
      <c r="AP269" t="str">
        <f t="shared" si="468"/>
        <v/>
      </c>
      <c r="AQ269" t="str">
        <f t="shared" si="469"/>
        <v/>
      </c>
      <c r="AS269" s="192">
        <f t="shared" si="479"/>
        <v>6.28051548597812</v>
      </c>
      <c r="AT269" s="192">
        <f t="shared" si="470"/>
        <v>2.67857142857143</v>
      </c>
      <c r="AU269" s="192">
        <f t="shared" si="440"/>
        <v>3.60194405740669</v>
      </c>
      <c r="AV269" s="192"/>
      <c r="AW269" s="5">
        <f t="shared" si="441"/>
        <v>0.426489105002863</v>
      </c>
      <c r="AX269" s="5"/>
      <c r="BA269" s="220">
        <f t="shared" si="471"/>
        <v>4.67115663597264</v>
      </c>
      <c r="BB269" s="220">
        <f t="shared" si="472"/>
        <v>38.5651279742294</v>
      </c>
      <c r="BC269" s="192">
        <f t="shared" si="442"/>
        <v>2.27265517907803</v>
      </c>
      <c r="BD269" s="220">
        <f t="shared" si="473"/>
        <v>0</v>
      </c>
      <c r="BQ269" s="217">
        <f t="shared" si="474"/>
        <v>0.174972875</v>
      </c>
      <c r="CG269" s="227">
        <f t="shared" si="475"/>
        <v>-50</v>
      </c>
      <c r="CH269">
        <f t="shared" si="476"/>
        <v>-50</v>
      </c>
    </row>
    <row r="270" spans="5:86">
      <c r="E270" s="22">
        <v>54</v>
      </c>
      <c r="F270" s="25">
        <f t="shared" si="477"/>
        <v>0.27</v>
      </c>
      <c r="G270" s="25"/>
      <c r="H270" s="25">
        <f t="shared" si="443"/>
        <v>4.86</v>
      </c>
      <c r="I270" s="212">
        <f t="shared" si="444"/>
        <v>14</v>
      </c>
      <c r="J270" s="131">
        <f t="shared" si="445"/>
        <v>9.9858493057365</v>
      </c>
      <c r="K270" s="131">
        <f t="shared" si="446"/>
        <v>26.2728</v>
      </c>
      <c r="L270" s="131"/>
      <c r="M270" s="25">
        <f t="shared" si="447"/>
        <v>0.467129502755702</v>
      </c>
      <c r="N270" s="27">
        <f t="shared" si="448"/>
        <v>4.46381478761305</v>
      </c>
      <c r="O270" s="27">
        <f t="shared" si="478"/>
        <v>3.93424784490083</v>
      </c>
      <c r="P270" s="25">
        <f t="shared" si="449"/>
        <v>0.247989710422947</v>
      </c>
      <c r="Q270" s="25">
        <f t="shared" si="450"/>
        <v>16.5326473615298</v>
      </c>
      <c r="R270" s="25"/>
      <c r="S270" s="27">
        <f t="shared" si="451"/>
        <v>14.5712883144475</v>
      </c>
      <c r="T270" s="27">
        <f t="shared" si="452"/>
        <v>14.5712883144475</v>
      </c>
      <c r="U270" s="25">
        <f t="shared" si="453"/>
        <v>1.5</v>
      </c>
      <c r="V270" s="25">
        <f t="shared" si="454"/>
        <v>2.67857142857143</v>
      </c>
      <c r="W270" s="25">
        <f t="shared" si="455"/>
        <v>3.7553140300703</v>
      </c>
      <c r="X270" s="24">
        <f t="shared" si="456"/>
        <v>350</v>
      </c>
      <c r="Y270" s="131">
        <f t="shared" si="418"/>
        <v>155.427075354107</v>
      </c>
      <c r="AA270" s="25">
        <f t="shared" si="457"/>
        <v>0.666116037231887</v>
      </c>
      <c r="AB270" s="5">
        <f t="shared" si="458"/>
        <v>1.66764993351449</v>
      </c>
      <c r="AC270" s="5">
        <f t="shared" si="459"/>
        <v>0.129663775428284</v>
      </c>
      <c r="AD270" s="5"/>
      <c r="AE270" s="5">
        <f t="shared" si="460"/>
        <v>0.751062806014059</v>
      </c>
      <c r="AF270" s="216">
        <f t="shared" si="461"/>
        <v>3593.10919546741</v>
      </c>
      <c r="AG270" s="217">
        <f t="shared" si="462"/>
        <v>0.0263003418095973</v>
      </c>
      <c r="AI270" s="5">
        <f t="shared" si="463"/>
        <v>0.961219207334499</v>
      </c>
      <c r="AJ270" s="5">
        <f t="shared" si="464"/>
        <v>1.5</v>
      </c>
      <c r="AK270" s="5">
        <f t="shared" si="465"/>
        <v>2</v>
      </c>
      <c r="AM270" s="216">
        <f t="shared" si="466"/>
        <v>270</v>
      </c>
      <c r="AN270" s="220">
        <f t="shared" si="467"/>
        <v>155.427075354107</v>
      </c>
      <c r="AP270" t="str">
        <f t="shared" si="468"/>
        <v/>
      </c>
      <c r="AQ270" t="str">
        <f t="shared" si="469"/>
        <v/>
      </c>
      <c r="AS270" s="192">
        <f t="shared" si="479"/>
        <v>6.43388545864173</v>
      </c>
      <c r="AT270" s="192">
        <f t="shared" si="470"/>
        <v>2.67857142857143</v>
      </c>
      <c r="AU270" s="192">
        <f t="shared" si="440"/>
        <v>3.7553140300703</v>
      </c>
      <c r="AV270" s="192"/>
      <c r="AW270" s="5">
        <f t="shared" si="441"/>
        <v>0.416322523269929</v>
      </c>
      <c r="AX270" s="5"/>
      <c r="BA270" s="220">
        <f t="shared" si="471"/>
        <v>4.67115663597264</v>
      </c>
      <c r="BB270" s="220">
        <f t="shared" si="472"/>
        <v>40.018861934088</v>
      </c>
      <c r="BC270" s="192">
        <f t="shared" si="442"/>
        <v>2.41413044790233</v>
      </c>
      <c r="BD270" s="220">
        <f t="shared" si="473"/>
        <v>0</v>
      </c>
      <c r="BQ270" s="217">
        <f t="shared" si="474"/>
        <v>0.17827425</v>
      </c>
      <c r="CG270" s="227">
        <f t="shared" si="475"/>
        <v>-50</v>
      </c>
      <c r="CH270">
        <f t="shared" si="476"/>
        <v>-50</v>
      </c>
    </row>
    <row r="271" spans="5:86">
      <c r="E271" s="22">
        <v>55</v>
      </c>
      <c r="F271" s="25">
        <f t="shared" si="477"/>
        <v>0.275</v>
      </c>
      <c r="G271" s="25"/>
      <c r="H271" s="25">
        <f t="shared" si="443"/>
        <v>4.95</v>
      </c>
      <c r="I271" s="212">
        <f t="shared" si="444"/>
        <v>14</v>
      </c>
      <c r="J271" s="131">
        <f t="shared" si="445"/>
        <v>9.57734899337281</v>
      </c>
      <c r="K271" s="131">
        <f t="shared" si="446"/>
        <v>26.2728</v>
      </c>
      <c r="L271" s="131"/>
      <c r="M271" s="25">
        <f t="shared" si="447"/>
        <v>0.467129502755702</v>
      </c>
      <c r="N271" s="27">
        <f t="shared" si="448"/>
        <v>4.46381478761305</v>
      </c>
      <c r="O271" s="27">
        <f t="shared" si="478"/>
        <v>3.83868211870693</v>
      </c>
      <c r="P271" s="25">
        <f t="shared" si="449"/>
        <v>0.247989710422947</v>
      </c>
      <c r="Q271" s="25">
        <f t="shared" si="450"/>
        <v>16.2320537731384</v>
      </c>
      <c r="R271" s="25"/>
      <c r="S271" s="27">
        <f t="shared" si="451"/>
        <v>13.9588440680252</v>
      </c>
      <c r="T271" s="27">
        <f t="shared" si="452"/>
        <v>13.9588440680252</v>
      </c>
      <c r="U271" s="25">
        <f t="shared" si="453"/>
        <v>1.5</v>
      </c>
      <c r="V271" s="25">
        <f t="shared" si="454"/>
        <v>2.67857142857143</v>
      </c>
      <c r="W271" s="25">
        <f t="shared" si="455"/>
        <v>3.91548851628448</v>
      </c>
      <c r="X271" s="24">
        <f t="shared" si="456"/>
        <v>350</v>
      </c>
      <c r="Y271" s="131">
        <f t="shared" si="418"/>
        <v>151.651639257558</v>
      </c>
      <c r="AA271" s="25">
        <f t="shared" si="457"/>
        <v>0.649935596818105</v>
      </c>
      <c r="AB271" s="5">
        <f t="shared" si="458"/>
        <v>1.69654357711053</v>
      </c>
      <c r="AC271" s="5">
        <f t="shared" si="459"/>
        <v>0.128706128173981</v>
      </c>
      <c r="AD271" s="5"/>
      <c r="AE271" s="5">
        <f t="shared" si="460"/>
        <v>0.783097703256897</v>
      </c>
      <c r="AF271" s="216">
        <f t="shared" si="461"/>
        <v>3509.93966107283</v>
      </c>
      <c r="AG271" s="217">
        <f t="shared" si="462"/>
        <v>0.0274221238237984</v>
      </c>
      <c r="AI271" s="5">
        <f t="shared" si="463"/>
        <v>0.950029427358594</v>
      </c>
      <c r="AJ271" s="5">
        <f t="shared" si="464"/>
        <v>1.5</v>
      </c>
      <c r="AK271" s="5">
        <f t="shared" si="465"/>
        <v>2</v>
      </c>
      <c r="AM271" s="216">
        <f t="shared" si="466"/>
        <v>275</v>
      </c>
      <c r="AN271" s="220">
        <f t="shared" si="467"/>
        <v>151.651639257558</v>
      </c>
      <c r="AP271" t="str">
        <f t="shared" si="468"/>
        <v/>
      </c>
      <c r="AQ271" t="str">
        <f t="shared" si="469"/>
        <v/>
      </c>
      <c r="AS271" s="192">
        <f t="shared" si="479"/>
        <v>6.59405994485591</v>
      </c>
      <c r="AT271" s="192">
        <f t="shared" si="470"/>
        <v>2.67857142857143</v>
      </c>
      <c r="AU271" s="192">
        <f t="shared" si="440"/>
        <v>3.91548851628448</v>
      </c>
      <c r="AV271" s="192"/>
      <c r="AW271" s="5">
        <f t="shared" si="441"/>
        <v>0.406209748011315</v>
      </c>
      <c r="AX271" s="5"/>
      <c r="BA271" s="220">
        <f t="shared" si="471"/>
        <v>4.67115663597264</v>
      </c>
      <c r="BB271" s="220">
        <f t="shared" si="472"/>
        <v>41.4994881174952</v>
      </c>
      <c r="BC271" s="192">
        <f t="shared" si="442"/>
        <v>2.56371271899579</v>
      </c>
      <c r="BD271" s="220">
        <f t="shared" si="473"/>
        <v>0</v>
      </c>
      <c r="BQ271" s="217">
        <f t="shared" si="474"/>
        <v>0.181575625</v>
      </c>
      <c r="CG271" s="227">
        <f t="shared" si="475"/>
        <v>-50</v>
      </c>
      <c r="CH271">
        <f t="shared" si="476"/>
        <v>-50</v>
      </c>
    </row>
    <row r="272" spans="5:86">
      <c r="E272" s="22">
        <v>56</v>
      </c>
      <c r="F272" s="25">
        <f t="shared" si="477"/>
        <v>0.28</v>
      </c>
      <c r="G272" s="25"/>
      <c r="H272" s="25">
        <f t="shared" si="443"/>
        <v>5.04</v>
      </c>
      <c r="I272" s="212">
        <f t="shared" si="444"/>
        <v>14</v>
      </c>
      <c r="J272" s="131">
        <f t="shared" si="445"/>
        <v>9.18472520441489</v>
      </c>
      <c r="K272" s="131">
        <f t="shared" si="446"/>
        <v>26.2728</v>
      </c>
      <c r="L272" s="131"/>
      <c r="M272" s="25">
        <f t="shared" si="447"/>
        <v>0.467129502755702</v>
      </c>
      <c r="N272" s="27">
        <f t="shared" si="448"/>
        <v>4.46381478761305</v>
      </c>
      <c r="O272" s="27">
        <f t="shared" si="478"/>
        <v>3.74365675747552</v>
      </c>
      <c r="P272" s="25">
        <f t="shared" si="449"/>
        <v>0.247989710422947</v>
      </c>
      <c r="Q272" s="25">
        <f t="shared" si="450"/>
        <v>15.9421956700466</v>
      </c>
      <c r="R272" s="25"/>
      <c r="S272" s="27">
        <f t="shared" si="451"/>
        <v>13.3702027052697</v>
      </c>
      <c r="T272" s="27">
        <f t="shared" si="452"/>
        <v>13.3702027052697</v>
      </c>
      <c r="U272" s="25">
        <f t="shared" si="453"/>
        <v>1.5</v>
      </c>
      <c r="V272" s="25">
        <f t="shared" si="454"/>
        <v>2.67857142857143</v>
      </c>
      <c r="W272" s="25">
        <f t="shared" si="455"/>
        <v>4.08286575432595</v>
      </c>
      <c r="X272" s="24">
        <f t="shared" si="456"/>
        <v>350</v>
      </c>
      <c r="Y272" s="131">
        <f t="shared" si="418"/>
        <v>147.897550912613</v>
      </c>
      <c r="AA272" s="25">
        <f t="shared" si="457"/>
        <v>0.633846646768341</v>
      </c>
      <c r="AB272" s="5">
        <f t="shared" si="458"/>
        <v>1.72527384505653</v>
      </c>
      <c r="AC272" s="5">
        <f t="shared" si="459"/>
        <v>0.127645679112808</v>
      </c>
      <c r="AD272" s="5"/>
      <c r="AE272" s="5">
        <f t="shared" si="460"/>
        <v>0.816573150865191</v>
      </c>
      <c r="AF272" s="216">
        <f t="shared" si="461"/>
        <v>3427.25045108935</v>
      </c>
      <c r="AG272" s="217">
        <f t="shared" si="462"/>
        <v>0.0285943503104218</v>
      </c>
      <c r="AI272" s="5">
        <f t="shared" si="463"/>
        <v>0.938772056005749</v>
      </c>
      <c r="AJ272" s="5">
        <f t="shared" si="464"/>
        <v>1.5</v>
      </c>
      <c r="AK272" s="5">
        <f t="shared" si="465"/>
        <v>2</v>
      </c>
      <c r="AM272" s="216">
        <f t="shared" si="466"/>
        <v>280</v>
      </c>
      <c r="AN272" s="220">
        <f t="shared" si="467"/>
        <v>147.897550912613</v>
      </c>
      <c r="AP272" t="str">
        <f t="shared" si="468"/>
        <v/>
      </c>
      <c r="AQ272" t="str">
        <f t="shared" si="469"/>
        <v/>
      </c>
      <c r="AS272" s="192">
        <f t="shared" si="479"/>
        <v>6.76143718289738</v>
      </c>
      <c r="AT272" s="192">
        <f t="shared" si="470"/>
        <v>2.67857142857143</v>
      </c>
      <c r="AU272" s="192">
        <f t="shared" si="440"/>
        <v>4.08286575432595</v>
      </c>
      <c r="AV272" s="192"/>
      <c r="AW272" s="5">
        <f t="shared" si="441"/>
        <v>0.396154154230213</v>
      </c>
      <c r="AX272" s="5"/>
      <c r="BA272" s="220">
        <f t="shared" si="471"/>
        <v>4.67115663597264</v>
      </c>
      <c r="BB272" s="220">
        <f t="shared" si="472"/>
        <v>43.0070065244512</v>
      </c>
      <c r="BC272" s="192">
        <f t="shared" si="442"/>
        <v>2.72191050288397</v>
      </c>
      <c r="BD272" s="220">
        <f t="shared" si="473"/>
        <v>0</v>
      </c>
      <c r="BQ272" s="217">
        <f t="shared" si="474"/>
        <v>0.184877</v>
      </c>
      <c r="CG272" s="227">
        <f t="shared" si="475"/>
        <v>-50</v>
      </c>
      <c r="CH272">
        <f t="shared" si="476"/>
        <v>-50</v>
      </c>
    </row>
    <row r="273" spans="5:86">
      <c r="E273" s="22">
        <v>57</v>
      </c>
      <c r="F273" s="25">
        <f t="shared" si="477"/>
        <v>0.285</v>
      </c>
      <c r="G273" s="25"/>
      <c r="H273" s="25">
        <f t="shared" si="443"/>
        <v>5.13</v>
      </c>
      <c r="I273" s="212">
        <f t="shared" si="444"/>
        <v>14</v>
      </c>
      <c r="J273" s="131">
        <f t="shared" si="445"/>
        <v>8.80722226565148</v>
      </c>
      <c r="K273" s="131">
        <f t="shared" si="446"/>
        <v>26.2728</v>
      </c>
      <c r="L273" s="131"/>
      <c r="M273" s="25">
        <f t="shared" si="447"/>
        <v>0.467129502755702</v>
      </c>
      <c r="N273" s="27">
        <f t="shared" si="448"/>
        <v>4.46381478761305</v>
      </c>
      <c r="O273" s="27">
        <f t="shared" si="478"/>
        <v>3.6492059156082</v>
      </c>
      <c r="P273" s="25">
        <f t="shared" si="449"/>
        <v>0.247989710422947</v>
      </c>
      <c r="Q273" s="25">
        <f t="shared" si="450"/>
        <v>15.6625080267124</v>
      </c>
      <c r="R273" s="25"/>
      <c r="S273" s="27">
        <f t="shared" si="451"/>
        <v>12.8042312828358</v>
      </c>
      <c r="T273" s="27">
        <f t="shared" si="452"/>
        <v>12.8042312828358</v>
      </c>
      <c r="U273" s="25">
        <f t="shared" si="453"/>
        <v>1.5</v>
      </c>
      <c r="V273" s="25">
        <f t="shared" si="454"/>
        <v>2.67857142857143</v>
      </c>
      <c r="W273" s="25">
        <f t="shared" si="455"/>
        <v>4.25786915203123</v>
      </c>
      <c r="X273" s="24">
        <f t="shared" si="456"/>
        <v>350</v>
      </c>
      <c r="Y273" s="131">
        <f t="shared" si="418"/>
        <v>144.166159628966</v>
      </c>
      <c r="AA273" s="25">
        <f t="shared" si="457"/>
        <v>0.617854969838426</v>
      </c>
      <c r="AB273" s="5">
        <f t="shared" si="458"/>
        <v>1.75383041100281</v>
      </c>
      <c r="AC273" s="5">
        <f t="shared" si="459"/>
        <v>0.126484708246132</v>
      </c>
      <c r="AD273" s="5"/>
      <c r="AE273" s="5">
        <f t="shared" si="460"/>
        <v>0.851573830406246</v>
      </c>
      <c r="AF273" s="216">
        <f t="shared" si="461"/>
        <v>3345.07192498507</v>
      </c>
      <c r="AG273" s="217">
        <f t="shared" si="462"/>
        <v>0.0298199866062507</v>
      </c>
      <c r="AI273" s="5">
        <f t="shared" si="463"/>
        <v>0.927448840712531</v>
      </c>
      <c r="AJ273" s="5">
        <f t="shared" si="464"/>
        <v>1.5</v>
      </c>
      <c r="AK273" s="5">
        <f t="shared" si="465"/>
        <v>2</v>
      </c>
      <c r="AM273" s="216">
        <f t="shared" si="466"/>
        <v>285</v>
      </c>
      <c r="AN273" s="220">
        <f t="shared" si="467"/>
        <v>144.166159628966</v>
      </c>
      <c r="AP273" t="str">
        <f t="shared" si="468"/>
        <v/>
      </c>
      <c r="AQ273" t="str">
        <f t="shared" si="469"/>
        <v/>
      </c>
      <c r="AS273" s="192">
        <f t="shared" si="479"/>
        <v>6.93644058060266</v>
      </c>
      <c r="AT273" s="192">
        <f t="shared" si="470"/>
        <v>2.67857142857143</v>
      </c>
      <c r="AU273" s="192">
        <f t="shared" si="440"/>
        <v>4.25786915203123</v>
      </c>
      <c r="AV273" s="192"/>
      <c r="AW273" s="5">
        <f t="shared" si="441"/>
        <v>0.386159356149016</v>
      </c>
      <c r="AX273" s="5"/>
      <c r="BA273" s="220">
        <f t="shared" si="471"/>
        <v>4.67115663597264</v>
      </c>
      <c r="BB273" s="220">
        <f t="shared" si="472"/>
        <v>44.541417154956</v>
      </c>
      <c r="BC273" s="192">
        <f t="shared" si="442"/>
        <v>2.88926835316405</v>
      </c>
      <c r="BD273" s="220">
        <f t="shared" si="473"/>
        <v>0</v>
      </c>
      <c r="BQ273" s="217">
        <f t="shared" si="474"/>
        <v>0.188178375</v>
      </c>
      <c r="CG273" s="227">
        <f t="shared" si="475"/>
        <v>-50</v>
      </c>
      <c r="CH273">
        <f t="shared" si="476"/>
        <v>-50</v>
      </c>
    </row>
    <row r="274" spans="5:86">
      <c r="E274" s="22">
        <v>58</v>
      </c>
      <c r="F274" s="25">
        <f t="shared" si="477"/>
        <v>0.29</v>
      </c>
      <c r="G274" s="25"/>
      <c r="H274" s="25">
        <f t="shared" si="443"/>
        <v>5.22</v>
      </c>
      <c r="I274" s="212">
        <f t="shared" si="444"/>
        <v>14</v>
      </c>
      <c r="J274" s="131">
        <f t="shared" si="445"/>
        <v>8.44414215072733</v>
      </c>
      <c r="K274" s="131">
        <f t="shared" si="446"/>
        <v>26.2728</v>
      </c>
      <c r="L274" s="131"/>
      <c r="M274" s="25">
        <f t="shared" si="447"/>
        <v>0.467129502755702</v>
      </c>
      <c r="N274" s="27">
        <f t="shared" si="448"/>
        <v>4.46381478761305</v>
      </c>
      <c r="O274" s="27">
        <f t="shared" si="478"/>
        <v>3.55536615249014</v>
      </c>
      <c r="P274" s="25">
        <f t="shared" si="449"/>
        <v>0.247989710422947</v>
      </c>
      <c r="Q274" s="25">
        <f t="shared" si="450"/>
        <v>15.3924647848726</v>
      </c>
      <c r="R274" s="25"/>
      <c r="S274" s="27">
        <f t="shared" si="451"/>
        <v>12.2598832844488</v>
      </c>
      <c r="T274" s="27">
        <f t="shared" si="452"/>
        <v>12.2598832844488</v>
      </c>
      <c r="U274" s="25">
        <f t="shared" si="453"/>
        <v>1.5</v>
      </c>
      <c r="V274" s="25">
        <f t="shared" si="454"/>
        <v>2.67857142857143</v>
      </c>
      <c r="W274" s="25">
        <f t="shared" si="455"/>
        <v>4.4409484504912</v>
      </c>
      <c r="X274" s="24">
        <f t="shared" si="456"/>
        <v>350</v>
      </c>
      <c r="Y274" s="131">
        <f t="shared" si="418"/>
        <v>140.458909728006</v>
      </c>
      <c r="AA274" s="25">
        <f t="shared" si="457"/>
        <v>0.601966755977167</v>
      </c>
      <c r="AB274" s="5">
        <f t="shared" si="458"/>
        <v>1.78220222146934</v>
      </c>
      <c r="AC274" s="5">
        <f t="shared" si="459"/>
        <v>0.125225672016443</v>
      </c>
      <c r="AD274" s="5"/>
      <c r="AE274" s="5">
        <f t="shared" si="460"/>
        <v>0.888189690098241</v>
      </c>
      <c r="AF274" s="216">
        <f t="shared" si="461"/>
        <v>3263.43657999124</v>
      </c>
      <c r="AG274" s="217">
        <f t="shared" si="462"/>
        <v>0.0311021824730151</v>
      </c>
      <c r="AI274" s="5">
        <f t="shared" si="463"/>
        <v>0.916061900901605</v>
      </c>
      <c r="AJ274" s="5">
        <f t="shared" si="464"/>
        <v>1.5</v>
      </c>
      <c r="AK274" s="5">
        <f t="shared" si="465"/>
        <v>2</v>
      </c>
      <c r="AM274" s="216">
        <f t="shared" si="466"/>
        <v>290</v>
      </c>
      <c r="AN274" s="220">
        <f t="shared" si="467"/>
        <v>140.458909728006</v>
      </c>
      <c r="AP274" t="str">
        <f t="shared" si="468"/>
        <v/>
      </c>
      <c r="AQ274" t="str">
        <f t="shared" si="469"/>
        <v/>
      </c>
      <c r="AS274" s="192">
        <f t="shared" si="479"/>
        <v>7.11951987906263</v>
      </c>
      <c r="AT274" s="192">
        <f t="shared" si="470"/>
        <v>2.67857142857143</v>
      </c>
      <c r="AU274" s="192">
        <f t="shared" si="440"/>
        <v>4.4409484504912</v>
      </c>
      <c r="AV274" s="192"/>
      <c r="AW274" s="5">
        <f t="shared" si="441"/>
        <v>0.376229222485729</v>
      </c>
      <c r="AX274" s="5"/>
      <c r="BA274" s="220">
        <f t="shared" si="471"/>
        <v>4.67115663597264</v>
      </c>
      <c r="BB274" s="220">
        <f t="shared" si="472"/>
        <v>46.1027200090095</v>
      </c>
      <c r="BC274" s="192">
        <f t="shared" si="442"/>
        <v>3.06636916819631</v>
      </c>
      <c r="BD274" s="220">
        <f t="shared" si="473"/>
        <v>0</v>
      </c>
      <c r="BQ274" s="217">
        <f t="shared" si="474"/>
        <v>0.19147975</v>
      </c>
      <c r="CG274" s="227">
        <f t="shared" si="475"/>
        <v>-50</v>
      </c>
      <c r="CH274">
        <f t="shared" si="476"/>
        <v>-50</v>
      </c>
    </row>
    <row r="275" spans="5:86">
      <c r="E275" s="22">
        <v>59</v>
      </c>
      <c r="F275" s="25">
        <f t="shared" si="477"/>
        <v>0.295</v>
      </c>
      <c r="G275" s="25"/>
      <c r="H275" s="25">
        <f t="shared" si="443"/>
        <v>5.31</v>
      </c>
      <c r="I275" s="212">
        <f t="shared" si="444"/>
        <v>14</v>
      </c>
      <c r="J275" s="131">
        <f t="shared" si="445"/>
        <v>8.09483992412661</v>
      </c>
      <c r="K275" s="131">
        <f t="shared" si="446"/>
        <v>26.2728</v>
      </c>
      <c r="L275" s="131"/>
      <c r="M275" s="25">
        <f t="shared" si="447"/>
        <v>0.467129502755702</v>
      </c>
      <c r="N275" s="27">
        <f t="shared" si="448"/>
        <v>4.46381478761305</v>
      </c>
      <c r="O275" s="27">
        <f t="shared" si="478"/>
        <v>3.46217657813696</v>
      </c>
      <c r="P275" s="25">
        <f t="shared" si="449"/>
        <v>0.247989710422947</v>
      </c>
      <c r="Q275" s="25">
        <f t="shared" si="450"/>
        <v>15.1315755512307</v>
      </c>
      <c r="R275" s="25"/>
      <c r="S275" s="27">
        <f t="shared" si="451"/>
        <v>11.7361917902948</v>
      </c>
      <c r="T275" s="27">
        <f t="shared" si="452"/>
        <v>11.7361917902948</v>
      </c>
      <c r="U275" s="25">
        <f t="shared" si="453"/>
        <v>1.5</v>
      </c>
      <c r="V275" s="25">
        <f t="shared" si="454"/>
        <v>2.67857142857143</v>
      </c>
      <c r="W275" s="25">
        <f t="shared" si="455"/>
        <v>4.63258079856916</v>
      </c>
      <c r="X275" s="24">
        <f t="shared" si="456"/>
        <v>350</v>
      </c>
      <c r="Y275" s="131">
        <f t="shared" si="418"/>
        <v>136.777346296769</v>
      </c>
      <c r="AA275" s="25">
        <f t="shared" si="457"/>
        <v>0.586188626986151</v>
      </c>
      <c r="AB275" s="5">
        <f t="shared" si="458"/>
        <v>1.81037745181044</v>
      </c>
      <c r="AC275" s="5">
        <f t="shared" si="459"/>
        <v>0.123871216482983</v>
      </c>
      <c r="AD275" s="5"/>
      <c r="AE275" s="5">
        <f t="shared" si="460"/>
        <v>0.926516159713833</v>
      </c>
      <c r="AF275" s="216">
        <f t="shared" si="461"/>
        <v>3182.37918056618</v>
      </c>
      <c r="AG275" s="217">
        <f t="shared" si="462"/>
        <v>0.0324442796227791</v>
      </c>
      <c r="AI275" s="5">
        <f t="shared" si="463"/>
        <v>0.904613771176812</v>
      </c>
      <c r="AJ275" s="5">
        <f t="shared" si="464"/>
        <v>1.5</v>
      </c>
      <c r="AK275" s="5">
        <f t="shared" si="465"/>
        <v>2</v>
      </c>
      <c r="AM275" s="216">
        <f t="shared" si="466"/>
        <v>295</v>
      </c>
      <c r="AN275" s="220">
        <f t="shared" si="467"/>
        <v>136.777346296769</v>
      </c>
      <c r="AP275" t="str">
        <f t="shared" si="468"/>
        <v/>
      </c>
      <c r="AQ275" t="str">
        <f t="shared" si="469"/>
        <v/>
      </c>
      <c r="AS275" s="192">
        <f t="shared" si="479"/>
        <v>7.31115222714059</v>
      </c>
      <c r="AT275" s="192">
        <f t="shared" si="470"/>
        <v>2.67857142857143</v>
      </c>
      <c r="AU275" s="192">
        <f t="shared" si="440"/>
        <v>4.63258079856917</v>
      </c>
      <c r="AV275" s="192"/>
      <c r="AW275" s="5">
        <f t="shared" si="441"/>
        <v>0.366367891866344</v>
      </c>
      <c r="AX275" s="5"/>
      <c r="BA275" s="220">
        <f t="shared" si="471"/>
        <v>4.67115663597264</v>
      </c>
      <c r="BB275" s="220">
        <f t="shared" si="472"/>
        <v>47.6909150866118</v>
      </c>
      <c r="BC275" s="192">
        <f t="shared" si="442"/>
        <v>3.25383651328072</v>
      </c>
      <c r="BD275" s="220">
        <f t="shared" si="473"/>
        <v>0</v>
      </c>
      <c r="BQ275" s="217">
        <f t="shared" si="474"/>
        <v>0.194781125</v>
      </c>
      <c r="CG275" s="227">
        <f t="shared" si="475"/>
        <v>-50</v>
      </c>
      <c r="CH275">
        <f t="shared" si="476"/>
        <v>-50</v>
      </c>
    </row>
    <row r="276" spans="5:86">
      <c r="E276" s="22">
        <v>60</v>
      </c>
      <c r="F276" s="25">
        <f t="shared" si="477"/>
        <v>0.3</v>
      </c>
      <c r="G276" s="25"/>
      <c r="H276" s="25">
        <f t="shared" si="443"/>
        <v>5.4</v>
      </c>
      <c r="I276" s="212">
        <f t="shared" si="444"/>
        <v>14</v>
      </c>
      <c r="J276" s="131">
        <f t="shared" si="445"/>
        <v>7.75871963806439</v>
      </c>
      <c r="K276" s="131">
        <f t="shared" si="446"/>
        <v>26.2728</v>
      </c>
      <c r="L276" s="131"/>
      <c r="M276" s="25">
        <f t="shared" si="447"/>
        <v>0.467129502755702</v>
      </c>
      <c r="N276" s="27">
        <f t="shared" si="448"/>
        <v>4.46381478761305</v>
      </c>
      <c r="O276" s="27">
        <f t="shared" si="478"/>
        <v>3.36967899763016</v>
      </c>
      <c r="P276" s="25">
        <f t="shared" si="449"/>
        <v>0.247989710422947</v>
      </c>
      <c r="Q276" s="25">
        <f t="shared" si="450"/>
        <v>14.8793826253768</v>
      </c>
      <c r="R276" s="25"/>
      <c r="S276" s="27">
        <f t="shared" si="451"/>
        <v>11.2322633254339</v>
      </c>
      <c r="T276" s="27">
        <f t="shared" si="452"/>
        <v>11.2322633254339</v>
      </c>
      <c r="U276" s="25">
        <f t="shared" si="453"/>
        <v>1.5</v>
      </c>
      <c r="V276" s="25">
        <f t="shared" si="454"/>
        <v>2.67857142857143</v>
      </c>
      <c r="W276" s="25">
        <f t="shared" si="455"/>
        <v>4.83327169292527</v>
      </c>
      <c r="X276" s="24">
        <f t="shared" si="456"/>
        <v>350</v>
      </c>
      <c r="Y276" s="131">
        <f t="shared" ref="Y276:Y316" si="480">MIN(1/(V276+W276)*1000,350)</f>
        <v>133.123120894031</v>
      </c>
      <c r="AA276" s="25">
        <f t="shared" si="457"/>
        <v>0.570527660974419</v>
      </c>
      <c r="AB276" s="5">
        <f t="shared" si="458"/>
        <v>1.83834346254568</v>
      </c>
      <c r="AC276" s="5">
        <f t="shared" si="459"/>
        <v>0.122424191009362</v>
      </c>
      <c r="AD276" s="5"/>
      <c r="AE276" s="5">
        <f t="shared" si="460"/>
        <v>0.966654338585053</v>
      </c>
      <c r="AF276" s="216">
        <f t="shared" si="461"/>
        <v>3101.93688678237</v>
      </c>
      <c r="AG276" s="217">
        <f t="shared" si="462"/>
        <v>0.0338498183014021</v>
      </c>
      <c r="AI276" s="5">
        <f t="shared" si="463"/>
        <v>0.893107448039729</v>
      </c>
      <c r="AJ276" s="5">
        <f t="shared" si="464"/>
        <v>1.5</v>
      </c>
      <c r="AK276" s="5">
        <f t="shared" si="465"/>
        <v>2</v>
      </c>
      <c r="AM276" s="216">
        <f t="shared" si="466"/>
        <v>300</v>
      </c>
      <c r="AN276" s="220">
        <f t="shared" si="467"/>
        <v>133.123120894031</v>
      </c>
      <c r="AP276" t="str">
        <f t="shared" si="468"/>
        <v/>
      </c>
      <c r="AQ276" t="str">
        <f t="shared" si="469"/>
        <v/>
      </c>
      <c r="AS276" s="192">
        <f t="shared" si="479"/>
        <v>7.5118431214967</v>
      </c>
      <c r="AT276" s="192">
        <f t="shared" si="470"/>
        <v>2.67857142857143</v>
      </c>
      <c r="AU276" s="192">
        <f t="shared" si="440"/>
        <v>4.83327169292527</v>
      </c>
      <c r="AV276" s="192"/>
      <c r="AW276" s="5">
        <f t="shared" si="441"/>
        <v>0.356579788109012</v>
      </c>
      <c r="AX276" s="5"/>
      <c r="BA276" s="220">
        <f t="shared" si="471"/>
        <v>4.67115663597264</v>
      </c>
      <c r="BB276" s="220">
        <f t="shared" si="472"/>
        <v>49.3060023877629</v>
      </c>
      <c r="BC276" s="192">
        <f t="shared" si="442"/>
        <v>3.45233692351805</v>
      </c>
      <c r="BD276" s="220">
        <f t="shared" si="473"/>
        <v>0</v>
      </c>
      <c r="BQ276" s="217">
        <f t="shared" si="474"/>
        <v>0.1980825</v>
      </c>
      <c r="CG276" s="227">
        <f t="shared" si="475"/>
        <v>-50</v>
      </c>
      <c r="CH276">
        <f t="shared" si="476"/>
        <v>-50</v>
      </c>
    </row>
    <row r="277" spans="5:86">
      <c r="E277" s="22">
        <v>61</v>
      </c>
      <c r="F277" s="25">
        <f t="shared" si="477"/>
        <v>0.305</v>
      </c>
      <c r="G277" s="25"/>
      <c r="H277" s="25">
        <f t="shared" si="443"/>
        <v>5.49</v>
      </c>
      <c r="I277" s="212">
        <f t="shared" si="444"/>
        <v>14</v>
      </c>
      <c r="J277" s="131">
        <f t="shared" si="445"/>
        <v>7.4352306232575</v>
      </c>
      <c r="K277" s="131">
        <f t="shared" si="446"/>
        <v>26.2728</v>
      </c>
      <c r="L277" s="131"/>
      <c r="M277" s="25">
        <f t="shared" si="447"/>
        <v>0.467129502755702</v>
      </c>
      <c r="N277" s="27">
        <f t="shared" si="448"/>
        <v>4.46381478761305</v>
      </c>
      <c r="O277" s="27">
        <f t="shared" si="478"/>
        <v>3.27791805111475</v>
      </c>
      <c r="P277" s="25">
        <f t="shared" si="449"/>
        <v>0.247989710422947</v>
      </c>
      <c r="Q277" s="25">
        <f t="shared" si="450"/>
        <v>14.6354583200428</v>
      </c>
      <c r="R277" s="25"/>
      <c r="S277" s="27">
        <f t="shared" si="451"/>
        <v>10.7472722987369</v>
      </c>
      <c r="T277" s="27">
        <f t="shared" si="452"/>
        <v>10.7472722987369</v>
      </c>
      <c r="U277" s="25">
        <f t="shared" si="453"/>
        <v>1.5</v>
      </c>
      <c r="V277" s="25">
        <f t="shared" si="454"/>
        <v>2.67857142857143</v>
      </c>
      <c r="W277" s="25">
        <f t="shared" si="455"/>
        <v>5.04355572814373</v>
      </c>
      <c r="X277" s="24">
        <f t="shared" si="456"/>
        <v>350</v>
      </c>
      <c r="Y277" s="131">
        <f t="shared" si="480"/>
        <v>129.497997081076</v>
      </c>
      <c r="AA277" s="25">
        <f t="shared" si="457"/>
        <v>0.554991416061756</v>
      </c>
      <c r="AB277" s="5">
        <f t="shared" si="458"/>
        <v>1.86608675703258</v>
      </c>
      <c r="AC277" s="5">
        <f t="shared" si="459"/>
        <v>0.120887662331974</v>
      </c>
      <c r="AD277" s="5"/>
      <c r="AE277" s="5">
        <f t="shared" si="460"/>
        <v>1.00871114562875</v>
      </c>
      <c r="AF277" s="216">
        <f t="shared" si="461"/>
        <v>3022.14937876866</v>
      </c>
      <c r="AG277" s="217">
        <f t="shared" si="462"/>
        <v>0.0353225425420546</v>
      </c>
      <c r="AI277" s="5">
        <f t="shared" si="463"/>
        <v>0.881546440052414</v>
      </c>
      <c r="AJ277" s="5">
        <f t="shared" si="464"/>
        <v>1.5</v>
      </c>
      <c r="AK277" s="5">
        <f t="shared" si="465"/>
        <v>2</v>
      </c>
      <c r="AM277" s="216">
        <f t="shared" si="466"/>
        <v>305</v>
      </c>
      <c r="AN277" s="220">
        <f t="shared" si="467"/>
        <v>129.497997081076</v>
      </c>
      <c r="AP277" t="str">
        <f t="shared" si="468"/>
        <v/>
      </c>
      <c r="AQ277" t="str">
        <f t="shared" si="469"/>
        <v/>
      </c>
      <c r="AS277" s="192">
        <f t="shared" si="479"/>
        <v>7.72212715671516</v>
      </c>
      <c r="AT277" s="192">
        <f t="shared" si="470"/>
        <v>2.67857142857143</v>
      </c>
      <c r="AU277" s="192">
        <f t="shared" si="440"/>
        <v>5.04355572814373</v>
      </c>
      <c r="AV277" s="192"/>
      <c r="AW277" s="5">
        <f t="shared" si="441"/>
        <v>0.346869635038597</v>
      </c>
      <c r="AX277" s="5"/>
      <c r="BA277" s="220">
        <f t="shared" si="471"/>
        <v>4.67115663597264</v>
      </c>
      <c r="BB277" s="220">
        <f t="shared" si="472"/>
        <v>50.9479819124627</v>
      </c>
      <c r="BC277" s="192">
        <f t="shared" si="442"/>
        <v>3.6625821359139</v>
      </c>
      <c r="BD277" s="220">
        <f t="shared" si="473"/>
        <v>0</v>
      </c>
      <c r="BQ277" s="217">
        <f t="shared" si="474"/>
        <v>0.201383875</v>
      </c>
      <c r="CG277" s="227">
        <f t="shared" si="475"/>
        <v>-50</v>
      </c>
      <c r="CH277">
        <f t="shared" si="476"/>
        <v>-50</v>
      </c>
    </row>
    <row r="278" spans="5:86">
      <c r="E278" s="22">
        <v>62</v>
      </c>
      <c r="F278" s="25">
        <f t="shared" si="477"/>
        <v>0.31</v>
      </c>
      <c r="G278" s="25"/>
      <c r="H278" s="25">
        <f t="shared" si="443"/>
        <v>5.58</v>
      </c>
      <c r="I278" s="212">
        <f t="shared" si="444"/>
        <v>14</v>
      </c>
      <c r="J278" s="131">
        <f t="shared" si="445"/>
        <v>7.12386412031453</v>
      </c>
      <c r="K278" s="131">
        <f t="shared" si="446"/>
        <v>26.2728</v>
      </c>
      <c r="L278" s="131"/>
      <c r="M278" s="25">
        <f t="shared" si="447"/>
        <v>0.467129502755702</v>
      </c>
      <c r="N278" s="27">
        <f t="shared" si="448"/>
        <v>4.46381478761305</v>
      </c>
      <c r="O278" s="27">
        <f t="shared" si="478"/>
        <v>3.18694134527362</v>
      </c>
      <c r="P278" s="25">
        <f t="shared" si="449"/>
        <v>0.247989710422947</v>
      </c>
      <c r="Q278" s="25">
        <f t="shared" si="450"/>
        <v>14.3994025406872</v>
      </c>
      <c r="R278" s="25"/>
      <c r="S278" s="27">
        <f t="shared" si="451"/>
        <v>10.2804559524955</v>
      </c>
      <c r="T278" s="27">
        <f t="shared" si="452"/>
        <v>10.2804559524955</v>
      </c>
      <c r="U278" s="25">
        <f t="shared" si="453"/>
        <v>1.5</v>
      </c>
      <c r="V278" s="25">
        <f t="shared" si="454"/>
        <v>2.67857142857143</v>
      </c>
      <c r="W278" s="25">
        <f t="shared" si="455"/>
        <v>5.26399709015566</v>
      </c>
      <c r="X278" s="24">
        <f t="shared" si="456"/>
        <v>350</v>
      </c>
      <c r="Y278" s="131">
        <f t="shared" si="480"/>
        <v>125.903855615748</v>
      </c>
      <c r="AA278" s="25">
        <f t="shared" si="457"/>
        <v>0.539587952638919</v>
      </c>
      <c r="AB278" s="5">
        <f t="shared" si="458"/>
        <v>1.89359294171622</v>
      </c>
      <c r="AC278" s="5">
        <f t="shared" si="459"/>
        <v>0.119264928827501</v>
      </c>
      <c r="AD278" s="5"/>
      <c r="AE278" s="5">
        <f t="shared" si="460"/>
        <v>1.05279941803113</v>
      </c>
      <c r="AF278" s="216">
        <f t="shared" si="461"/>
        <v>2943.05897357655</v>
      </c>
      <c r="AG278" s="217">
        <f t="shared" si="462"/>
        <v>0.0368664036209052</v>
      </c>
      <c r="AI278" s="5">
        <f t="shared" si="463"/>
        <v>0.869934821239729</v>
      </c>
      <c r="AJ278" s="5">
        <f t="shared" si="464"/>
        <v>1.5</v>
      </c>
      <c r="AK278" s="5">
        <f t="shared" si="465"/>
        <v>2</v>
      </c>
      <c r="AM278" s="216">
        <f t="shared" si="466"/>
        <v>310</v>
      </c>
      <c r="AN278" s="220">
        <f t="shared" si="467"/>
        <v>125.903855615748</v>
      </c>
      <c r="AP278" t="str">
        <f t="shared" si="468"/>
        <v/>
      </c>
      <c r="AQ278" t="str">
        <f t="shared" si="469"/>
        <v/>
      </c>
      <c r="AS278" s="192">
        <f t="shared" si="479"/>
        <v>7.94256851872709</v>
      </c>
      <c r="AT278" s="192">
        <f t="shared" si="470"/>
        <v>2.67857142857143</v>
      </c>
      <c r="AU278" s="192">
        <f t="shared" si="440"/>
        <v>5.26399709015566</v>
      </c>
      <c r="AV278" s="192"/>
      <c r="AW278" s="5">
        <f t="shared" si="441"/>
        <v>0.337242470399325</v>
      </c>
      <c r="AX278" s="5"/>
      <c r="BA278" s="220">
        <f t="shared" si="471"/>
        <v>4.67115663597264</v>
      </c>
      <c r="BB278" s="220">
        <f t="shared" si="472"/>
        <v>52.6168536607113</v>
      </c>
      <c r="BC278" s="192">
        <f t="shared" si="442"/>
        <v>3.88533118559108</v>
      </c>
      <c r="BD278" s="220">
        <f t="shared" si="473"/>
        <v>0</v>
      </c>
      <c r="BQ278" s="217">
        <f t="shared" si="474"/>
        <v>0.20468525</v>
      </c>
      <c r="CG278" s="227">
        <f t="shared" si="475"/>
        <v>-50</v>
      </c>
      <c r="CH278">
        <f t="shared" si="476"/>
        <v>-50</v>
      </c>
    </row>
    <row r="279" spans="5:86">
      <c r="E279" s="22">
        <v>63</v>
      </c>
      <c r="F279" s="25">
        <f t="shared" si="477"/>
        <v>0.315</v>
      </c>
      <c r="G279" s="25"/>
      <c r="H279" s="25">
        <f t="shared" si="443"/>
        <v>5.67</v>
      </c>
      <c r="I279" s="212">
        <f t="shared" si="444"/>
        <v>14</v>
      </c>
      <c r="J279" s="131">
        <f t="shared" si="445"/>
        <v>6.82415020314725</v>
      </c>
      <c r="K279" s="131">
        <f t="shared" si="446"/>
        <v>26.2728</v>
      </c>
      <c r="L279" s="131"/>
      <c r="M279" s="25">
        <f t="shared" si="447"/>
        <v>0.467129502755702</v>
      </c>
      <c r="N279" s="27">
        <f t="shared" si="448"/>
        <v>4.46381478761305</v>
      </c>
      <c r="O279" s="27">
        <f t="shared" si="478"/>
        <v>3.09679957120148</v>
      </c>
      <c r="P279" s="25">
        <f t="shared" si="449"/>
        <v>0.247989710422947</v>
      </c>
      <c r="Q279" s="25">
        <f t="shared" si="450"/>
        <v>14.170840595597</v>
      </c>
      <c r="R279" s="25"/>
      <c r="S279" s="27">
        <f t="shared" si="451"/>
        <v>9.83110974984595</v>
      </c>
      <c r="T279" s="27">
        <f t="shared" si="452"/>
        <v>9.83110974984595</v>
      </c>
      <c r="U279" s="25">
        <f t="shared" si="453"/>
        <v>1.5</v>
      </c>
      <c r="V279" s="25">
        <f t="shared" si="454"/>
        <v>2.67857142857143</v>
      </c>
      <c r="W279" s="25">
        <f t="shared" si="455"/>
        <v>5.49518971354195</v>
      </c>
      <c r="X279" s="24">
        <f t="shared" si="456"/>
        <v>350</v>
      </c>
      <c r="Y279" s="131">
        <f t="shared" si="480"/>
        <v>122.342699109194</v>
      </c>
      <c r="AA279" s="25">
        <f t="shared" si="457"/>
        <v>0.524325853325118</v>
      </c>
      <c r="AB279" s="5">
        <f t="shared" si="458"/>
        <v>1.92084669049086</v>
      </c>
      <c r="AC279" s="5">
        <f t="shared" si="459"/>
        <v>0.11755953473698</v>
      </c>
      <c r="AD279" s="5"/>
      <c r="AE279" s="5">
        <f t="shared" si="460"/>
        <v>1.09903794270839</v>
      </c>
      <c r="AF279" s="216">
        <f t="shared" si="461"/>
        <v>2864.71072995687</v>
      </c>
      <c r="AG279" s="217">
        <f t="shared" si="462"/>
        <v>0.0384855611587911</v>
      </c>
      <c r="AI279" s="5">
        <f t="shared" si="463"/>
        <v>0.85827728735468</v>
      </c>
      <c r="AJ279" s="5">
        <f t="shared" si="464"/>
        <v>1.5</v>
      </c>
      <c r="AK279" s="5">
        <f t="shared" si="465"/>
        <v>2</v>
      </c>
      <c r="AM279" s="216">
        <f t="shared" si="466"/>
        <v>315</v>
      </c>
      <c r="AN279" s="220">
        <f t="shared" si="467"/>
        <v>122.342699109194</v>
      </c>
      <c r="AP279" t="str">
        <f t="shared" si="468"/>
        <v/>
      </c>
      <c r="AQ279" t="str">
        <f t="shared" si="469"/>
        <v/>
      </c>
      <c r="AS279" s="192">
        <f t="shared" si="479"/>
        <v>8.17376114211338</v>
      </c>
      <c r="AT279" s="192">
        <f t="shared" si="470"/>
        <v>2.67857142857143</v>
      </c>
      <c r="AU279" s="192">
        <f t="shared" si="440"/>
        <v>5.49518971354195</v>
      </c>
      <c r="AV279" s="192"/>
      <c r="AW279" s="5">
        <f t="shared" si="441"/>
        <v>0.327703658328198</v>
      </c>
      <c r="AX279" s="5"/>
      <c r="BA279" s="220">
        <f t="shared" si="471"/>
        <v>4.67115663597264</v>
      </c>
      <c r="BB279" s="220">
        <f t="shared" si="472"/>
        <v>54.3126176325086</v>
      </c>
      <c r="BC279" s="192">
        <f t="shared" si="442"/>
        <v>4.12139228515646</v>
      </c>
      <c r="BD279" s="220">
        <f t="shared" si="473"/>
        <v>0</v>
      </c>
      <c r="BQ279" s="217">
        <f t="shared" si="474"/>
        <v>0.207986625</v>
      </c>
      <c r="CG279" s="227">
        <f t="shared" si="475"/>
        <v>-50</v>
      </c>
      <c r="CH279">
        <f t="shared" si="476"/>
        <v>-50</v>
      </c>
    </row>
    <row r="280" spans="5:86">
      <c r="E280" s="22">
        <v>64</v>
      </c>
      <c r="F280" s="25">
        <f t="shared" si="477"/>
        <v>0.32</v>
      </c>
      <c r="G280" s="25"/>
      <c r="H280" s="25">
        <f t="shared" ref="H280:H311" si="481">F280*Vout</f>
        <v>5.76</v>
      </c>
      <c r="I280" s="212">
        <f t="shared" ref="I280:I316" si="482">VIN_max</f>
        <v>14</v>
      </c>
      <c r="J280" s="131">
        <f t="shared" ref="J280:J316" si="483">(T280+Vfwd1)*Nps</f>
        <v>6.53565494954125</v>
      </c>
      <c r="K280" s="131">
        <f t="shared" ref="K280:K316" si="484">(Vout+Vfwd1)*Nps+I280</f>
        <v>26.2728</v>
      </c>
      <c r="L280" s="131"/>
      <c r="M280" s="25">
        <f t="shared" ref="M280:M316" si="485">(Vout+Vfwd1)*Nps/((Vout+Vfwd1)*Nps+I280)</f>
        <v>0.467129502755702</v>
      </c>
      <c r="N280" s="27">
        <f t="shared" ref="N280:N311" si="486">M280*I280*(Isw_max+VIN_max/Lmag*ILIM_delay)*0.5*Efficiency</f>
        <v>4.46381478761305</v>
      </c>
      <c r="O280" s="27">
        <f t="shared" si="478"/>
        <v>3.00754660247856</v>
      </c>
      <c r="P280" s="25">
        <f t="shared" ref="P280:P311" si="487">N280/Vout</f>
        <v>0.247989710422947</v>
      </c>
      <c r="Q280" s="25">
        <f t="shared" ref="Q280:Q316" si="488">MIN(Vout,N280/F280)</f>
        <v>13.9494212112908</v>
      </c>
      <c r="R280" s="25"/>
      <c r="S280" s="27">
        <f t="shared" ref="S280:S316" si="489">(SQRT(Isw_max^2*Nps^2*I280^2+4*Isw_max*F280/Efficiency*(Nps^2*Vfwd1*I280-Nps*I280^2)+4*(F280/Efficiency)^2*Nps^2*Vfwd1^2+8*(F280/Efficiency)^2*Nps*Vfwd1*I280+4*(F280/Efficiency)^2*I280^2)-2*F280/Efficiency*I280-2*F280/Efficiency*Nps*Vfwd1+Isw_max*Nps*I280)/(4*F280/Efficiency*Nps)</f>
        <v>9.3985831327455</v>
      </c>
      <c r="T280" s="27">
        <f t="shared" ref="T280:T311" si="490">MIN(Vout,S280)</f>
        <v>9.3985831327455</v>
      </c>
      <c r="U280" s="25">
        <f t="shared" ref="U280:U316" si="491">MIN(2*Vout*F280/(Efficiency*I280*M280),Isw_max)</f>
        <v>1.5</v>
      </c>
      <c r="V280" s="25">
        <f t="shared" ref="V280:V311" si="492">L*U280/I280*1000000</f>
        <v>2.67857142857143</v>
      </c>
      <c r="W280" s="25">
        <f t="shared" ref="W280:W316" si="493">L*U280/J280*1000000</f>
        <v>5.73775700974425</v>
      </c>
      <c r="X280" s="24">
        <f t="shared" ref="X280:X316" si="494">IF(1/((350000*L)*(1/I280+1/J280))&gt;Isw_min,350,0.001/((Isw_min*L)*(1/I280+1/J280)))</f>
        <v>350</v>
      </c>
      <c r="Y280" s="131">
        <f t="shared" si="480"/>
        <v>118.816655900388</v>
      </c>
      <c r="AA280" s="25">
        <f t="shared" ref="AA280:AA316" si="495">1/((X280*1000*L)*(1/I280+1/J280))</f>
        <v>0.509214239573089</v>
      </c>
      <c r="AB280" s="5">
        <f t="shared" ref="AB280:AB311" si="496">L*AA280/J280*1000000</f>
        <v>1.94783171504805</v>
      </c>
      <c r="AC280" s="5">
        <f t="shared" ref="AC280:AC311" si="497">0.5*AB280*AA280*Nps*X280/1000</f>
        <v>0.115775284032023</v>
      </c>
      <c r="AD280" s="5"/>
      <c r="AE280" s="5">
        <f t="shared" ref="AE280:AE316" si="498">L*Isw_min/J280*1000000</f>
        <v>1.14755140194885</v>
      </c>
      <c r="AF280" s="216">
        <f t="shared" ref="AF280:AF311" si="499">MAX(12000,F280/(0.5*AE280/1000000*Isw_min*Nps))/1000</f>
        <v>2787.1525355365</v>
      </c>
      <c r="AG280" s="217">
        <f t="shared" ref="AG280:AG316" si="500">0.5*AE280/1000000*Isw_min*Nps*X280*1000</f>
        <v>0.0401843812177438</v>
      </c>
      <c r="AI280" s="5">
        <f t="shared" ref="AI280:AI316" si="501">SQRT(F280/(0.5*L/J280*Fsw_DCM*Nps))</f>
        <v>0.846579214415765</v>
      </c>
      <c r="AJ280" s="5">
        <f t="shared" ref="AJ280:AJ311" si="502">MAX(IF(F280&gt;AC280,U280,AI280),Isw_min)</f>
        <v>1.5</v>
      </c>
      <c r="AK280" s="5">
        <f t="shared" ref="AK280:AK311" si="503">IF(F280&gt;AG280,(AJ280-Isw_min)/1.2*0.8+1.2,AF280*0.2/350+1)</f>
        <v>2</v>
      </c>
      <c r="AM280" s="216">
        <f t="shared" ref="AM280:AM316" si="504">F280*1000</f>
        <v>320</v>
      </c>
      <c r="AN280" s="220">
        <f t="shared" ref="AN280:AN316" si="505">IF(F280&gt;AG280,Y280,AF280)</f>
        <v>118.816655900388</v>
      </c>
      <c r="AP280" t="str">
        <f t="shared" ref="AP280:AP316" si="506">IF(H280&gt;N280,"",AM280)</f>
        <v/>
      </c>
      <c r="AQ280" t="str">
        <f t="shared" ref="AQ280:AQ316" si="507">IF(H280&gt;N280,"",AN280)</f>
        <v/>
      </c>
      <c r="AS280" s="192">
        <f t="shared" si="479"/>
        <v>8.41632843831568</v>
      </c>
      <c r="AT280" s="192">
        <f t="shared" ref="AT280:AT316" si="508">L*AJ280/I280*1000000</f>
        <v>2.67857142857143</v>
      </c>
      <c r="AU280" s="192">
        <f t="shared" si="440"/>
        <v>5.73775700974425</v>
      </c>
      <c r="AV280" s="192"/>
      <c r="AW280" s="5">
        <f t="shared" si="441"/>
        <v>0.318258899733181</v>
      </c>
      <c r="AX280" s="5"/>
      <c r="BA280" s="220">
        <f t="shared" ref="BA280:BA316" si="509">L*Isw_max^2/(2*Vout_ripple*Vout)*1000000000*((1+M280)/2)^2</f>
        <v>4.67115663597264</v>
      </c>
      <c r="BB280" s="220">
        <f t="shared" ref="BB280:BB316" si="510">L*F280^2/(2*Cout*Vout*Nps^2)*1000000000*((1+M280)/(1-M280))^2+F280*RCoutEsr</f>
        <v>56.0352738278547</v>
      </c>
      <c r="BC280" s="192">
        <f t="shared" si="442"/>
        <v>4.37162438837657</v>
      </c>
      <c r="BD280" s="220">
        <f t="shared" ref="BD280:BD316" si="511">((CB280/I280/Efficiency)*AU280/Cin+(CB280/I280/Efficiency)*RCinEsr)*1000</f>
        <v>0</v>
      </c>
      <c r="BQ280" s="217">
        <f t="shared" ref="BQ280:BQ316" si="512">(Vfwd2*F280+BG280^2*Rdiode)*(1+Diode_TC/1000*(Ta-25))</f>
        <v>0.211288</v>
      </c>
      <c r="CG280" s="227">
        <f t="shared" ref="CG280:CG316" si="513">IF(ABS(F280-Ioutmax_Vinmax)&lt;Iout/200,AN280,-50)</f>
        <v>-50</v>
      </c>
      <c r="CH280">
        <f t="shared" ref="CH280:CH316" si="514">IF(ABS(F280-Ioutmax_Vinmin)&lt;Iout/200,N280*CC280,-50)</f>
        <v>-50</v>
      </c>
    </row>
    <row r="281" spans="5:86">
      <c r="E281" s="22">
        <v>65</v>
      </c>
      <c r="F281" s="25">
        <f t="shared" ref="F281:F312" si="515">IF(PLOT_TYPE=1,E281/100*Iout_max,min_I*EXP(N281*rr/100))</f>
        <v>0.325</v>
      </c>
      <c r="G281" s="25"/>
      <c r="H281" s="25">
        <f t="shared" si="481"/>
        <v>5.85</v>
      </c>
      <c r="I281" s="212">
        <f t="shared" si="482"/>
        <v>14</v>
      </c>
      <c r="J281" s="131">
        <f t="shared" si="483"/>
        <v>6.25797781700664</v>
      </c>
      <c r="K281" s="131">
        <f t="shared" si="484"/>
        <v>26.2728</v>
      </c>
      <c r="L281" s="131"/>
      <c r="M281" s="25">
        <f t="shared" si="485"/>
        <v>0.467129502755702</v>
      </c>
      <c r="N281" s="27">
        <f t="shared" si="486"/>
        <v>4.46381478761305</v>
      </c>
      <c r="O281" s="27">
        <f t="shared" si="478"/>
        <v>2.91923956600773</v>
      </c>
      <c r="P281" s="25">
        <f t="shared" si="487"/>
        <v>0.247989710422947</v>
      </c>
      <c r="Q281" s="25">
        <f t="shared" si="488"/>
        <v>13.7348147311171</v>
      </c>
      <c r="R281" s="25"/>
      <c r="S281" s="27">
        <f t="shared" si="489"/>
        <v>8.9822755877161</v>
      </c>
      <c r="T281" s="27">
        <f t="shared" si="490"/>
        <v>8.9822755877161</v>
      </c>
      <c r="U281" s="25">
        <f t="shared" si="491"/>
        <v>1.5</v>
      </c>
      <c r="V281" s="25">
        <f t="shared" si="492"/>
        <v>2.67857142857143</v>
      </c>
      <c r="W281" s="25">
        <f t="shared" si="493"/>
        <v>5.99235105916967</v>
      </c>
      <c r="X281" s="24">
        <f t="shared" si="494"/>
        <v>350</v>
      </c>
      <c r="Y281" s="131">
        <f t="shared" si="480"/>
        <v>115.327982854626</v>
      </c>
      <c r="AA281" s="25">
        <f t="shared" si="495"/>
        <v>0.494262783662685</v>
      </c>
      <c r="AB281" s="5">
        <f t="shared" si="496"/>
        <v>1.97453074345949</v>
      </c>
      <c r="AC281" s="5">
        <f t="shared" si="497"/>
        <v>0.113916253525746</v>
      </c>
      <c r="AD281" s="5"/>
      <c r="AE281" s="5">
        <f t="shared" si="498"/>
        <v>1.19847021183393</v>
      </c>
      <c r="AF281" s="216">
        <f t="shared" si="499"/>
        <v>2710.43516978465</v>
      </c>
      <c r="AG281" s="217">
        <f t="shared" si="500"/>
        <v>0.0419674306428948</v>
      </c>
      <c r="AI281" s="5">
        <f t="shared" si="501"/>
        <v>0.834846718660923</v>
      </c>
      <c r="AJ281" s="5">
        <f t="shared" si="502"/>
        <v>1.5</v>
      </c>
      <c r="AK281" s="5">
        <f t="shared" si="503"/>
        <v>2</v>
      </c>
      <c r="AM281" s="216">
        <f t="shared" si="504"/>
        <v>325</v>
      </c>
      <c r="AN281" s="220">
        <f t="shared" si="505"/>
        <v>115.327982854626</v>
      </c>
      <c r="AP281" t="str">
        <f t="shared" si="506"/>
        <v/>
      </c>
      <c r="AQ281" t="str">
        <f t="shared" si="507"/>
        <v/>
      </c>
      <c r="AS281" s="192">
        <f t="shared" si="479"/>
        <v>8.67092248774109</v>
      </c>
      <c r="AT281" s="192">
        <f t="shared" si="508"/>
        <v>2.67857142857143</v>
      </c>
      <c r="AU281" s="192">
        <f t="shared" si="440"/>
        <v>5.99235105916967</v>
      </c>
      <c r="AV281" s="192"/>
      <c r="AW281" s="5">
        <f t="shared" si="441"/>
        <v>0.308914239789178</v>
      </c>
      <c r="AX281" s="5"/>
      <c r="BA281" s="220">
        <f t="shared" si="509"/>
        <v>4.67115663597264</v>
      </c>
      <c r="BB281" s="220">
        <f t="shared" si="510"/>
        <v>57.7848222467495</v>
      </c>
      <c r="BC281" s="192">
        <f t="shared" si="442"/>
        <v>4.63693831959557</v>
      </c>
      <c r="BD281" s="220">
        <f t="shared" si="511"/>
        <v>0</v>
      </c>
      <c r="BQ281" s="217">
        <f t="shared" si="512"/>
        <v>0.214589375</v>
      </c>
      <c r="CG281" s="227">
        <f t="shared" si="513"/>
        <v>-50</v>
      </c>
      <c r="CH281">
        <f t="shared" si="514"/>
        <v>-50</v>
      </c>
    </row>
    <row r="282" spans="5:86">
      <c r="E282" s="22">
        <v>66</v>
      </c>
      <c r="F282" s="25">
        <f t="shared" si="515"/>
        <v>0.33</v>
      </c>
      <c r="G282" s="25"/>
      <c r="H282" s="25">
        <f t="shared" si="481"/>
        <v>5.94</v>
      </c>
      <c r="I282" s="212">
        <f t="shared" si="482"/>
        <v>14</v>
      </c>
      <c r="J282" s="131">
        <f t="shared" si="483"/>
        <v>5.99074918443928</v>
      </c>
      <c r="K282" s="131">
        <f t="shared" si="484"/>
        <v>26.2728</v>
      </c>
      <c r="L282" s="131"/>
      <c r="M282" s="25">
        <f t="shared" si="485"/>
        <v>0.467129502755702</v>
      </c>
      <c r="N282" s="27">
        <f t="shared" si="486"/>
        <v>4.46381478761305</v>
      </c>
      <c r="O282" s="27">
        <f t="shared" si="478"/>
        <v>2.83193887685901</v>
      </c>
      <c r="P282" s="25">
        <f t="shared" si="487"/>
        <v>0.247989710422947</v>
      </c>
      <c r="Q282" s="25">
        <f t="shared" si="488"/>
        <v>13.5267114776153</v>
      </c>
      <c r="R282" s="25"/>
      <c r="S282" s="27">
        <f t="shared" si="489"/>
        <v>8.58163296017883</v>
      </c>
      <c r="T282" s="27">
        <f t="shared" si="490"/>
        <v>8.58163296017883</v>
      </c>
      <c r="U282" s="25">
        <f t="shared" si="491"/>
        <v>1.5</v>
      </c>
      <c r="V282" s="25">
        <f t="shared" si="492"/>
        <v>2.67857142857143</v>
      </c>
      <c r="W282" s="25">
        <f t="shared" si="493"/>
        <v>6.25965114637159</v>
      </c>
      <c r="X282" s="24">
        <f t="shared" si="494"/>
        <v>350</v>
      </c>
      <c r="Y282" s="131">
        <f t="shared" si="480"/>
        <v>111.879066740109</v>
      </c>
      <c r="AA282" s="25">
        <f t="shared" si="495"/>
        <v>0.479481714600468</v>
      </c>
      <c r="AB282" s="5">
        <f t="shared" si="496"/>
        <v>2.00092550964202</v>
      </c>
      <c r="AC282" s="5">
        <f t="shared" si="497"/>
        <v>0.111986804737272</v>
      </c>
      <c r="AD282" s="5"/>
      <c r="AE282" s="5">
        <f t="shared" si="498"/>
        <v>1.25193022927432</v>
      </c>
      <c r="AF282" s="216">
        <f t="shared" si="499"/>
        <v>2634.61233498579</v>
      </c>
      <c r="AG282" s="217">
        <f t="shared" si="500"/>
        <v>0.0438394668036134</v>
      </c>
      <c r="AI282" s="5">
        <f t="shared" si="501"/>
        <v>0.823086716744998</v>
      </c>
      <c r="AJ282" s="5">
        <f t="shared" si="502"/>
        <v>1.5</v>
      </c>
      <c r="AK282" s="5">
        <f t="shared" si="503"/>
        <v>2</v>
      </c>
      <c r="AM282" s="216">
        <f t="shared" si="504"/>
        <v>330</v>
      </c>
      <c r="AN282" s="220">
        <f t="shared" si="505"/>
        <v>111.879066740109</v>
      </c>
      <c r="AP282" t="str">
        <f t="shared" si="506"/>
        <v/>
      </c>
      <c r="AQ282" t="str">
        <f t="shared" si="507"/>
        <v/>
      </c>
      <c r="AS282" s="192">
        <f t="shared" si="479"/>
        <v>8.93822257494302</v>
      </c>
      <c r="AT282" s="192">
        <f t="shared" si="508"/>
        <v>2.67857142857143</v>
      </c>
      <c r="AU282" s="192">
        <f t="shared" si="440"/>
        <v>6.25965114637159</v>
      </c>
      <c r="AV282" s="192"/>
      <c r="AW282" s="5">
        <f t="shared" si="441"/>
        <v>0.299676071625292</v>
      </c>
      <c r="AX282" s="5"/>
      <c r="BA282" s="220">
        <f t="shared" si="509"/>
        <v>4.67115663597264</v>
      </c>
      <c r="BB282" s="220">
        <f t="shared" si="510"/>
        <v>59.5612628891931</v>
      </c>
      <c r="BC282" s="192">
        <f t="shared" si="442"/>
        <v>4.91829732929197</v>
      </c>
      <c r="BD282" s="220">
        <f t="shared" si="511"/>
        <v>0</v>
      </c>
      <c r="BQ282" s="217">
        <f t="shared" si="512"/>
        <v>0.21789075</v>
      </c>
      <c r="CG282" s="227">
        <f t="shared" si="513"/>
        <v>-50</v>
      </c>
      <c r="CH282">
        <f t="shared" si="514"/>
        <v>-50</v>
      </c>
    </row>
    <row r="283" spans="5:86">
      <c r="E283" s="22">
        <v>67</v>
      </c>
      <c r="F283" s="25">
        <f t="shared" si="515"/>
        <v>0.335</v>
      </c>
      <c r="G283" s="25"/>
      <c r="H283" s="25">
        <f t="shared" si="481"/>
        <v>6.03</v>
      </c>
      <c r="I283" s="212">
        <f t="shared" si="482"/>
        <v>14</v>
      </c>
      <c r="J283" s="131">
        <f t="shared" si="483"/>
        <v>5.73362802215302</v>
      </c>
      <c r="K283" s="131">
        <f t="shared" si="484"/>
        <v>26.2728</v>
      </c>
      <c r="L283" s="131"/>
      <c r="M283" s="25">
        <f t="shared" si="485"/>
        <v>0.467129502755702</v>
      </c>
      <c r="N283" s="27">
        <f t="shared" si="486"/>
        <v>4.46381478761305</v>
      </c>
      <c r="O283" s="27">
        <f t="shared" si="478"/>
        <v>2.74570822701838</v>
      </c>
      <c r="P283" s="25">
        <f t="shared" si="487"/>
        <v>0.247989710422947</v>
      </c>
      <c r="Q283" s="25">
        <f t="shared" si="488"/>
        <v>13.3248202615315</v>
      </c>
      <c r="R283" s="25"/>
      <c r="S283" s="27">
        <f t="shared" si="489"/>
        <v>8.1961439612489</v>
      </c>
      <c r="T283" s="27">
        <f t="shared" si="490"/>
        <v>8.1961439612489</v>
      </c>
      <c r="U283" s="25">
        <f t="shared" si="491"/>
        <v>1.5</v>
      </c>
      <c r="V283" s="25">
        <f t="shared" si="492"/>
        <v>2.67857142857143</v>
      </c>
      <c r="W283" s="25">
        <f t="shared" si="493"/>
        <v>6.54036150498624</v>
      </c>
      <c r="X283" s="24">
        <f t="shared" si="494"/>
        <v>350</v>
      </c>
      <c r="Y283" s="131">
        <f t="shared" si="480"/>
        <v>108.472423783442</v>
      </c>
      <c r="AA283" s="25">
        <f t="shared" si="495"/>
        <v>0.464881816214752</v>
      </c>
      <c r="AB283" s="5">
        <f t="shared" si="496"/>
        <v>2.02699675675937</v>
      </c>
      <c r="AC283" s="5">
        <f t="shared" si="497"/>
        <v>0.109991593916234</v>
      </c>
      <c r="AD283" s="5"/>
      <c r="AE283" s="5">
        <f t="shared" si="498"/>
        <v>1.30807230099725</v>
      </c>
      <c r="AF283" s="216">
        <f t="shared" si="499"/>
        <v>2559.74064623856</v>
      </c>
      <c r="AG283" s="217">
        <f t="shared" si="500"/>
        <v>0.0458054218001712</v>
      </c>
      <c r="AI283" s="5">
        <f t="shared" si="501"/>
        <v>0.811306984635586</v>
      </c>
      <c r="AJ283" s="5">
        <f t="shared" si="502"/>
        <v>1.5</v>
      </c>
      <c r="AK283" s="5">
        <f t="shared" si="503"/>
        <v>2</v>
      </c>
      <c r="AM283" s="216">
        <f t="shared" si="504"/>
        <v>335</v>
      </c>
      <c r="AN283" s="220">
        <f t="shared" si="505"/>
        <v>108.472423783442</v>
      </c>
      <c r="AP283" t="str">
        <f t="shared" si="506"/>
        <v/>
      </c>
      <c r="AQ283" t="str">
        <f t="shared" si="507"/>
        <v/>
      </c>
      <c r="AS283" s="192">
        <f t="shared" si="479"/>
        <v>9.21893293355767</v>
      </c>
      <c r="AT283" s="192">
        <f t="shared" si="508"/>
        <v>2.67857142857143</v>
      </c>
      <c r="AU283" s="192">
        <f t="shared" si="440"/>
        <v>6.54036150498624</v>
      </c>
      <c r="AV283" s="192"/>
      <c r="AW283" s="5">
        <f t="shared" si="441"/>
        <v>0.29055113513422</v>
      </c>
      <c r="AX283" s="5"/>
      <c r="BA283" s="220">
        <f t="shared" si="509"/>
        <v>4.67115663597264</v>
      </c>
      <c r="BB283" s="220">
        <f t="shared" si="510"/>
        <v>61.3645957551855</v>
      </c>
      <c r="BC283" s="192">
        <f t="shared" si="442"/>
        <v>5.21671691469141</v>
      </c>
      <c r="BD283" s="220">
        <f t="shared" si="511"/>
        <v>0</v>
      </c>
      <c r="BQ283" s="217">
        <f t="shared" si="512"/>
        <v>0.221192125</v>
      </c>
      <c r="CG283" s="227">
        <f t="shared" si="513"/>
        <v>-50</v>
      </c>
      <c r="CH283">
        <f t="shared" si="514"/>
        <v>-50</v>
      </c>
    </row>
    <row r="284" spans="5:86">
      <c r="E284" s="22">
        <v>68</v>
      </c>
      <c r="F284" s="25">
        <f t="shared" si="515"/>
        <v>0.34</v>
      </c>
      <c r="G284" s="25"/>
      <c r="H284" s="25">
        <f t="shared" si="481"/>
        <v>6.12</v>
      </c>
      <c r="I284" s="212">
        <f t="shared" si="482"/>
        <v>14</v>
      </c>
      <c r="J284" s="131">
        <f t="shared" si="483"/>
        <v>5.48629965471555</v>
      </c>
      <c r="K284" s="131">
        <f t="shared" si="484"/>
        <v>26.2728</v>
      </c>
      <c r="L284" s="131"/>
      <c r="M284" s="25">
        <f t="shared" si="485"/>
        <v>0.467129502755702</v>
      </c>
      <c r="N284" s="27">
        <f t="shared" si="486"/>
        <v>4.46381478761305</v>
      </c>
      <c r="O284" s="27">
        <f t="shared" si="478"/>
        <v>2.66061451664661</v>
      </c>
      <c r="P284" s="25">
        <f t="shared" si="487"/>
        <v>0.247989710422947</v>
      </c>
      <c r="Q284" s="25">
        <f t="shared" si="488"/>
        <v>13.1288670223913</v>
      </c>
      <c r="R284" s="25"/>
      <c r="S284" s="27">
        <f t="shared" si="489"/>
        <v>7.82533681366649</v>
      </c>
      <c r="T284" s="27">
        <f t="shared" si="490"/>
        <v>7.82533681366649</v>
      </c>
      <c r="U284" s="25">
        <f t="shared" si="491"/>
        <v>1.5</v>
      </c>
      <c r="V284" s="25">
        <f t="shared" si="492"/>
        <v>2.67857142857143</v>
      </c>
      <c r="W284" s="25">
        <f t="shared" si="493"/>
        <v>6.83520812935696</v>
      </c>
      <c r="X284" s="24">
        <f t="shared" si="494"/>
        <v>350</v>
      </c>
      <c r="Y284" s="131">
        <f t="shared" si="480"/>
        <v>105.11069695394</v>
      </c>
      <c r="AA284" s="25">
        <f t="shared" si="495"/>
        <v>0.450474415516886</v>
      </c>
      <c r="AB284" s="5">
        <f t="shared" si="496"/>
        <v>2.05272425800556</v>
      </c>
      <c r="AC284" s="5">
        <f t="shared" si="497"/>
        <v>0.107935579525965</v>
      </c>
      <c r="AD284" s="5"/>
      <c r="AE284" s="5">
        <f t="shared" si="498"/>
        <v>1.36704162587139</v>
      </c>
      <c r="AF284" s="216">
        <f t="shared" si="499"/>
        <v>2485.87957035254</v>
      </c>
      <c r="AG284" s="217">
        <f t="shared" si="500"/>
        <v>0.0478703801339515</v>
      </c>
      <c r="AI284" s="5">
        <f t="shared" si="501"/>
        <v>0.799516213239926</v>
      </c>
      <c r="AJ284" s="5">
        <f t="shared" si="502"/>
        <v>1.5</v>
      </c>
      <c r="AK284" s="5">
        <f t="shared" si="503"/>
        <v>2</v>
      </c>
      <c r="AM284" s="216">
        <f t="shared" si="504"/>
        <v>340</v>
      </c>
      <c r="AN284" s="220">
        <f t="shared" si="505"/>
        <v>105.11069695394</v>
      </c>
      <c r="AP284" t="str">
        <f t="shared" si="506"/>
        <v/>
      </c>
      <c r="AQ284" t="str">
        <f t="shared" si="507"/>
        <v/>
      </c>
      <c r="AS284" s="192">
        <f t="shared" si="479"/>
        <v>9.51377955792839</v>
      </c>
      <c r="AT284" s="192">
        <f t="shared" si="508"/>
        <v>2.67857142857143</v>
      </c>
      <c r="AU284" s="192">
        <f t="shared" si="440"/>
        <v>6.83520812935696</v>
      </c>
      <c r="AV284" s="192"/>
      <c r="AW284" s="5">
        <f t="shared" si="441"/>
        <v>0.281546509698054</v>
      </c>
      <c r="AX284" s="5"/>
      <c r="BA284" s="220">
        <f t="shared" si="509"/>
        <v>4.67115663597264</v>
      </c>
      <c r="BB284" s="220">
        <f t="shared" si="510"/>
        <v>63.1948208447266</v>
      </c>
      <c r="BC284" s="192">
        <f t="shared" si="442"/>
        <v>5.53326372376516</v>
      </c>
      <c r="BD284" s="220">
        <f t="shared" si="511"/>
        <v>0</v>
      </c>
      <c r="BQ284" s="217">
        <f t="shared" si="512"/>
        <v>0.2244935</v>
      </c>
      <c r="CG284" s="227">
        <f t="shared" si="513"/>
        <v>-50</v>
      </c>
      <c r="CH284">
        <f t="shared" si="514"/>
        <v>-50</v>
      </c>
    </row>
    <row r="285" spans="5:86">
      <c r="E285" s="22">
        <v>69</v>
      </c>
      <c r="F285" s="25">
        <f t="shared" si="515"/>
        <v>0.345</v>
      </c>
      <c r="G285" s="25"/>
      <c r="H285" s="25">
        <f t="shared" si="481"/>
        <v>6.21</v>
      </c>
      <c r="I285" s="212">
        <f t="shared" si="482"/>
        <v>14</v>
      </c>
      <c r="J285" s="131">
        <f t="shared" si="483"/>
        <v>5.24847358298416</v>
      </c>
      <c r="K285" s="131">
        <f t="shared" si="484"/>
        <v>26.2728</v>
      </c>
      <c r="L285" s="131"/>
      <c r="M285" s="25">
        <f t="shared" si="485"/>
        <v>0.467129502755702</v>
      </c>
      <c r="N285" s="27">
        <f t="shared" si="486"/>
        <v>4.46381478761305</v>
      </c>
      <c r="O285" s="27">
        <f t="shared" si="478"/>
        <v>2.57672771533663</v>
      </c>
      <c r="P285" s="25">
        <f t="shared" si="487"/>
        <v>0.247989710422947</v>
      </c>
      <c r="Q285" s="25">
        <f t="shared" si="488"/>
        <v>12.9385935872842</v>
      </c>
      <c r="R285" s="25"/>
      <c r="S285" s="27">
        <f t="shared" si="489"/>
        <v>7.468775986483</v>
      </c>
      <c r="T285" s="27">
        <f t="shared" si="490"/>
        <v>7.468775986483</v>
      </c>
      <c r="U285" s="25">
        <f t="shared" si="491"/>
        <v>1.5</v>
      </c>
      <c r="V285" s="25">
        <f t="shared" si="492"/>
        <v>2.67857142857143</v>
      </c>
      <c r="W285" s="25">
        <f t="shared" si="493"/>
        <v>7.14493450468667</v>
      </c>
      <c r="X285" s="24">
        <f t="shared" si="494"/>
        <v>350</v>
      </c>
      <c r="Y285" s="131">
        <f t="shared" si="480"/>
        <v>101.796650482435</v>
      </c>
      <c r="AA285" s="25">
        <f t="shared" si="495"/>
        <v>0.436271359210435</v>
      </c>
      <c r="AB285" s="5">
        <f t="shared" si="496"/>
        <v>2.07808685855279</v>
      </c>
      <c r="AC285" s="5">
        <f t="shared" si="497"/>
        <v>0.105824026376523</v>
      </c>
      <c r="AD285" s="5"/>
      <c r="AE285" s="5">
        <f t="shared" si="498"/>
        <v>1.42898690093733</v>
      </c>
      <c r="AF285" s="216">
        <f t="shared" si="499"/>
        <v>2413.09130252145</v>
      </c>
      <c r="AG285" s="217">
        <f t="shared" si="500"/>
        <v>0.0500395488035731</v>
      </c>
      <c r="AI285" s="5">
        <f t="shared" si="501"/>
        <v>0.787724058333211</v>
      </c>
      <c r="AJ285" s="5">
        <f t="shared" si="502"/>
        <v>1.5</v>
      </c>
      <c r="AK285" s="5">
        <f t="shared" si="503"/>
        <v>2</v>
      </c>
      <c r="AM285" s="216">
        <f t="shared" si="504"/>
        <v>345</v>
      </c>
      <c r="AN285" s="220">
        <f t="shared" si="505"/>
        <v>101.796650482435</v>
      </c>
      <c r="AP285" t="str">
        <f t="shared" si="506"/>
        <v/>
      </c>
      <c r="AQ285" t="str">
        <f t="shared" si="507"/>
        <v/>
      </c>
      <c r="AS285" s="192">
        <f t="shared" si="479"/>
        <v>9.8235059332581</v>
      </c>
      <c r="AT285" s="192">
        <f t="shared" si="508"/>
        <v>2.67857142857143</v>
      </c>
      <c r="AU285" s="192">
        <f t="shared" si="440"/>
        <v>7.14493450468667</v>
      </c>
      <c r="AV285" s="192"/>
      <c r="AW285" s="5">
        <f t="shared" si="441"/>
        <v>0.272669599506522</v>
      </c>
      <c r="AX285" s="5"/>
      <c r="BA285" s="220">
        <f t="shared" si="509"/>
        <v>4.67115663597264</v>
      </c>
      <c r="BB285" s="220">
        <f t="shared" si="510"/>
        <v>65.0519381578164</v>
      </c>
      <c r="BC285" s="192">
        <f t="shared" si="442"/>
        <v>5.86905334313548</v>
      </c>
      <c r="BD285" s="220">
        <f t="shared" si="511"/>
        <v>0</v>
      </c>
      <c r="BQ285" s="217">
        <f t="shared" si="512"/>
        <v>0.227794875</v>
      </c>
      <c r="CG285" s="227">
        <f t="shared" si="513"/>
        <v>-50</v>
      </c>
      <c r="CH285">
        <f t="shared" si="514"/>
        <v>-50</v>
      </c>
    </row>
    <row r="286" spans="5:86">
      <c r="E286" s="22">
        <v>70</v>
      </c>
      <c r="F286" s="25">
        <f t="shared" si="515"/>
        <v>0.35</v>
      </c>
      <c r="G286" s="25"/>
      <c r="H286" s="25">
        <f t="shared" si="481"/>
        <v>6.3</v>
      </c>
      <c r="I286" s="212">
        <f t="shared" si="482"/>
        <v>14</v>
      </c>
      <c r="J286" s="131">
        <f t="shared" si="483"/>
        <v>5.01988133408251</v>
      </c>
      <c r="K286" s="131">
        <f t="shared" si="484"/>
        <v>26.2728</v>
      </c>
      <c r="L286" s="131"/>
      <c r="M286" s="25">
        <f t="shared" si="485"/>
        <v>0.467129502755702</v>
      </c>
      <c r="N286" s="27">
        <f t="shared" si="486"/>
        <v>4.46381478761305</v>
      </c>
      <c r="O286" s="27">
        <f t="shared" si="478"/>
        <v>2.49412064007328</v>
      </c>
      <c r="P286" s="25">
        <f t="shared" si="487"/>
        <v>0.247989710422947</v>
      </c>
      <c r="Q286" s="25">
        <f t="shared" si="488"/>
        <v>12.7537565360373</v>
      </c>
      <c r="R286" s="25"/>
      <c r="S286" s="27">
        <f t="shared" si="489"/>
        <v>7.12605897163795</v>
      </c>
      <c r="T286" s="27">
        <f t="shared" si="490"/>
        <v>7.12605897163795</v>
      </c>
      <c r="U286" s="25">
        <f t="shared" si="491"/>
        <v>1.5</v>
      </c>
      <c r="V286" s="25">
        <f t="shared" si="492"/>
        <v>2.67857142857143</v>
      </c>
      <c r="W286" s="25">
        <f t="shared" si="493"/>
        <v>7.47029610947047</v>
      </c>
      <c r="X286" s="24">
        <f t="shared" si="494"/>
        <v>350</v>
      </c>
      <c r="Y286" s="131">
        <f t="shared" si="480"/>
        <v>98.5331610893148</v>
      </c>
      <c r="AA286" s="25">
        <f t="shared" si="495"/>
        <v>0.422284976097064</v>
      </c>
      <c r="AB286" s="5">
        <f t="shared" si="496"/>
        <v>2.10306254268382</v>
      </c>
      <c r="AC286" s="5">
        <f t="shared" si="497"/>
        <v>0.103662505499659</v>
      </c>
      <c r="AD286" s="5"/>
      <c r="AE286" s="5">
        <f t="shared" si="498"/>
        <v>1.49405922189409</v>
      </c>
      <c r="AF286" s="216">
        <f t="shared" si="499"/>
        <v>2341.44056895403</v>
      </c>
      <c r="AG286" s="217">
        <f t="shared" si="500"/>
        <v>0.0523182188026764</v>
      </c>
      <c r="AI286" s="5">
        <f t="shared" si="501"/>
        <v>0.775941181875943</v>
      </c>
      <c r="AJ286" s="5">
        <f t="shared" si="502"/>
        <v>1.5</v>
      </c>
      <c r="AK286" s="5">
        <f t="shared" si="503"/>
        <v>2</v>
      </c>
      <c r="AM286" s="216">
        <f t="shared" si="504"/>
        <v>350</v>
      </c>
      <c r="AN286" s="220">
        <f t="shared" si="505"/>
        <v>98.5331610893148</v>
      </c>
      <c r="AP286" t="str">
        <f t="shared" si="506"/>
        <v/>
      </c>
      <c r="AQ286" t="str">
        <f t="shared" si="507"/>
        <v/>
      </c>
      <c r="AS286" s="192">
        <f t="shared" si="479"/>
        <v>10.1488675380419</v>
      </c>
      <c r="AT286" s="192">
        <f t="shared" si="508"/>
        <v>2.67857142857143</v>
      </c>
      <c r="AU286" s="192">
        <f t="shared" si="440"/>
        <v>7.47029610947047</v>
      </c>
      <c r="AV286" s="192"/>
      <c r="AW286" s="5">
        <f t="shared" si="441"/>
        <v>0.263928110060665</v>
      </c>
      <c r="AX286" s="5"/>
      <c r="BA286" s="220">
        <f t="shared" si="509"/>
        <v>4.67115663597264</v>
      </c>
      <c r="BB286" s="220">
        <f t="shared" si="510"/>
        <v>66.935947694455</v>
      </c>
      <c r="BC286" s="192">
        <f t="shared" si="442"/>
        <v>6.22524675789206</v>
      </c>
      <c r="BD286" s="220">
        <f t="shared" si="511"/>
        <v>0</v>
      </c>
      <c r="BQ286" s="217">
        <f t="shared" si="512"/>
        <v>0.23109625</v>
      </c>
      <c r="CG286" s="227">
        <f t="shared" si="513"/>
        <v>-50</v>
      </c>
      <c r="CH286">
        <f t="shared" si="514"/>
        <v>-50</v>
      </c>
    </row>
    <row r="287" spans="5:86">
      <c r="E287" s="22">
        <v>71</v>
      </c>
      <c r="F287" s="25">
        <f t="shared" si="515"/>
        <v>0.355</v>
      </c>
      <c r="G287" s="25"/>
      <c r="H287" s="25">
        <f t="shared" si="481"/>
        <v>6.39</v>
      </c>
      <c r="I287" s="212">
        <f t="shared" si="482"/>
        <v>14</v>
      </c>
      <c r="J287" s="131">
        <f t="shared" si="483"/>
        <v>4.80027431110159</v>
      </c>
      <c r="K287" s="131">
        <f t="shared" si="484"/>
        <v>26.2728</v>
      </c>
      <c r="L287" s="131"/>
      <c r="M287" s="25">
        <f t="shared" si="485"/>
        <v>0.467129502755702</v>
      </c>
      <c r="N287" s="27">
        <f t="shared" si="486"/>
        <v>4.46381478761305</v>
      </c>
      <c r="O287" s="27">
        <f t="shared" si="478"/>
        <v>2.41286863634343</v>
      </c>
      <c r="P287" s="25">
        <f t="shared" si="487"/>
        <v>0.247989710422947</v>
      </c>
      <c r="Q287" s="25">
        <f t="shared" si="488"/>
        <v>12.5741261622903</v>
      </c>
      <c r="R287" s="25"/>
      <c r="S287" s="27">
        <f t="shared" si="489"/>
        <v>6.79681306012233</v>
      </c>
      <c r="T287" s="27">
        <f t="shared" si="490"/>
        <v>6.79681306012233</v>
      </c>
      <c r="U287" s="25">
        <f t="shared" si="491"/>
        <v>1.5</v>
      </c>
      <c r="V287" s="25">
        <f t="shared" si="492"/>
        <v>2.67857142857143</v>
      </c>
      <c r="W287" s="25">
        <f t="shared" si="493"/>
        <v>7.81205355562155</v>
      </c>
      <c r="X287" s="24">
        <f t="shared" si="494"/>
        <v>350</v>
      </c>
      <c r="Y287" s="131">
        <f t="shared" si="480"/>
        <v>95.323205386407</v>
      </c>
      <c r="AA287" s="25">
        <f t="shared" si="495"/>
        <v>0.408528023084601</v>
      </c>
      <c r="AB287" s="5">
        <f t="shared" si="496"/>
        <v>2.12762853020607</v>
      </c>
      <c r="AC287" s="5">
        <f t="shared" si="497"/>
        <v>0.101456888778249</v>
      </c>
      <c r="AD287" s="5"/>
      <c r="AE287" s="5">
        <f t="shared" si="498"/>
        <v>1.56241071112431</v>
      </c>
      <c r="AF287" s="216">
        <f t="shared" si="499"/>
        <v>2270.99434341638</v>
      </c>
      <c r="AG287" s="217">
        <f t="shared" si="500"/>
        <v>0.0547117170767955</v>
      </c>
      <c r="AI287" s="5">
        <f t="shared" si="501"/>
        <v>0.764179281334789</v>
      </c>
      <c r="AJ287" s="5">
        <f t="shared" si="502"/>
        <v>1.5</v>
      </c>
      <c r="AK287" s="5">
        <f t="shared" si="503"/>
        <v>2</v>
      </c>
      <c r="AM287" s="216">
        <f t="shared" si="504"/>
        <v>355</v>
      </c>
      <c r="AN287" s="220">
        <f t="shared" si="505"/>
        <v>95.323205386407</v>
      </c>
      <c r="AP287" t="str">
        <f t="shared" si="506"/>
        <v/>
      </c>
      <c r="AQ287" t="str">
        <f t="shared" si="507"/>
        <v/>
      </c>
      <c r="AS287" s="192">
        <f t="shared" si="479"/>
        <v>10.490624984193</v>
      </c>
      <c r="AT287" s="192">
        <f t="shared" si="508"/>
        <v>2.67857142857143</v>
      </c>
      <c r="AU287" s="192">
        <f t="shared" si="440"/>
        <v>7.81205355562156</v>
      </c>
      <c r="AV287" s="192"/>
      <c r="AW287" s="5">
        <f t="shared" si="441"/>
        <v>0.255330014427876</v>
      </c>
      <c r="AX287" s="5"/>
      <c r="BA287" s="220">
        <f t="shared" si="509"/>
        <v>4.67115663597264</v>
      </c>
      <c r="BB287" s="220">
        <f t="shared" si="510"/>
        <v>68.8468494546424</v>
      </c>
      <c r="BC287" s="192">
        <f t="shared" si="442"/>
        <v>6.60304526725155</v>
      </c>
      <c r="BD287" s="220">
        <f t="shared" si="511"/>
        <v>0</v>
      </c>
      <c r="BQ287" s="217">
        <f t="shared" si="512"/>
        <v>0.234397625</v>
      </c>
      <c r="CG287" s="227">
        <f t="shared" si="513"/>
        <v>-50</v>
      </c>
      <c r="CH287">
        <f t="shared" si="514"/>
        <v>-50</v>
      </c>
    </row>
    <row r="288" spans="5:86">
      <c r="E288" s="22">
        <v>72</v>
      </c>
      <c r="F288" s="25">
        <f t="shared" si="515"/>
        <v>0.36</v>
      </c>
      <c r="G288" s="25"/>
      <c r="H288" s="25">
        <f t="shared" si="481"/>
        <v>6.48</v>
      </c>
      <c r="I288" s="212">
        <f t="shared" si="482"/>
        <v>14</v>
      </c>
      <c r="J288" s="131">
        <f t="shared" si="483"/>
        <v>4.58942161838387</v>
      </c>
      <c r="K288" s="131">
        <f t="shared" si="484"/>
        <v>26.2728</v>
      </c>
      <c r="L288" s="131"/>
      <c r="M288" s="25">
        <f t="shared" si="485"/>
        <v>0.467129502755702</v>
      </c>
      <c r="N288" s="27">
        <f t="shared" si="486"/>
        <v>4.46381478761305</v>
      </c>
      <c r="O288" s="27">
        <f t="shared" si="478"/>
        <v>2.33304914935261</v>
      </c>
      <c r="P288" s="25">
        <f t="shared" si="487"/>
        <v>0.247989710422947</v>
      </c>
      <c r="Q288" s="25">
        <f t="shared" si="488"/>
        <v>12.3994855211474</v>
      </c>
      <c r="R288" s="25"/>
      <c r="S288" s="27">
        <f t="shared" si="489"/>
        <v>6.48069208153504</v>
      </c>
      <c r="T288" s="27">
        <f t="shared" si="490"/>
        <v>6.48069208153504</v>
      </c>
      <c r="U288" s="25">
        <f t="shared" si="491"/>
        <v>1.5</v>
      </c>
      <c r="V288" s="25">
        <f t="shared" si="492"/>
        <v>2.67857142857143</v>
      </c>
      <c r="W288" s="25">
        <f t="shared" si="493"/>
        <v>8.17096425610278</v>
      </c>
      <c r="X288" s="24">
        <f t="shared" si="494"/>
        <v>350</v>
      </c>
      <c r="Y288" s="131">
        <f t="shared" si="480"/>
        <v>92.1698429373873</v>
      </c>
      <c r="AA288" s="25">
        <f t="shared" si="495"/>
        <v>0.395013612588802</v>
      </c>
      <c r="AB288" s="5">
        <f t="shared" si="496"/>
        <v>2.15176140609142</v>
      </c>
      <c r="AC288" s="5">
        <f t="shared" si="497"/>
        <v>0.0992133372967986</v>
      </c>
      <c r="AD288" s="5"/>
      <c r="AE288" s="5">
        <f t="shared" si="498"/>
        <v>1.63419285122056</v>
      </c>
      <c r="AF288" s="216">
        <f t="shared" si="499"/>
        <v>2201.82146609121</v>
      </c>
      <c r="AG288" s="217">
        <f t="shared" si="500"/>
        <v>0.0572253481676158</v>
      </c>
      <c r="AI288" s="5">
        <f t="shared" si="501"/>
        <v>0.75245110320151</v>
      </c>
      <c r="AJ288" s="5">
        <f t="shared" si="502"/>
        <v>1.5</v>
      </c>
      <c r="AK288" s="5">
        <f t="shared" si="503"/>
        <v>2</v>
      </c>
      <c r="AM288" s="216">
        <f t="shared" si="504"/>
        <v>360</v>
      </c>
      <c r="AN288" s="220">
        <f t="shared" si="505"/>
        <v>92.1698429373873</v>
      </c>
      <c r="AP288" t="str">
        <f t="shared" si="506"/>
        <v/>
      </c>
      <c r="AQ288" t="str">
        <f t="shared" si="507"/>
        <v/>
      </c>
      <c r="AS288" s="192">
        <f t="shared" si="479"/>
        <v>10.8495356846742</v>
      </c>
      <c r="AT288" s="192">
        <f t="shared" si="508"/>
        <v>2.67857142857143</v>
      </c>
      <c r="AU288" s="192">
        <f t="shared" si="440"/>
        <v>8.17096425610278</v>
      </c>
      <c r="AV288" s="192"/>
      <c r="AW288" s="5">
        <f t="shared" si="441"/>
        <v>0.246883507868002</v>
      </c>
      <c r="AX288" s="5"/>
      <c r="BA288" s="220">
        <f t="shared" si="509"/>
        <v>4.67115663597264</v>
      </c>
      <c r="BB288" s="220">
        <f t="shared" si="510"/>
        <v>70.7846434383786</v>
      </c>
      <c r="BC288" s="192">
        <f t="shared" si="442"/>
        <v>7.00368364808809</v>
      </c>
      <c r="BD288" s="220">
        <f t="shared" si="511"/>
        <v>0</v>
      </c>
      <c r="BQ288" s="217">
        <f t="shared" si="512"/>
        <v>0.237699</v>
      </c>
      <c r="CG288" s="227">
        <f t="shared" si="513"/>
        <v>-50</v>
      </c>
      <c r="CH288">
        <f t="shared" si="514"/>
        <v>-50</v>
      </c>
    </row>
    <row r="289" spans="5:86">
      <c r="E289" s="22">
        <v>73</v>
      </c>
      <c r="F289" s="25">
        <f t="shared" si="515"/>
        <v>0.365</v>
      </c>
      <c r="G289" s="25"/>
      <c r="H289" s="25">
        <f t="shared" si="481"/>
        <v>6.57</v>
      </c>
      <c r="I289" s="212">
        <f t="shared" si="482"/>
        <v>14</v>
      </c>
      <c r="J289" s="131">
        <f t="shared" si="483"/>
        <v>4.38710784368594</v>
      </c>
      <c r="K289" s="131">
        <f t="shared" si="484"/>
        <v>26.2728</v>
      </c>
      <c r="L289" s="131"/>
      <c r="M289" s="25">
        <f t="shared" si="485"/>
        <v>0.467129502755702</v>
      </c>
      <c r="N289" s="27">
        <f t="shared" si="486"/>
        <v>4.46381478761305</v>
      </c>
      <c r="O289" s="27">
        <f t="shared" si="478"/>
        <v>2.25474117383114</v>
      </c>
      <c r="P289" s="25">
        <f t="shared" si="487"/>
        <v>0.247989710422947</v>
      </c>
      <c r="Q289" s="25">
        <f t="shared" si="488"/>
        <v>12.2296295551042</v>
      </c>
      <c r="R289" s="25"/>
      <c r="S289" s="27">
        <f t="shared" si="489"/>
        <v>6.17737307898942</v>
      </c>
      <c r="T289" s="27">
        <f t="shared" si="490"/>
        <v>6.17737307898942</v>
      </c>
      <c r="U289" s="25">
        <f t="shared" si="491"/>
        <v>1.5</v>
      </c>
      <c r="V289" s="25">
        <f t="shared" si="492"/>
        <v>2.67857142857143</v>
      </c>
      <c r="W289" s="25">
        <f t="shared" si="493"/>
        <v>8.54777254996617</v>
      </c>
      <c r="X289" s="24">
        <f t="shared" si="494"/>
        <v>350</v>
      </c>
      <c r="Y289" s="131">
        <f t="shared" si="480"/>
        <v>89.076194521724</v>
      </c>
      <c r="AA289" s="25">
        <f t="shared" si="495"/>
        <v>0.381755119378817</v>
      </c>
      <c r="AB289" s="5">
        <f t="shared" si="496"/>
        <v>2.17543728682354</v>
      </c>
      <c r="AC289" s="5">
        <f t="shared" si="497"/>
        <v>0.0969382823841854</v>
      </c>
      <c r="AD289" s="5"/>
      <c r="AE289" s="5">
        <f t="shared" si="498"/>
        <v>1.70955450999323</v>
      </c>
      <c r="AF289" s="216">
        <f t="shared" si="499"/>
        <v>2133.99215451657</v>
      </c>
      <c r="AG289" s="217">
        <f t="shared" si="500"/>
        <v>0.0598643250536881</v>
      </c>
      <c r="AI289" s="5">
        <f t="shared" si="501"/>
        <v>0.740770436594787</v>
      </c>
      <c r="AJ289" s="5">
        <f t="shared" si="502"/>
        <v>1.5</v>
      </c>
      <c r="AK289" s="5">
        <f t="shared" si="503"/>
        <v>2</v>
      </c>
      <c r="AM289" s="216">
        <f t="shared" si="504"/>
        <v>365</v>
      </c>
      <c r="AN289" s="220">
        <f t="shared" si="505"/>
        <v>89.076194521724</v>
      </c>
      <c r="AP289" t="str">
        <f t="shared" si="506"/>
        <v/>
      </c>
      <c r="AQ289" t="str">
        <f t="shared" si="507"/>
        <v/>
      </c>
      <c r="AS289" s="192">
        <f t="shared" si="479"/>
        <v>11.2263439785376</v>
      </c>
      <c r="AT289" s="192">
        <f t="shared" si="508"/>
        <v>2.67857142857143</v>
      </c>
      <c r="AU289" s="192">
        <f t="shared" si="440"/>
        <v>8.54777254996617</v>
      </c>
      <c r="AV289" s="192"/>
      <c r="AW289" s="5">
        <f t="shared" si="441"/>
        <v>0.238596949611761</v>
      </c>
      <c r="AX289" s="5"/>
      <c r="BA289" s="220">
        <f t="shared" si="509"/>
        <v>4.67115663597264</v>
      </c>
      <c r="BB289" s="220">
        <f t="shared" si="510"/>
        <v>72.7493296456635</v>
      </c>
      <c r="BC289" s="192">
        <f t="shared" si="442"/>
        <v>7.4284213827087</v>
      </c>
      <c r="BD289" s="220">
        <f t="shared" si="511"/>
        <v>0</v>
      </c>
      <c r="BQ289" s="217">
        <f t="shared" si="512"/>
        <v>0.241000375</v>
      </c>
      <c r="CG289" s="227">
        <f t="shared" si="513"/>
        <v>-50</v>
      </c>
      <c r="CH289">
        <f t="shared" si="514"/>
        <v>-50</v>
      </c>
    </row>
    <row r="290" spans="5:86">
      <c r="E290" s="22">
        <v>74</v>
      </c>
      <c r="F290" s="25">
        <f t="shared" si="515"/>
        <v>0.37</v>
      </c>
      <c r="G290" s="25"/>
      <c r="H290" s="25">
        <f t="shared" si="481"/>
        <v>6.66</v>
      </c>
      <c r="I290" s="212">
        <f t="shared" si="482"/>
        <v>14</v>
      </c>
      <c r="J290" s="131">
        <f t="shared" si="483"/>
        <v>4.19313078558604</v>
      </c>
      <c r="K290" s="131">
        <f t="shared" si="484"/>
        <v>26.2728</v>
      </c>
      <c r="L290" s="131"/>
      <c r="M290" s="25">
        <f t="shared" si="485"/>
        <v>0.467129502755702</v>
      </c>
      <c r="N290" s="27">
        <f t="shared" si="486"/>
        <v>4.46381478761305</v>
      </c>
      <c r="O290" s="27">
        <f t="shared" si="478"/>
        <v>2.1780245737134</v>
      </c>
      <c r="P290" s="25">
        <f t="shared" si="487"/>
        <v>0.247989710422947</v>
      </c>
      <c r="Q290" s="25">
        <f t="shared" si="488"/>
        <v>12.0643642908461</v>
      </c>
      <c r="R290" s="25"/>
      <c r="S290" s="27">
        <f t="shared" si="489"/>
        <v>5.8865529019281</v>
      </c>
      <c r="T290" s="27">
        <f t="shared" si="490"/>
        <v>5.8865529019281</v>
      </c>
      <c r="U290" s="25">
        <f t="shared" si="491"/>
        <v>1.5</v>
      </c>
      <c r="V290" s="25">
        <f t="shared" si="492"/>
        <v>2.67857142857143</v>
      </c>
      <c r="W290" s="25">
        <f t="shared" si="493"/>
        <v>8.94319827297228</v>
      </c>
      <c r="X290" s="24">
        <f t="shared" si="494"/>
        <v>350</v>
      </c>
      <c r="Y290" s="131">
        <f t="shared" si="480"/>
        <v>86.0454152578132</v>
      </c>
      <c r="AA290" s="25">
        <f t="shared" si="495"/>
        <v>0.368766065390628</v>
      </c>
      <c r="AB290" s="5">
        <f t="shared" si="496"/>
        <v>2.19863202608816</v>
      </c>
      <c r="AC290" s="5">
        <f t="shared" si="497"/>
        <v>0.0946383983933626</v>
      </c>
      <c r="AD290" s="5"/>
      <c r="AE290" s="5">
        <f t="shared" si="498"/>
        <v>1.78863965459446</v>
      </c>
      <c r="AF290" s="216">
        <f t="shared" si="499"/>
        <v>2067.57739885635</v>
      </c>
      <c r="AG290" s="217">
        <f t="shared" si="500"/>
        <v>0.0626336891047614</v>
      </c>
      <c r="AI290" s="5">
        <f t="shared" si="501"/>
        <v>0.729152082700118</v>
      </c>
      <c r="AJ290" s="5">
        <f t="shared" si="502"/>
        <v>1.5</v>
      </c>
      <c r="AK290" s="5">
        <f t="shared" si="503"/>
        <v>2</v>
      </c>
      <c r="AM290" s="216">
        <f t="shared" si="504"/>
        <v>370</v>
      </c>
      <c r="AN290" s="220">
        <f t="shared" si="505"/>
        <v>86.0454152578132</v>
      </c>
      <c r="AP290" t="str">
        <f t="shared" si="506"/>
        <v/>
      </c>
      <c r="AQ290" t="str">
        <f t="shared" si="507"/>
        <v/>
      </c>
      <c r="AS290" s="192">
        <f t="shared" si="479"/>
        <v>11.6217697015437</v>
      </c>
      <c r="AT290" s="192">
        <f t="shared" si="508"/>
        <v>2.67857142857143</v>
      </c>
      <c r="AU290" s="192">
        <f t="shared" si="440"/>
        <v>8.94319827297228</v>
      </c>
      <c r="AV290" s="192"/>
      <c r="AW290" s="5">
        <f t="shared" si="441"/>
        <v>0.230478790869142</v>
      </c>
      <c r="AX290" s="5"/>
      <c r="BA290" s="220">
        <f t="shared" si="509"/>
        <v>4.67115663597264</v>
      </c>
      <c r="BB290" s="220">
        <f t="shared" si="510"/>
        <v>74.7409080764971</v>
      </c>
      <c r="BC290" s="192">
        <f t="shared" si="442"/>
        <v>7.87853181190415</v>
      </c>
      <c r="BD290" s="220">
        <f t="shared" si="511"/>
        <v>0</v>
      </c>
      <c r="BQ290" s="217">
        <f t="shared" si="512"/>
        <v>0.24430175</v>
      </c>
      <c r="CG290" s="227">
        <f t="shared" si="513"/>
        <v>-50</v>
      </c>
      <c r="CH290">
        <f t="shared" si="514"/>
        <v>-50</v>
      </c>
    </row>
    <row r="291" spans="5:86">
      <c r="E291" s="22">
        <v>75</v>
      </c>
      <c r="F291" s="25">
        <f t="shared" si="515"/>
        <v>0.375</v>
      </c>
      <c r="G291" s="25"/>
      <c r="H291" s="25">
        <f t="shared" si="481"/>
        <v>6.75</v>
      </c>
      <c r="I291" s="212">
        <f t="shared" si="482"/>
        <v>14</v>
      </c>
      <c r="J291" s="131">
        <f t="shared" si="483"/>
        <v>4.00729912337516</v>
      </c>
      <c r="K291" s="131">
        <f t="shared" si="484"/>
        <v>26.2728</v>
      </c>
      <c r="L291" s="131"/>
      <c r="M291" s="25">
        <f t="shared" si="485"/>
        <v>0.467129502755702</v>
      </c>
      <c r="N291" s="27">
        <f t="shared" si="486"/>
        <v>4.46381478761305</v>
      </c>
      <c r="O291" s="27">
        <f t="shared" si="478"/>
        <v>2.10297926726489</v>
      </c>
      <c r="P291" s="25">
        <f t="shared" si="487"/>
        <v>0.247989710422947</v>
      </c>
      <c r="Q291" s="25">
        <f t="shared" si="488"/>
        <v>11.9035061003015</v>
      </c>
      <c r="R291" s="25"/>
      <c r="S291" s="27">
        <f t="shared" si="489"/>
        <v>5.60794471270638</v>
      </c>
      <c r="T291" s="27">
        <f t="shared" si="490"/>
        <v>5.60794471270638</v>
      </c>
      <c r="U291" s="25">
        <f t="shared" si="491"/>
        <v>1.5</v>
      </c>
      <c r="V291" s="25">
        <f t="shared" si="492"/>
        <v>2.67857142857143</v>
      </c>
      <c r="W291" s="25">
        <f t="shared" si="493"/>
        <v>9.35792383983942</v>
      </c>
      <c r="X291" s="24">
        <f t="shared" si="494"/>
        <v>350</v>
      </c>
      <c r="Y291" s="131">
        <f t="shared" si="480"/>
        <v>83.0806624104649</v>
      </c>
      <c r="AA291" s="25">
        <f t="shared" si="495"/>
        <v>0.356059981759135</v>
      </c>
      <c r="AB291" s="5">
        <f t="shared" si="496"/>
        <v>2.2213214611444</v>
      </c>
      <c r="AC291" s="5">
        <f t="shared" si="497"/>
        <v>0.0923205664238339</v>
      </c>
      <c r="AD291" s="5"/>
      <c r="AE291" s="5">
        <f t="shared" si="498"/>
        <v>1.87158476796788</v>
      </c>
      <c r="AF291" s="216">
        <f t="shared" si="499"/>
        <v>2002.64823756879</v>
      </c>
      <c r="AG291" s="217">
        <f t="shared" si="500"/>
        <v>0.0655382196123154</v>
      </c>
      <c r="AI291" s="5">
        <f t="shared" si="501"/>
        <v>0.717611795931858</v>
      </c>
      <c r="AJ291" s="5">
        <f t="shared" si="502"/>
        <v>1.5</v>
      </c>
      <c r="AK291" s="5">
        <f t="shared" si="503"/>
        <v>2</v>
      </c>
      <c r="AM291" s="216">
        <f t="shared" si="504"/>
        <v>375</v>
      </c>
      <c r="AN291" s="220">
        <f t="shared" si="505"/>
        <v>83.0806624104649</v>
      </c>
      <c r="AP291" t="str">
        <f t="shared" si="506"/>
        <v/>
      </c>
      <c r="AQ291" t="str">
        <f t="shared" si="507"/>
        <v/>
      </c>
      <c r="AS291" s="192">
        <f t="shared" si="479"/>
        <v>12.0364952684109</v>
      </c>
      <c r="AT291" s="192">
        <f t="shared" si="508"/>
        <v>2.67857142857143</v>
      </c>
      <c r="AU291" s="192">
        <f t="shared" si="440"/>
        <v>9.35792383983942</v>
      </c>
      <c r="AV291" s="192"/>
      <c r="AW291" s="5">
        <f t="shared" si="441"/>
        <v>0.22253748859946</v>
      </c>
      <c r="AX291" s="5"/>
      <c r="BA291" s="220">
        <f t="shared" si="509"/>
        <v>4.67115663597264</v>
      </c>
      <c r="BB291" s="220">
        <f t="shared" si="510"/>
        <v>76.7593787308795</v>
      </c>
      <c r="BC291" s="192">
        <f t="shared" si="442"/>
        <v>8.35528914271377</v>
      </c>
      <c r="BD291" s="220">
        <f t="shared" si="511"/>
        <v>0</v>
      </c>
      <c r="BQ291" s="217">
        <f t="shared" si="512"/>
        <v>0.247603125</v>
      </c>
      <c r="CG291" s="227">
        <f t="shared" si="513"/>
        <v>-50</v>
      </c>
      <c r="CH291">
        <f t="shared" si="514"/>
        <v>-50</v>
      </c>
    </row>
    <row r="292" spans="5:86">
      <c r="E292" s="22">
        <v>76</v>
      </c>
      <c r="F292" s="25">
        <f t="shared" si="515"/>
        <v>0.38</v>
      </c>
      <c r="G292" s="25"/>
      <c r="H292" s="25">
        <f t="shared" si="481"/>
        <v>6.84</v>
      </c>
      <c r="I292" s="212">
        <f t="shared" si="482"/>
        <v>14</v>
      </c>
      <c r="J292" s="131">
        <f t="shared" si="483"/>
        <v>3.82943003732981</v>
      </c>
      <c r="K292" s="131">
        <f t="shared" si="484"/>
        <v>26.2728</v>
      </c>
      <c r="L292" s="131"/>
      <c r="M292" s="25">
        <f t="shared" si="485"/>
        <v>0.467129502755702</v>
      </c>
      <c r="N292" s="27">
        <f t="shared" si="486"/>
        <v>4.46381478761305</v>
      </c>
      <c r="O292" s="27">
        <f t="shared" si="478"/>
        <v>2.02968427913842</v>
      </c>
      <c r="P292" s="25">
        <f t="shared" si="487"/>
        <v>0.247989710422947</v>
      </c>
      <c r="Q292" s="25">
        <f t="shared" si="488"/>
        <v>11.7468810200343</v>
      </c>
      <c r="R292" s="25"/>
      <c r="S292" s="27">
        <f t="shared" si="489"/>
        <v>5.34127441878533</v>
      </c>
      <c r="T292" s="27">
        <f t="shared" si="490"/>
        <v>5.34127441878533</v>
      </c>
      <c r="U292" s="25">
        <f t="shared" si="491"/>
        <v>1.5</v>
      </c>
      <c r="V292" s="25">
        <f t="shared" si="492"/>
        <v>2.67857142857143</v>
      </c>
      <c r="W292" s="25">
        <f t="shared" si="493"/>
        <v>9.79258000131738</v>
      </c>
      <c r="X292" s="24">
        <f t="shared" si="494"/>
        <v>350</v>
      </c>
      <c r="Y292" s="131">
        <f t="shared" si="480"/>
        <v>80.1850579412711</v>
      </c>
      <c r="AA292" s="25">
        <f t="shared" si="495"/>
        <v>0.343650248319733</v>
      </c>
      <c r="AB292" s="5">
        <f t="shared" si="496"/>
        <v>2.24348169942905</v>
      </c>
      <c r="AC292" s="5">
        <f t="shared" si="497"/>
        <v>0.0899918284569645</v>
      </c>
      <c r="AD292" s="5"/>
      <c r="AE292" s="5">
        <f t="shared" si="498"/>
        <v>1.95851600026348</v>
      </c>
      <c r="AF292" s="216">
        <f t="shared" si="499"/>
        <v>1939.27491478971</v>
      </c>
      <c r="AG292" s="217">
        <f t="shared" si="500"/>
        <v>0.0685823340392263</v>
      </c>
      <c r="AI292" s="5">
        <f t="shared" si="501"/>
        <v>0.706166193168787</v>
      </c>
      <c r="AJ292" s="5">
        <f t="shared" si="502"/>
        <v>1.5</v>
      </c>
      <c r="AK292" s="5">
        <f t="shared" si="503"/>
        <v>2</v>
      </c>
      <c r="AM292" s="216">
        <f t="shared" si="504"/>
        <v>380</v>
      </c>
      <c r="AN292" s="220">
        <f t="shared" si="505"/>
        <v>80.1850579412711</v>
      </c>
      <c r="AP292" t="str">
        <f t="shared" si="506"/>
        <v/>
      </c>
      <c r="AQ292" t="str">
        <f t="shared" si="507"/>
        <v/>
      </c>
      <c r="AS292" s="192">
        <f t="shared" si="479"/>
        <v>12.4711514298888</v>
      </c>
      <c r="AT292" s="192">
        <f t="shared" si="508"/>
        <v>2.67857142857143</v>
      </c>
      <c r="AU292" s="192">
        <f t="shared" si="440"/>
        <v>9.79258000131738</v>
      </c>
      <c r="AV292" s="192"/>
      <c r="AW292" s="5">
        <f t="shared" si="441"/>
        <v>0.214781405199833</v>
      </c>
      <c r="AX292" s="5"/>
      <c r="BA292" s="220">
        <f t="shared" si="509"/>
        <v>4.67115663597264</v>
      </c>
      <c r="BB292" s="220">
        <f t="shared" si="510"/>
        <v>78.8047416088107</v>
      </c>
      <c r="BC292" s="192">
        <f t="shared" si="442"/>
        <v>8.85995333452525</v>
      </c>
      <c r="BD292" s="220">
        <f t="shared" si="511"/>
        <v>0</v>
      </c>
      <c r="BQ292" s="217">
        <f t="shared" si="512"/>
        <v>0.2509045</v>
      </c>
      <c r="CG292" s="227">
        <f t="shared" si="513"/>
        <v>-50</v>
      </c>
      <c r="CH292">
        <f t="shared" si="514"/>
        <v>-50</v>
      </c>
    </row>
    <row r="293" spans="5:86">
      <c r="E293" s="22">
        <v>77</v>
      </c>
      <c r="F293" s="25">
        <f t="shared" si="515"/>
        <v>0.385</v>
      </c>
      <c r="G293" s="25"/>
      <c r="H293" s="25">
        <f t="shared" si="481"/>
        <v>6.93</v>
      </c>
      <c r="I293" s="212">
        <f t="shared" si="482"/>
        <v>14</v>
      </c>
      <c r="J293" s="131">
        <f t="shared" si="483"/>
        <v>3.65934679944188</v>
      </c>
      <c r="K293" s="131">
        <f t="shared" si="484"/>
        <v>26.2728</v>
      </c>
      <c r="L293" s="131"/>
      <c r="M293" s="25">
        <f t="shared" si="485"/>
        <v>0.467129502755702</v>
      </c>
      <c r="N293" s="27">
        <f t="shared" si="486"/>
        <v>4.46381478761305</v>
      </c>
      <c r="O293" s="27">
        <f t="shared" si="478"/>
        <v>1.95821666834351</v>
      </c>
      <c r="P293" s="25">
        <f t="shared" si="487"/>
        <v>0.247989710422947</v>
      </c>
      <c r="Q293" s="25">
        <f t="shared" si="488"/>
        <v>11.5943241236703</v>
      </c>
      <c r="R293" s="25"/>
      <c r="S293" s="27">
        <f t="shared" si="489"/>
        <v>5.0862770606325</v>
      </c>
      <c r="T293" s="27">
        <f t="shared" si="490"/>
        <v>5.0862770606325</v>
      </c>
      <c r="U293" s="25">
        <f t="shared" si="491"/>
        <v>1.5</v>
      </c>
      <c r="V293" s="25">
        <f t="shared" si="492"/>
        <v>2.67857142857143</v>
      </c>
      <c r="W293" s="25">
        <f t="shared" si="493"/>
        <v>10.2477305528187</v>
      </c>
      <c r="X293" s="24">
        <f t="shared" si="494"/>
        <v>350</v>
      </c>
      <c r="Y293" s="131">
        <f t="shared" si="480"/>
        <v>77.3616461567807</v>
      </c>
      <c r="AA293" s="25">
        <f t="shared" si="495"/>
        <v>0.331549912100489</v>
      </c>
      <c r="AB293" s="5">
        <f t="shared" si="496"/>
        <v>2.2650894426777</v>
      </c>
      <c r="AC293" s="5">
        <f t="shared" si="497"/>
        <v>0.0876593317509404</v>
      </c>
      <c r="AD293" s="5"/>
      <c r="AE293" s="5">
        <f t="shared" si="498"/>
        <v>2.04954611056375</v>
      </c>
      <c r="AF293" s="216">
        <f t="shared" si="499"/>
        <v>1877.52592741646</v>
      </c>
      <c r="AG293" s="217">
        <f t="shared" si="500"/>
        <v>0.071769980926666</v>
      </c>
      <c r="AI293" s="5">
        <f t="shared" si="501"/>
        <v>0.694832628289475</v>
      </c>
      <c r="AJ293" s="5">
        <f t="shared" si="502"/>
        <v>1.5</v>
      </c>
      <c r="AK293" s="5">
        <f t="shared" si="503"/>
        <v>2</v>
      </c>
      <c r="AM293" s="216">
        <f t="shared" si="504"/>
        <v>385</v>
      </c>
      <c r="AN293" s="220">
        <f t="shared" si="505"/>
        <v>77.3616461567807</v>
      </c>
      <c r="AP293" t="str">
        <f t="shared" si="506"/>
        <v/>
      </c>
      <c r="AQ293" t="str">
        <f t="shared" si="507"/>
        <v/>
      </c>
      <c r="AS293" s="192">
        <f t="shared" si="479"/>
        <v>12.9263019813902</v>
      </c>
      <c r="AT293" s="192">
        <f t="shared" si="508"/>
        <v>2.67857142857143</v>
      </c>
      <c r="AU293" s="192">
        <f t="shared" si="440"/>
        <v>10.2477305528187</v>
      </c>
      <c r="AV293" s="192"/>
      <c r="AW293" s="5">
        <f t="shared" si="441"/>
        <v>0.207218695062806</v>
      </c>
      <c r="AX293" s="5"/>
      <c r="BA293" s="220">
        <f t="shared" si="509"/>
        <v>4.67115663597264</v>
      </c>
      <c r="BB293" s="220">
        <f t="shared" si="510"/>
        <v>80.8769967102906</v>
      </c>
      <c r="BC293" s="192">
        <f t="shared" si="442"/>
        <v>9.39375300675051</v>
      </c>
      <c r="BD293" s="220">
        <f t="shared" si="511"/>
        <v>0</v>
      </c>
      <c r="BQ293" s="217">
        <f t="shared" si="512"/>
        <v>0.254205875</v>
      </c>
      <c r="CG293" s="227">
        <f t="shared" si="513"/>
        <v>-50</v>
      </c>
      <c r="CH293">
        <f t="shared" si="514"/>
        <v>-50</v>
      </c>
    </row>
    <row r="294" spans="5:86">
      <c r="E294" s="22">
        <v>78</v>
      </c>
      <c r="F294" s="25">
        <f t="shared" si="515"/>
        <v>0.39</v>
      </c>
      <c r="G294" s="25"/>
      <c r="H294" s="25">
        <f t="shared" si="481"/>
        <v>7.02</v>
      </c>
      <c r="I294" s="212">
        <f t="shared" si="482"/>
        <v>14</v>
      </c>
      <c r="J294" s="131">
        <f t="shared" si="483"/>
        <v>3.49687636778789</v>
      </c>
      <c r="K294" s="131">
        <f t="shared" si="484"/>
        <v>26.2728</v>
      </c>
      <c r="L294" s="131"/>
      <c r="M294" s="25">
        <f t="shared" si="485"/>
        <v>0.467129502755702</v>
      </c>
      <c r="N294" s="27">
        <f t="shared" si="486"/>
        <v>4.46381478761305</v>
      </c>
      <c r="O294" s="27">
        <f t="shared" si="478"/>
        <v>1.88865034998093</v>
      </c>
      <c r="P294" s="25">
        <f t="shared" si="487"/>
        <v>0.247989710422947</v>
      </c>
      <c r="Q294" s="25">
        <f t="shared" si="488"/>
        <v>11.4456789425976</v>
      </c>
      <c r="R294" s="25"/>
      <c r="S294" s="27">
        <f t="shared" si="489"/>
        <v>4.8426932050793</v>
      </c>
      <c r="T294" s="27">
        <f t="shared" si="490"/>
        <v>4.8426932050793</v>
      </c>
      <c r="U294" s="25">
        <f t="shared" si="491"/>
        <v>1.5</v>
      </c>
      <c r="V294" s="25">
        <f t="shared" si="492"/>
        <v>2.67857142857143</v>
      </c>
      <c r="W294" s="25">
        <f t="shared" si="493"/>
        <v>10.7238563952212</v>
      </c>
      <c r="X294" s="24">
        <f t="shared" si="494"/>
        <v>350</v>
      </c>
      <c r="Y294" s="131">
        <f t="shared" si="480"/>
        <v>74.6133471597402</v>
      </c>
      <c r="AA294" s="25">
        <f t="shared" si="495"/>
        <v>0.319771487827458</v>
      </c>
      <c r="AB294" s="5">
        <f t="shared" si="496"/>
        <v>2.28612234316525</v>
      </c>
      <c r="AC294" s="5">
        <f t="shared" si="497"/>
        <v>0.085330263830124</v>
      </c>
      <c r="AD294" s="5"/>
      <c r="AE294" s="5">
        <f t="shared" si="498"/>
        <v>2.14477127904424</v>
      </c>
      <c r="AF294" s="216">
        <f t="shared" si="499"/>
        <v>1817.46697776082</v>
      </c>
      <c r="AG294" s="217">
        <f t="shared" si="500"/>
        <v>0.0751045282639316</v>
      </c>
      <c r="AI294" s="5">
        <f t="shared" si="501"/>
        <v>0.683629030559858</v>
      </c>
      <c r="AJ294" s="5">
        <f t="shared" si="502"/>
        <v>1.5</v>
      </c>
      <c r="AK294" s="5">
        <f t="shared" si="503"/>
        <v>2</v>
      </c>
      <c r="AM294" s="216">
        <f t="shared" si="504"/>
        <v>390</v>
      </c>
      <c r="AN294" s="220">
        <f t="shared" si="505"/>
        <v>74.6133471597402</v>
      </c>
      <c r="AP294" t="str">
        <f t="shared" si="506"/>
        <v/>
      </c>
      <c r="AQ294" t="str">
        <f t="shared" si="507"/>
        <v/>
      </c>
      <c r="AS294" s="192">
        <f t="shared" si="479"/>
        <v>13.4024278237926</v>
      </c>
      <c r="AT294" s="192">
        <f t="shared" si="508"/>
        <v>2.67857142857143</v>
      </c>
      <c r="AU294" s="192">
        <f t="shared" si="440"/>
        <v>10.7238563952212</v>
      </c>
      <c r="AV294" s="192"/>
      <c r="AW294" s="5">
        <f t="shared" si="441"/>
        <v>0.199857179892161</v>
      </c>
      <c r="AX294" s="5"/>
      <c r="BA294" s="220">
        <f t="shared" si="509"/>
        <v>4.67115663597264</v>
      </c>
      <c r="BB294" s="220">
        <f t="shared" si="510"/>
        <v>82.9761440353193</v>
      </c>
      <c r="BC294" s="192">
        <f t="shared" si="442"/>
        <v>9.95786665270539</v>
      </c>
      <c r="BD294" s="220">
        <f t="shared" si="511"/>
        <v>0</v>
      </c>
      <c r="BQ294" s="217">
        <f t="shared" si="512"/>
        <v>0.25750725</v>
      </c>
      <c r="CG294" s="227">
        <f t="shared" si="513"/>
        <v>-50</v>
      </c>
      <c r="CH294">
        <f t="shared" si="514"/>
        <v>-50</v>
      </c>
    </row>
    <row r="295" spans="5:86">
      <c r="E295" s="22">
        <v>79</v>
      </c>
      <c r="F295" s="25">
        <f t="shared" si="515"/>
        <v>0.395</v>
      </c>
      <c r="G295" s="25"/>
      <c r="H295" s="25">
        <f t="shared" si="481"/>
        <v>7.11</v>
      </c>
      <c r="I295" s="212">
        <f t="shared" si="482"/>
        <v>14</v>
      </c>
      <c r="J295" s="131">
        <f t="shared" si="483"/>
        <v>3.34184703081734</v>
      </c>
      <c r="K295" s="131">
        <f t="shared" si="484"/>
        <v>26.2728</v>
      </c>
      <c r="L295" s="131"/>
      <c r="M295" s="25">
        <f t="shared" si="485"/>
        <v>0.467129502755702</v>
      </c>
      <c r="N295" s="27">
        <f t="shared" si="486"/>
        <v>4.46381478761305</v>
      </c>
      <c r="O295" s="27">
        <f t="shared" si="478"/>
        <v>1.8210548383401</v>
      </c>
      <c r="P295" s="25">
        <f t="shared" si="487"/>
        <v>0.247989710422947</v>
      </c>
      <c r="Q295" s="25">
        <f t="shared" si="488"/>
        <v>11.3007969306659</v>
      </c>
      <c r="R295" s="25"/>
      <c r="S295" s="27">
        <f t="shared" si="489"/>
        <v>4.61026541351925</v>
      </c>
      <c r="T295" s="27">
        <f t="shared" si="490"/>
        <v>4.61026541351925</v>
      </c>
      <c r="U295" s="25">
        <f t="shared" si="491"/>
        <v>1.5</v>
      </c>
      <c r="V295" s="25">
        <f t="shared" si="492"/>
        <v>2.67857142857143</v>
      </c>
      <c r="W295" s="25">
        <f t="shared" si="493"/>
        <v>11.2213394731082</v>
      </c>
      <c r="X295" s="24">
        <f t="shared" si="494"/>
        <v>350</v>
      </c>
      <c r="Y295" s="131">
        <f t="shared" si="480"/>
        <v>71.9429071936831</v>
      </c>
      <c r="AA295" s="25">
        <f t="shared" si="495"/>
        <v>0.308326745115785</v>
      </c>
      <c r="AB295" s="5">
        <f t="shared" si="496"/>
        <v>2.30655938372181</v>
      </c>
      <c r="AC295" s="5">
        <f t="shared" si="497"/>
        <v>0.0830117789868286</v>
      </c>
      <c r="AD295" s="5"/>
      <c r="AE295" s="5">
        <f t="shared" si="498"/>
        <v>2.24426789462164</v>
      </c>
      <c r="AF295" s="216">
        <f t="shared" si="499"/>
        <v>1759.15985630231</v>
      </c>
      <c r="AG295" s="217">
        <f t="shared" si="500"/>
        <v>0.0785886509999132</v>
      </c>
      <c r="AI295" s="5">
        <f t="shared" si="501"/>
        <v>0.672573707202857</v>
      </c>
      <c r="AJ295" s="5">
        <f t="shared" si="502"/>
        <v>1.5</v>
      </c>
      <c r="AK295" s="5">
        <f t="shared" si="503"/>
        <v>2</v>
      </c>
      <c r="AM295" s="216">
        <f t="shared" si="504"/>
        <v>395</v>
      </c>
      <c r="AN295" s="220">
        <f t="shared" si="505"/>
        <v>71.9429071936831</v>
      </c>
      <c r="AP295" t="str">
        <f t="shared" si="506"/>
        <v/>
      </c>
      <c r="AQ295" t="str">
        <f t="shared" si="507"/>
        <v/>
      </c>
      <c r="AS295" s="192">
        <f t="shared" si="479"/>
        <v>13.8999109016796</v>
      </c>
      <c r="AT295" s="192">
        <f t="shared" si="508"/>
        <v>2.67857142857143</v>
      </c>
      <c r="AU295" s="192">
        <f t="shared" si="440"/>
        <v>11.2213394731082</v>
      </c>
      <c r="AV295" s="192"/>
      <c r="AW295" s="5">
        <f t="shared" si="441"/>
        <v>0.192704215697365</v>
      </c>
      <c r="AX295" s="5"/>
      <c r="BA295" s="220">
        <f t="shared" si="509"/>
        <v>4.67115663597264</v>
      </c>
      <c r="BB295" s="220">
        <f t="shared" si="510"/>
        <v>85.1021835838967</v>
      </c>
      <c r="BC295" s="192">
        <f t="shared" si="442"/>
        <v>10.5534025997089</v>
      </c>
      <c r="BD295" s="220">
        <f t="shared" si="511"/>
        <v>0</v>
      </c>
      <c r="BQ295" s="217">
        <f t="shared" si="512"/>
        <v>0.260808625</v>
      </c>
      <c r="CG295" s="227">
        <f t="shared" si="513"/>
        <v>-50</v>
      </c>
      <c r="CH295">
        <f t="shared" si="514"/>
        <v>-50</v>
      </c>
    </row>
    <row r="296" spans="5:86">
      <c r="E296" s="22">
        <v>80</v>
      </c>
      <c r="F296" s="25">
        <f t="shared" si="515"/>
        <v>0.4</v>
      </c>
      <c r="G296" s="25"/>
      <c r="H296" s="25">
        <f t="shared" si="481"/>
        <v>7.2</v>
      </c>
      <c r="I296" s="212">
        <f t="shared" si="482"/>
        <v>14</v>
      </c>
      <c r="J296" s="131">
        <f t="shared" si="483"/>
        <v>3.19408615965497</v>
      </c>
      <c r="K296" s="131">
        <f t="shared" si="484"/>
        <v>26.2728</v>
      </c>
      <c r="L296" s="131"/>
      <c r="M296" s="25">
        <f t="shared" si="485"/>
        <v>0.467129502755702</v>
      </c>
      <c r="N296" s="27">
        <f t="shared" si="486"/>
        <v>4.46381478761305</v>
      </c>
      <c r="O296" s="27">
        <f t="shared" si="478"/>
        <v>1.75549394881857</v>
      </c>
      <c r="P296" s="25">
        <f t="shared" si="487"/>
        <v>0.247989710422947</v>
      </c>
      <c r="Q296" s="25">
        <f t="shared" si="488"/>
        <v>11.1595369690326</v>
      </c>
      <c r="R296" s="25"/>
      <c r="S296" s="27">
        <f t="shared" si="489"/>
        <v>4.38873487204643</v>
      </c>
      <c r="T296" s="27">
        <f t="shared" si="490"/>
        <v>4.38873487204643</v>
      </c>
      <c r="U296" s="25">
        <f t="shared" si="491"/>
        <v>1.5</v>
      </c>
      <c r="V296" s="25">
        <f t="shared" si="492"/>
        <v>2.67857142857143</v>
      </c>
      <c r="W296" s="25">
        <f t="shared" si="493"/>
        <v>11.7404472282773</v>
      </c>
      <c r="X296" s="24">
        <f t="shared" si="494"/>
        <v>346.764236803669</v>
      </c>
      <c r="Y296" s="131">
        <f t="shared" si="480"/>
        <v>69.3528473607337</v>
      </c>
      <c r="AA296" s="25">
        <f t="shared" si="495"/>
        <v>0.3</v>
      </c>
      <c r="AB296" s="5">
        <f t="shared" si="496"/>
        <v>2.34808944565545</v>
      </c>
      <c r="AC296" s="5">
        <f t="shared" si="497"/>
        <v>0.0814640561291748</v>
      </c>
      <c r="AD296" s="5"/>
      <c r="AE296" s="5">
        <f t="shared" si="498"/>
        <v>2.34808944565545</v>
      </c>
      <c r="AF296" s="216">
        <f t="shared" si="499"/>
        <v>1702.66128783873</v>
      </c>
      <c r="AG296" s="217">
        <f t="shared" si="500"/>
        <v>0.0814640561291748</v>
      </c>
      <c r="AI296" s="5">
        <f t="shared" si="501"/>
        <v>0.661685112649052</v>
      </c>
      <c r="AJ296" s="5">
        <f t="shared" si="502"/>
        <v>1.5</v>
      </c>
      <c r="AK296" s="5">
        <f t="shared" si="503"/>
        <v>2</v>
      </c>
      <c r="AM296" s="216">
        <f t="shared" si="504"/>
        <v>400</v>
      </c>
      <c r="AN296" s="220">
        <f t="shared" si="505"/>
        <v>69.3528473607337</v>
      </c>
      <c r="AP296" t="str">
        <f t="shared" si="506"/>
        <v/>
      </c>
      <c r="AQ296" t="str">
        <f t="shared" si="507"/>
        <v/>
      </c>
      <c r="AS296" s="192">
        <f t="shared" si="479"/>
        <v>14.4190186568487</v>
      </c>
      <c r="AT296" s="192">
        <f t="shared" si="508"/>
        <v>2.67857142857143</v>
      </c>
      <c r="AU296" s="192">
        <f t="shared" si="440"/>
        <v>11.7404472282773</v>
      </c>
      <c r="AV296" s="192"/>
      <c r="AW296" s="5">
        <f t="shared" si="441"/>
        <v>0.185766555430537</v>
      </c>
      <c r="AX296" s="5"/>
      <c r="BA296" s="220">
        <f t="shared" si="509"/>
        <v>4.67115663597264</v>
      </c>
      <c r="BB296" s="220">
        <f t="shared" si="510"/>
        <v>87.2551153560229</v>
      </c>
      <c r="BC296" s="192">
        <f t="shared" si="442"/>
        <v>11.181378312645</v>
      </c>
      <c r="BD296" s="220">
        <f t="shared" si="511"/>
        <v>0</v>
      </c>
      <c r="BQ296" s="217">
        <f t="shared" si="512"/>
        <v>0.26411</v>
      </c>
      <c r="CG296" s="227">
        <f t="shared" si="513"/>
        <v>-50</v>
      </c>
      <c r="CH296">
        <f t="shared" si="514"/>
        <v>-50</v>
      </c>
    </row>
    <row r="297" spans="5:86">
      <c r="E297" s="22">
        <v>81</v>
      </c>
      <c r="F297" s="25">
        <f t="shared" si="515"/>
        <v>0.405</v>
      </c>
      <c r="G297" s="25"/>
      <c r="H297" s="25">
        <f t="shared" si="481"/>
        <v>7.29</v>
      </c>
      <c r="I297" s="212">
        <f t="shared" si="482"/>
        <v>14</v>
      </c>
      <c r="J297" s="131">
        <f t="shared" si="483"/>
        <v>3.05341813554274</v>
      </c>
      <c r="K297" s="131">
        <f t="shared" si="484"/>
        <v>26.2728</v>
      </c>
      <c r="L297" s="131"/>
      <c r="M297" s="25">
        <f t="shared" si="485"/>
        <v>0.467129502755702</v>
      </c>
      <c r="N297" s="27">
        <f t="shared" si="486"/>
        <v>4.46381478761305</v>
      </c>
      <c r="O297" s="27">
        <f t="shared" si="478"/>
        <v>1.69202450508967</v>
      </c>
      <c r="P297" s="25">
        <f t="shared" si="487"/>
        <v>0.247989710422947</v>
      </c>
      <c r="Q297" s="25">
        <f t="shared" si="488"/>
        <v>11.0217649076865</v>
      </c>
      <c r="R297" s="25"/>
      <c r="S297" s="27">
        <f t="shared" si="489"/>
        <v>4.17783828417202</v>
      </c>
      <c r="T297" s="27">
        <f t="shared" si="490"/>
        <v>4.17783828417202</v>
      </c>
      <c r="U297" s="25">
        <f t="shared" si="491"/>
        <v>1.5</v>
      </c>
      <c r="V297" s="25">
        <f t="shared" si="492"/>
        <v>2.67857142857143</v>
      </c>
      <c r="W297" s="25">
        <f t="shared" si="493"/>
        <v>12.2813182916183</v>
      </c>
      <c r="X297" s="24">
        <f t="shared" si="494"/>
        <v>334.227062733762</v>
      </c>
      <c r="Y297" s="131">
        <f t="shared" si="480"/>
        <v>66.8454125467523</v>
      </c>
      <c r="AA297" s="25">
        <f t="shared" si="495"/>
        <v>0.3</v>
      </c>
      <c r="AB297" s="5">
        <f t="shared" si="496"/>
        <v>2.45626365832366</v>
      </c>
      <c r="AC297" s="5">
        <f t="shared" si="497"/>
        <v>0.082136026271511</v>
      </c>
      <c r="AD297" s="5"/>
      <c r="AE297" s="5">
        <f t="shared" si="498"/>
        <v>2.45626365832366</v>
      </c>
      <c r="AF297" s="216">
        <f t="shared" si="499"/>
        <v>1648.02178230193</v>
      </c>
      <c r="AG297" s="217">
        <f t="shared" si="500"/>
        <v>0.082136026271511</v>
      </c>
      <c r="AI297" s="5">
        <f t="shared" si="501"/>
        <v>0.65098158939772</v>
      </c>
      <c r="AJ297" s="5">
        <f t="shared" si="502"/>
        <v>1.5</v>
      </c>
      <c r="AK297" s="5">
        <f t="shared" si="503"/>
        <v>2</v>
      </c>
      <c r="AM297" s="216">
        <f t="shared" si="504"/>
        <v>405</v>
      </c>
      <c r="AN297" s="220">
        <f t="shared" si="505"/>
        <v>66.8454125467523</v>
      </c>
      <c r="AP297" t="str">
        <f t="shared" si="506"/>
        <v/>
      </c>
      <c r="AQ297" t="str">
        <f t="shared" si="507"/>
        <v/>
      </c>
      <c r="AS297" s="192">
        <f t="shared" si="479"/>
        <v>14.9598897201897</v>
      </c>
      <c r="AT297" s="192">
        <f t="shared" si="508"/>
        <v>2.67857142857143</v>
      </c>
      <c r="AU297" s="192">
        <f t="shared" si="440"/>
        <v>12.2813182916183</v>
      </c>
      <c r="AV297" s="192"/>
      <c r="AW297" s="5">
        <f t="shared" si="441"/>
        <v>0.179050212178801</v>
      </c>
      <c r="AX297" s="5"/>
      <c r="BA297" s="220">
        <f t="shared" si="509"/>
        <v>4.67115663597264</v>
      </c>
      <c r="BB297" s="220">
        <f t="shared" si="510"/>
        <v>89.4349393516979</v>
      </c>
      <c r="BC297" s="192">
        <f t="shared" si="442"/>
        <v>11.8426997812033</v>
      </c>
      <c r="BD297" s="220">
        <f t="shared" si="511"/>
        <v>0</v>
      </c>
      <c r="BQ297" s="217">
        <f t="shared" si="512"/>
        <v>0.267411375</v>
      </c>
      <c r="CG297" s="227">
        <f t="shared" si="513"/>
        <v>-50</v>
      </c>
      <c r="CH297">
        <f t="shared" si="514"/>
        <v>-50</v>
      </c>
    </row>
    <row r="298" spans="5:86">
      <c r="E298" s="22">
        <v>82</v>
      </c>
      <c r="F298" s="25">
        <f t="shared" si="515"/>
        <v>0.41</v>
      </c>
      <c r="G298" s="25"/>
      <c r="H298" s="25">
        <f t="shared" si="481"/>
        <v>7.38</v>
      </c>
      <c r="I298" s="212">
        <f t="shared" si="482"/>
        <v>14</v>
      </c>
      <c r="J298" s="131">
        <f t="shared" si="483"/>
        <v>2.91966252423547</v>
      </c>
      <c r="K298" s="131">
        <f t="shared" si="484"/>
        <v>26.2728</v>
      </c>
      <c r="L298" s="131"/>
      <c r="M298" s="25">
        <f t="shared" si="485"/>
        <v>0.467129502755702</v>
      </c>
      <c r="N298" s="27">
        <f t="shared" si="486"/>
        <v>4.46381478761305</v>
      </c>
      <c r="O298" s="27">
        <f t="shared" si="478"/>
        <v>1.63069510485239</v>
      </c>
      <c r="P298" s="25">
        <f t="shared" si="487"/>
        <v>0.247989710422947</v>
      </c>
      <c r="Q298" s="25">
        <f t="shared" si="488"/>
        <v>10.8873531405196</v>
      </c>
      <c r="R298" s="25"/>
      <c r="S298" s="27">
        <f t="shared" si="489"/>
        <v>3.97730513378632</v>
      </c>
      <c r="T298" s="27">
        <f t="shared" si="490"/>
        <v>3.97730513378632</v>
      </c>
      <c r="U298" s="25">
        <f t="shared" si="491"/>
        <v>1.5</v>
      </c>
      <c r="V298" s="25">
        <f t="shared" si="492"/>
        <v>2.67857142857143</v>
      </c>
      <c r="W298" s="25">
        <f t="shared" si="493"/>
        <v>12.843950178735</v>
      </c>
      <c r="X298" s="24">
        <f t="shared" si="494"/>
        <v>322.112613304176</v>
      </c>
      <c r="Y298" s="131">
        <f t="shared" si="480"/>
        <v>64.4225226608352</v>
      </c>
      <c r="AA298" s="25">
        <f t="shared" si="495"/>
        <v>0.3</v>
      </c>
      <c r="AB298" s="5">
        <f t="shared" si="496"/>
        <v>2.56879003574699</v>
      </c>
      <c r="AC298" s="5">
        <f t="shared" si="497"/>
        <v>0.0827853391279914</v>
      </c>
      <c r="AD298" s="5"/>
      <c r="AE298" s="5">
        <f t="shared" si="498"/>
        <v>2.56879003574699</v>
      </c>
      <c r="AF298" s="216">
        <f t="shared" si="499"/>
        <v>1595.28453764657</v>
      </c>
      <c r="AG298" s="217">
        <f t="shared" si="500"/>
        <v>0.0827853391279913</v>
      </c>
      <c r="AI298" s="5">
        <f t="shared" si="501"/>
        <v>0.640481087906786</v>
      </c>
      <c r="AJ298" s="5">
        <f t="shared" si="502"/>
        <v>1.5</v>
      </c>
      <c r="AK298" s="5">
        <f t="shared" si="503"/>
        <v>2</v>
      </c>
      <c r="AM298" s="216">
        <f t="shared" si="504"/>
        <v>410</v>
      </c>
      <c r="AN298" s="220">
        <f t="shared" si="505"/>
        <v>64.4225226608352</v>
      </c>
      <c r="AP298" t="str">
        <f t="shared" si="506"/>
        <v/>
      </c>
      <c r="AQ298" t="str">
        <f t="shared" si="507"/>
        <v/>
      </c>
      <c r="AS298" s="192">
        <f t="shared" si="479"/>
        <v>15.5225216073064</v>
      </c>
      <c r="AT298" s="192">
        <f t="shared" si="508"/>
        <v>2.67857142857143</v>
      </c>
      <c r="AU298" s="192">
        <f t="shared" ref="AU298:AU316" si="516">AS298-AT298</f>
        <v>12.843950178735</v>
      </c>
      <c r="AV298" s="192"/>
      <c r="AW298" s="5">
        <f t="shared" ref="AW298:AW316" si="517">AT298/AS298</f>
        <v>0.172560328555809</v>
      </c>
      <c r="AX298" s="5"/>
      <c r="BA298" s="220">
        <f t="shared" si="509"/>
        <v>4.67115663597264</v>
      </c>
      <c r="BB298" s="220">
        <f t="shared" si="510"/>
        <v>91.6416555709216</v>
      </c>
      <c r="BC298" s="192">
        <f t="shared" si="442"/>
        <v>12.538141841146</v>
      </c>
      <c r="BD298" s="220">
        <f t="shared" si="511"/>
        <v>0</v>
      </c>
      <c r="BQ298" s="217">
        <f t="shared" si="512"/>
        <v>0.27071275</v>
      </c>
      <c r="CG298" s="227">
        <f t="shared" si="513"/>
        <v>-50</v>
      </c>
      <c r="CH298">
        <f t="shared" si="514"/>
        <v>-50</v>
      </c>
    </row>
    <row r="299" spans="5:86">
      <c r="E299" s="22">
        <v>83</v>
      </c>
      <c r="F299" s="25">
        <f t="shared" si="515"/>
        <v>0.415</v>
      </c>
      <c r="G299" s="25"/>
      <c r="H299" s="25">
        <f t="shared" si="481"/>
        <v>7.47</v>
      </c>
      <c r="I299" s="212">
        <f t="shared" si="482"/>
        <v>14</v>
      </c>
      <c r="J299" s="131">
        <f t="shared" si="483"/>
        <v>2.7926325681539</v>
      </c>
      <c r="K299" s="131">
        <f t="shared" si="484"/>
        <v>26.2728</v>
      </c>
      <c r="L299" s="131"/>
      <c r="M299" s="25">
        <f t="shared" si="485"/>
        <v>0.467129502755702</v>
      </c>
      <c r="N299" s="27">
        <f t="shared" si="486"/>
        <v>4.46381478761305</v>
      </c>
      <c r="O299" s="27">
        <f t="shared" si="478"/>
        <v>1.57154500117521</v>
      </c>
      <c r="P299" s="25">
        <f t="shared" si="487"/>
        <v>0.247989710422947</v>
      </c>
      <c r="Q299" s="25">
        <f t="shared" si="488"/>
        <v>10.7561802111158</v>
      </c>
      <c r="R299" s="25"/>
      <c r="S299" s="27">
        <f t="shared" si="489"/>
        <v>3.78685542451859</v>
      </c>
      <c r="T299" s="27">
        <f t="shared" si="490"/>
        <v>3.78685542451859</v>
      </c>
      <c r="U299" s="25">
        <f t="shared" si="491"/>
        <v>1.5</v>
      </c>
      <c r="V299" s="25">
        <f t="shared" si="492"/>
        <v>2.67857142857143</v>
      </c>
      <c r="W299" s="25">
        <f t="shared" si="493"/>
        <v>13.42818974026</v>
      </c>
      <c r="X299" s="24">
        <f t="shared" si="494"/>
        <v>310.428642207449</v>
      </c>
      <c r="Y299" s="131">
        <f t="shared" si="480"/>
        <v>62.0857284414899</v>
      </c>
      <c r="AA299" s="25">
        <f t="shared" si="495"/>
        <v>0.3</v>
      </c>
      <c r="AB299" s="5">
        <f t="shared" si="496"/>
        <v>2.68563794805199</v>
      </c>
      <c r="AC299" s="5">
        <f t="shared" si="497"/>
        <v>0.0834115791145418</v>
      </c>
      <c r="AD299" s="5"/>
      <c r="AE299" s="5">
        <f t="shared" si="498"/>
        <v>2.68563794805199</v>
      </c>
      <c r="AF299" s="216">
        <f t="shared" si="499"/>
        <v>1544.48444548908</v>
      </c>
      <c r="AG299" s="217">
        <f t="shared" si="500"/>
        <v>0.0834115791145418</v>
      </c>
      <c r="AI299" s="5">
        <f t="shared" si="501"/>
        <v>0.630200875218182</v>
      </c>
      <c r="AJ299" s="5">
        <f t="shared" si="502"/>
        <v>1.5</v>
      </c>
      <c r="AK299" s="5">
        <f t="shared" si="503"/>
        <v>2</v>
      </c>
      <c r="AM299" s="216">
        <f t="shared" si="504"/>
        <v>415</v>
      </c>
      <c r="AN299" s="220">
        <f t="shared" si="505"/>
        <v>62.0857284414899</v>
      </c>
      <c r="AP299" t="str">
        <f t="shared" si="506"/>
        <v/>
      </c>
      <c r="AQ299" t="str">
        <f t="shared" si="507"/>
        <v/>
      </c>
      <c r="AS299" s="192">
        <f t="shared" si="479"/>
        <v>16.1067611688314</v>
      </c>
      <c r="AT299" s="192">
        <f t="shared" si="508"/>
        <v>2.67857142857143</v>
      </c>
      <c r="AU299" s="192">
        <f t="shared" si="516"/>
        <v>13.42818974026</v>
      </c>
      <c r="AV299" s="192"/>
      <c r="AW299" s="5">
        <f t="shared" si="517"/>
        <v>0.166301058325419</v>
      </c>
      <c r="AX299" s="5"/>
      <c r="BA299" s="220">
        <f t="shared" si="509"/>
        <v>4.67115663597264</v>
      </c>
      <c r="BB299" s="220">
        <f t="shared" si="510"/>
        <v>93.8752640136941</v>
      </c>
      <c r="BC299" s="192">
        <f t="shared" si="442"/>
        <v>13.2683303385902</v>
      </c>
      <c r="BD299" s="220">
        <f t="shared" si="511"/>
        <v>0</v>
      </c>
      <c r="BQ299" s="217">
        <f t="shared" si="512"/>
        <v>0.274014125</v>
      </c>
      <c r="CG299" s="227">
        <f t="shared" si="513"/>
        <v>-50</v>
      </c>
      <c r="CH299">
        <f t="shared" si="514"/>
        <v>-50</v>
      </c>
    </row>
    <row r="300" spans="5:86">
      <c r="E300" s="22">
        <v>84</v>
      </c>
      <c r="F300" s="25">
        <f t="shared" si="515"/>
        <v>0.42</v>
      </c>
      <c r="G300" s="25"/>
      <c r="H300" s="25">
        <f t="shared" si="481"/>
        <v>7.56</v>
      </c>
      <c r="I300" s="212">
        <f t="shared" si="482"/>
        <v>14</v>
      </c>
      <c r="J300" s="131">
        <f t="shared" si="483"/>
        <v>2.67213405951988</v>
      </c>
      <c r="K300" s="131">
        <f t="shared" si="484"/>
        <v>26.2728</v>
      </c>
      <c r="L300" s="131"/>
      <c r="M300" s="25">
        <f t="shared" si="485"/>
        <v>0.467129502755702</v>
      </c>
      <c r="N300" s="27">
        <f t="shared" si="486"/>
        <v>4.46381478761305</v>
      </c>
      <c r="O300" s="27">
        <f t="shared" si="478"/>
        <v>1.51460315591956</v>
      </c>
      <c r="P300" s="25">
        <f t="shared" si="487"/>
        <v>0.247989710422947</v>
      </c>
      <c r="Q300" s="25">
        <f t="shared" si="488"/>
        <v>10.6281304466977</v>
      </c>
      <c r="R300" s="25"/>
      <c r="S300" s="27">
        <f t="shared" si="489"/>
        <v>3.60619799028468</v>
      </c>
      <c r="T300" s="27">
        <f t="shared" si="490"/>
        <v>3.60619799028468</v>
      </c>
      <c r="U300" s="25">
        <f t="shared" si="491"/>
        <v>1.5</v>
      </c>
      <c r="V300" s="25">
        <f t="shared" si="492"/>
        <v>2.67857142857143</v>
      </c>
      <c r="W300" s="25">
        <f t="shared" si="493"/>
        <v>14.0337270379084</v>
      </c>
      <c r="X300" s="24">
        <f t="shared" si="494"/>
        <v>299.180870305099</v>
      </c>
      <c r="Y300" s="131">
        <f t="shared" si="480"/>
        <v>59.8361740610198</v>
      </c>
      <c r="AA300" s="25">
        <f t="shared" si="495"/>
        <v>0.3</v>
      </c>
      <c r="AB300" s="5">
        <f t="shared" si="496"/>
        <v>2.80674540758168</v>
      </c>
      <c r="AC300" s="5">
        <f t="shared" si="497"/>
        <v>0.0840144396032008</v>
      </c>
      <c r="AD300" s="5"/>
      <c r="AE300" s="5">
        <f t="shared" si="498"/>
        <v>2.80674540758167</v>
      </c>
      <c r="AF300" s="216">
        <f t="shared" si="499"/>
        <v>1495.64724970628</v>
      </c>
      <c r="AG300" s="217">
        <f t="shared" si="500"/>
        <v>0.0840144396032008</v>
      </c>
      <c r="AI300" s="5">
        <f t="shared" si="501"/>
        <v>0.620157243823959</v>
      </c>
      <c r="AJ300" s="5">
        <f t="shared" si="502"/>
        <v>1.5</v>
      </c>
      <c r="AK300" s="5">
        <f t="shared" si="503"/>
        <v>2</v>
      </c>
      <c r="AM300" s="216">
        <f t="shared" si="504"/>
        <v>420</v>
      </c>
      <c r="AN300" s="220">
        <f t="shared" si="505"/>
        <v>59.8361740610198</v>
      </c>
      <c r="AP300" t="str">
        <f t="shared" si="506"/>
        <v/>
      </c>
      <c r="AQ300" t="str">
        <f t="shared" si="507"/>
        <v/>
      </c>
      <c r="AS300" s="192">
        <f t="shared" si="479"/>
        <v>16.7122984664798</v>
      </c>
      <c r="AT300" s="192">
        <f t="shared" si="508"/>
        <v>2.67857142857143</v>
      </c>
      <c r="AU300" s="192">
        <f t="shared" si="516"/>
        <v>14.0337270379084</v>
      </c>
      <c r="AV300" s="192"/>
      <c r="AW300" s="5">
        <f t="shared" si="517"/>
        <v>0.160275466234875</v>
      </c>
      <c r="AX300" s="5"/>
      <c r="BA300" s="220">
        <f t="shared" si="509"/>
        <v>4.67115663597264</v>
      </c>
      <c r="BB300" s="220">
        <f t="shared" si="510"/>
        <v>96.1357646800153</v>
      </c>
      <c r="BC300" s="192">
        <f t="shared" si="442"/>
        <v>14.0337270379084</v>
      </c>
      <c r="BD300" s="220">
        <f t="shared" si="511"/>
        <v>0</v>
      </c>
      <c r="BQ300" s="217">
        <f t="shared" si="512"/>
        <v>0.2773155</v>
      </c>
      <c r="CG300" s="227">
        <f t="shared" si="513"/>
        <v>-50</v>
      </c>
      <c r="CH300">
        <f t="shared" si="514"/>
        <v>-50</v>
      </c>
    </row>
    <row r="301" spans="5:86">
      <c r="E301" s="22">
        <v>85</v>
      </c>
      <c r="F301" s="25">
        <f t="shared" si="515"/>
        <v>0.425</v>
      </c>
      <c r="G301" s="25"/>
      <c r="H301" s="25">
        <f t="shared" si="481"/>
        <v>7.65</v>
      </c>
      <c r="I301" s="212">
        <f t="shared" si="482"/>
        <v>14</v>
      </c>
      <c r="J301" s="131">
        <f t="shared" si="483"/>
        <v>2.55796464343276</v>
      </c>
      <c r="K301" s="131">
        <f t="shared" si="484"/>
        <v>26.2728</v>
      </c>
      <c r="L301" s="131"/>
      <c r="M301" s="25">
        <f t="shared" si="485"/>
        <v>0.467129502755702</v>
      </c>
      <c r="N301" s="27">
        <f t="shared" si="486"/>
        <v>4.46381478761305</v>
      </c>
      <c r="O301" s="27">
        <f t="shared" si="478"/>
        <v>1.45988751643017</v>
      </c>
      <c r="P301" s="25">
        <f t="shared" si="487"/>
        <v>0.247989710422947</v>
      </c>
      <c r="Q301" s="25">
        <f t="shared" si="488"/>
        <v>10.5030936179131</v>
      </c>
      <c r="R301" s="25"/>
      <c r="S301" s="27">
        <f t="shared" si="489"/>
        <v>3.43502945042392</v>
      </c>
      <c r="T301" s="27">
        <f t="shared" si="490"/>
        <v>3.43502945042392</v>
      </c>
      <c r="U301" s="25">
        <f t="shared" si="491"/>
        <v>1.5</v>
      </c>
      <c r="V301" s="25">
        <f t="shared" si="492"/>
        <v>2.67857142857143</v>
      </c>
      <c r="W301" s="25">
        <f t="shared" si="493"/>
        <v>14.6600931706685</v>
      </c>
      <c r="X301" s="24">
        <f t="shared" si="494"/>
        <v>288.372842751638</v>
      </c>
      <c r="Y301" s="131">
        <f t="shared" si="480"/>
        <v>57.6745685503275</v>
      </c>
      <c r="AA301" s="25">
        <f t="shared" si="495"/>
        <v>0.3</v>
      </c>
      <c r="AB301" s="5">
        <f t="shared" si="496"/>
        <v>2.9320186341337</v>
      </c>
      <c r="AC301" s="5">
        <f t="shared" si="497"/>
        <v>0.0845937305800171</v>
      </c>
      <c r="AD301" s="5"/>
      <c r="AE301" s="5">
        <f t="shared" si="498"/>
        <v>2.9320186341337</v>
      </c>
      <c r="AF301" s="216">
        <f t="shared" si="499"/>
        <v>1448.78890349348</v>
      </c>
      <c r="AG301" s="217">
        <f t="shared" si="500"/>
        <v>0.0845937305800172</v>
      </c>
      <c r="AI301" s="5">
        <f t="shared" si="501"/>
        <v>0.610365233316234</v>
      </c>
      <c r="AJ301" s="5">
        <f t="shared" si="502"/>
        <v>1.5</v>
      </c>
      <c r="AK301" s="5">
        <f t="shared" si="503"/>
        <v>2</v>
      </c>
      <c r="AM301" s="216">
        <f t="shared" si="504"/>
        <v>425</v>
      </c>
      <c r="AN301" s="220">
        <f t="shared" si="505"/>
        <v>57.6745685503275</v>
      </c>
      <c r="AP301" t="str">
        <f t="shared" si="506"/>
        <v/>
      </c>
      <c r="AQ301" t="str">
        <f t="shared" si="507"/>
        <v/>
      </c>
      <c r="AS301" s="192">
        <f t="shared" si="479"/>
        <v>17.3386645992399</v>
      </c>
      <c r="AT301" s="192">
        <f t="shared" si="508"/>
        <v>2.67857142857143</v>
      </c>
      <c r="AU301" s="192">
        <f t="shared" si="516"/>
        <v>14.6600931706685</v>
      </c>
      <c r="AV301" s="192"/>
      <c r="AW301" s="5">
        <f t="shared" si="517"/>
        <v>0.154485451474092</v>
      </c>
      <c r="AX301" s="5"/>
      <c r="BA301" s="220">
        <f t="shared" si="509"/>
        <v>4.67115663597264</v>
      </c>
      <c r="BB301" s="220">
        <f t="shared" si="510"/>
        <v>98.4231575698852</v>
      </c>
      <c r="BC301" s="192">
        <f t="shared" si="442"/>
        <v>14.8346180893669</v>
      </c>
      <c r="BD301" s="220">
        <f t="shared" si="511"/>
        <v>0</v>
      </c>
      <c r="BQ301" s="217">
        <f t="shared" si="512"/>
        <v>0.280616875</v>
      </c>
      <c r="CG301" s="227">
        <f t="shared" si="513"/>
        <v>-50</v>
      </c>
      <c r="CH301">
        <f t="shared" si="514"/>
        <v>-50</v>
      </c>
    </row>
    <row r="302" spans="5:86">
      <c r="E302" s="22">
        <v>86</v>
      </c>
      <c r="F302" s="25">
        <f t="shared" si="515"/>
        <v>0.43</v>
      </c>
      <c r="G302" s="25"/>
      <c r="H302" s="25">
        <f t="shared" si="481"/>
        <v>7.74</v>
      </c>
      <c r="I302" s="212">
        <f t="shared" si="482"/>
        <v>14</v>
      </c>
      <c r="J302" s="131">
        <f t="shared" si="483"/>
        <v>2.44991357968257</v>
      </c>
      <c r="K302" s="131">
        <f t="shared" si="484"/>
        <v>26.2728</v>
      </c>
      <c r="L302" s="131"/>
      <c r="M302" s="25">
        <f t="shared" si="485"/>
        <v>0.467129502755702</v>
      </c>
      <c r="N302" s="27">
        <f t="shared" si="486"/>
        <v>4.46381478761305</v>
      </c>
      <c r="O302" s="27">
        <f t="shared" si="478"/>
        <v>1.40740455661695</v>
      </c>
      <c r="P302" s="25">
        <f t="shared" si="487"/>
        <v>0.247989710422947</v>
      </c>
      <c r="Q302" s="25">
        <f t="shared" si="488"/>
        <v>10.3809646223559</v>
      </c>
      <c r="R302" s="25"/>
      <c r="S302" s="27">
        <f t="shared" si="489"/>
        <v>3.27303385259756</v>
      </c>
      <c r="T302" s="27">
        <f t="shared" si="490"/>
        <v>3.27303385259756</v>
      </c>
      <c r="U302" s="25">
        <f t="shared" si="491"/>
        <v>1.5</v>
      </c>
      <c r="V302" s="25">
        <f t="shared" si="492"/>
        <v>2.67857142857143</v>
      </c>
      <c r="W302" s="25">
        <f t="shared" si="493"/>
        <v>15.3066623700493</v>
      </c>
      <c r="X302" s="24">
        <f t="shared" si="494"/>
        <v>278.005838344089</v>
      </c>
      <c r="Y302" s="131">
        <f t="shared" si="480"/>
        <v>55.6011676688178</v>
      </c>
      <c r="AA302" s="25">
        <f t="shared" si="495"/>
        <v>0.3</v>
      </c>
      <c r="AB302" s="5">
        <f t="shared" si="496"/>
        <v>3.06133247400986</v>
      </c>
      <c r="AC302" s="5">
        <f t="shared" si="497"/>
        <v>0.0851493835037539</v>
      </c>
      <c r="AD302" s="5"/>
      <c r="AE302" s="5">
        <f t="shared" si="498"/>
        <v>3.06133247400986</v>
      </c>
      <c r="AF302" s="216">
        <f t="shared" si="499"/>
        <v>1403.91516143729</v>
      </c>
      <c r="AG302" s="217">
        <f t="shared" si="500"/>
        <v>0.0851493835037539</v>
      </c>
      <c r="AI302" s="5">
        <f t="shared" si="501"/>
        <v>0.600838377434531</v>
      </c>
      <c r="AJ302" s="5">
        <f t="shared" si="502"/>
        <v>1.5</v>
      </c>
      <c r="AK302" s="5">
        <f t="shared" si="503"/>
        <v>2</v>
      </c>
      <c r="AM302" s="216">
        <f t="shared" si="504"/>
        <v>430</v>
      </c>
      <c r="AN302" s="220">
        <f t="shared" si="505"/>
        <v>55.6011676688178</v>
      </c>
      <c r="AP302" t="str">
        <f t="shared" si="506"/>
        <v/>
      </c>
      <c r="AQ302" t="str">
        <f t="shared" si="507"/>
        <v/>
      </c>
      <c r="AS302" s="192">
        <f t="shared" si="479"/>
        <v>17.9852337986207</v>
      </c>
      <c r="AT302" s="192">
        <f t="shared" si="508"/>
        <v>2.67857142857143</v>
      </c>
      <c r="AU302" s="192">
        <f t="shared" si="516"/>
        <v>15.3066623700493</v>
      </c>
      <c r="AV302" s="192"/>
      <c r="AW302" s="5">
        <f t="shared" si="517"/>
        <v>0.148931699112905</v>
      </c>
      <c r="AX302" s="5"/>
      <c r="BA302" s="220">
        <f t="shared" si="509"/>
        <v>4.67115663597264</v>
      </c>
      <c r="BB302" s="220">
        <f t="shared" si="510"/>
        <v>100.737442683304</v>
      </c>
      <c r="BC302" s="192">
        <f t="shared" si="442"/>
        <v>15.6711067121933</v>
      </c>
      <c r="BD302" s="220">
        <f t="shared" si="511"/>
        <v>0</v>
      </c>
      <c r="BQ302" s="217">
        <f t="shared" si="512"/>
        <v>0.28391825</v>
      </c>
      <c r="CG302" s="227">
        <f t="shared" si="513"/>
        <v>-50</v>
      </c>
      <c r="CH302">
        <f t="shared" si="514"/>
        <v>-50</v>
      </c>
    </row>
    <row r="303" spans="5:86">
      <c r="E303" s="22">
        <v>87</v>
      </c>
      <c r="F303" s="25">
        <f t="shared" si="515"/>
        <v>0.435</v>
      </c>
      <c r="G303" s="25"/>
      <c r="H303" s="25">
        <f t="shared" si="481"/>
        <v>7.83</v>
      </c>
      <c r="I303" s="212">
        <f t="shared" si="482"/>
        <v>14</v>
      </c>
      <c r="J303" s="131">
        <f t="shared" si="483"/>
        <v>2.34776196774489</v>
      </c>
      <c r="K303" s="131">
        <f t="shared" si="484"/>
        <v>26.2728</v>
      </c>
      <c r="L303" s="131"/>
      <c r="M303" s="25">
        <f t="shared" si="485"/>
        <v>0.467129502755702</v>
      </c>
      <c r="N303" s="27">
        <f t="shared" si="486"/>
        <v>4.46381478761305</v>
      </c>
      <c r="O303" s="27">
        <f t="shared" si="478"/>
        <v>1.35714910939884</v>
      </c>
      <c r="P303" s="25">
        <f t="shared" si="487"/>
        <v>0.247989710422947</v>
      </c>
      <c r="Q303" s="25">
        <f t="shared" si="488"/>
        <v>10.2616431899151</v>
      </c>
      <c r="R303" s="25"/>
      <c r="S303" s="27">
        <f t="shared" si="489"/>
        <v>3.11988301011228</v>
      </c>
      <c r="T303" s="27">
        <f t="shared" si="490"/>
        <v>3.11988301011228</v>
      </c>
      <c r="U303" s="25">
        <f t="shared" si="491"/>
        <v>1.5</v>
      </c>
      <c r="V303" s="25">
        <f t="shared" si="492"/>
        <v>2.67857142857143</v>
      </c>
      <c r="W303" s="25">
        <f t="shared" si="493"/>
        <v>15.9726584360765</v>
      </c>
      <c r="X303" s="24">
        <f t="shared" si="494"/>
        <v>268.078836424462</v>
      </c>
      <c r="Y303" s="131">
        <f t="shared" si="480"/>
        <v>53.6157672848924</v>
      </c>
      <c r="AA303" s="25">
        <f t="shared" si="495"/>
        <v>0.3</v>
      </c>
      <c r="AB303" s="5">
        <f t="shared" si="496"/>
        <v>3.1945316872153</v>
      </c>
      <c r="AC303" s="5">
        <f t="shared" si="497"/>
        <v>0.0856814530798568</v>
      </c>
      <c r="AD303" s="5"/>
      <c r="AE303" s="5">
        <f t="shared" si="498"/>
        <v>3.1945316872153</v>
      </c>
      <c r="AF303" s="216">
        <f t="shared" si="499"/>
        <v>1361.02143057675</v>
      </c>
      <c r="AG303" s="217">
        <f t="shared" si="500"/>
        <v>0.0856814530798567</v>
      </c>
      <c r="AI303" s="5">
        <f t="shared" si="501"/>
        <v>0.591588488132725</v>
      </c>
      <c r="AJ303" s="5">
        <f t="shared" si="502"/>
        <v>1.5</v>
      </c>
      <c r="AK303" s="5">
        <f t="shared" si="503"/>
        <v>2</v>
      </c>
      <c r="AM303" s="216">
        <f t="shared" si="504"/>
        <v>435</v>
      </c>
      <c r="AN303" s="220">
        <f t="shared" si="505"/>
        <v>53.6157672848924</v>
      </c>
      <c r="AP303" t="str">
        <f t="shared" si="506"/>
        <v/>
      </c>
      <c r="AQ303" t="str">
        <f t="shared" si="507"/>
        <v/>
      </c>
      <c r="AS303" s="192">
        <f t="shared" si="479"/>
        <v>18.651229864648</v>
      </c>
      <c r="AT303" s="192">
        <f t="shared" si="508"/>
        <v>2.67857142857143</v>
      </c>
      <c r="AU303" s="192">
        <f t="shared" si="516"/>
        <v>15.9726584360765</v>
      </c>
      <c r="AV303" s="192"/>
      <c r="AW303" s="5">
        <f t="shared" si="517"/>
        <v>0.143613662370248</v>
      </c>
      <c r="AX303" s="5"/>
      <c r="BA303" s="220">
        <f t="shared" si="509"/>
        <v>4.67115663597264</v>
      </c>
      <c r="BB303" s="220">
        <f t="shared" si="510"/>
        <v>103.078620020272</v>
      </c>
      <c r="BC303" s="192">
        <f t="shared" si="442"/>
        <v>16.5431105230793</v>
      </c>
      <c r="BD303" s="220">
        <f t="shared" si="511"/>
        <v>0</v>
      </c>
      <c r="BQ303" s="217">
        <f t="shared" si="512"/>
        <v>0.287219625</v>
      </c>
      <c r="CG303" s="227">
        <f t="shared" si="513"/>
        <v>-50</v>
      </c>
      <c r="CH303">
        <f t="shared" si="514"/>
        <v>-50</v>
      </c>
    </row>
    <row r="304" spans="5:86">
      <c r="E304" s="22">
        <v>88</v>
      </c>
      <c r="F304" s="25">
        <f t="shared" si="515"/>
        <v>0.44</v>
      </c>
      <c r="G304" s="25"/>
      <c r="H304" s="25">
        <f t="shared" si="481"/>
        <v>7.92</v>
      </c>
      <c r="I304" s="212">
        <f t="shared" si="482"/>
        <v>14</v>
      </c>
      <c r="J304" s="131">
        <f t="shared" si="483"/>
        <v>2.25128341329311</v>
      </c>
      <c r="K304" s="131">
        <f t="shared" si="484"/>
        <v>26.2728</v>
      </c>
      <c r="L304" s="131"/>
      <c r="M304" s="25">
        <f t="shared" si="485"/>
        <v>0.467129502755702</v>
      </c>
      <c r="N304" s="27">
        <f t="shared" si="486"/>
        <v>4.46381478761305</v>
      </c>
      <c r="O304" s="27">
        <f t="shared" si="478"/>
        <v>1.30910450052319</v>
      </c>
      <c r="P304" s="25">
        <f t="shared" si="487"/>
        <v>0.247989710422947</v>
      </c>
      <c r="Q304" s="25">
        <f t="shared" si="488"/>
        <v>10.1450336082115</v>
      </c>
      <c r="R304" s="25"/>
      <c r="S304" s="27">
        <f t="shared" si="489"/>
        <v>2.97523750118907</v>
      </c>
      <c r="T304" s="27">
        <f t="shared" si="490"/>
        <v>2.97523750118907</v>
      </c>
      <c r="U304" s="25">
        <f t="shared" si="491"/>
        <v>1.5</v>
      </c>
      <c r="V304" s="25">
        <f t="shared" si="492"/>
        <v>2.67857142857143</v>
      </c>
      <c r="W304" s="25">
        <f t="shared" si="493"/>
        <v>16.6571653211562</v>
      </c>
      <c r="X304" s="24">
        <f t="shared" si="494"/>
        <v>258.588543313223</v>
      </c>
      <c r="Y304" s="131">
        <f t="shared" si="480"/>
        <v>51.7177086626445</v>
      </c>
      <c r="AA304" s="25">
        <f t="shared" si="495"/>
        <v>0.3</v>
      </c>
      <c r="AB304" s="5">
        <f t="shared" si="496"/>
        <v>3.33143306423123</v>
      </c>
      <c r="AC304" s="5">
        <f t="shared" si="497"/>
        <v>0.0861901158436672</v>
      </c>
      <c r="AD304" s="5"/>
      <c r="AE304" s="5">
        <f t="shared" si="498"/>
        <v>3.33143306423123</v>
      </c>
      <c r="AF304" s="216">
        <f t="shared" si="499"/>
        <v>1320.09288935395</v>
      </c>
      <c r="AG304" s="217">
        <f t="shared" si="500"/>
        <v>0.0861901158436672</v>
      </c>
      <c r="AI304" s="5">
        <f t="shared" si="501"/>
        <v>0.582625486279517</v>
      </c>
      <c r="AJ304" s="5">
        <f t="shared" si="502"/>
        <v>1.5</v>
      </c>
      <c r="AK304" s="5">
        <f t="shared" si="503"/>
        <v>2</v>
      </c>
      <c r="AM304" s="216">
        <f t="shared" si="504"/>
        <v>440</v>
      </c>
      <c r="AN304" s="220">
        <f t="shared" si="505"/>
        <v>51.7177086626445</v>
      </c>
      <c r="AP304" t="str">
        <f t="shared" si="506"/>
        <v/>
      </c>
      <c r="AQ304" t="str">
        <f t="shared" si="507"/>
        <v/>
      </c>
      <c r="AS304" s="192">
        <f t="shared" si="479"/>
        <v>19.3357367497276</v>
      </c>
      <c r="AT304" s="192">
        <f t="shared" si="508"/>
        <v>2.67857142857143</v>
      </c>
      <c r="AU304" s="192">
        <f t="shared" si="516"/>
        <v>16.6571653211562</v>
      </c>
      <c r="AV304" s="192"/>
      <c r="AW304" s="5">
        <f t="shared" si="517"/>
        <v>0.138529576774941</v>
      </c>
      <c r="AX304" s="5"/>
      <c r="BA304" s="220">
        <f t="shared" si="509"/>
        <v>4.67115663597264</v>
      </c>
      <c r="BB304" s="220">
        <f t="shared" si="510"/>
        <v>105.446689580788</v>
      </c>
      <c r="BC304" s="192">
        <f t="shared" si="442"/>
        <v>17.4503636697826</v>
      </c>
      <c r="BD304" s="220">
        <f t="shared" si="511"/>
        <v>0</v>
      </c>
      <c r="BQ304" s="217">
        <f t="shared" si="512"/>
        <v>0.290521</v>
      </c>
      <c r="CG304" s="227">
        <f t="shared" si="513"/>
        <v>-50</v>
      </c>
      <c r="CH304">
        <f t="shared" si="514"/>
        <v>-50</v>
      </c>
    </row>
    <row r="305" spans="5:86">
      <c r="E305" s="22">
        <v>89</v>
      </c>
      <c r="F305" s="25">
        <f t="shared" si="515"/>
        <v>0.445</v>
      </c>
      <c r="G305" s="25"/>
      <c r="H305" s="25">
        <f t="shared" si="481"/>
        <v>8.01</v>
      </c>
      <c r="I305" s="212">
        <f t="shared" si="482"/>
        <v>14</v>
      </c>
      <c r="J305" s="131">
        <f t="shared" si="483"/>
        <v>2.16024508950431</v>
      </c>
      <c r="K305" s="131">
        <f t="shared" si="484"/>
        <v>26.2728</v>
      </c>
      <c r="L305" s="131"/>
      <c r="M305" s="25">
        <f t="shared" si="485"/>
        <v>0.467129502755702</v>
      </c>
      <c r="N305" s="27">
        <f t="shared" si="486"/>
        <v>4.46381478761305</v>
      </c>
      <c r="O305" s="27">
        <f t="shared" si="478"/>
        <v>1.26324297575625</v>
      </c>
      <c r="P305" s="25">
        <f t="shared" si="487"/>
        <v>0.247989710422947</v>
      </c>
      <c r="Q305" s="25">
        <f t="shared" si="488"/>
        <v>10.0310444665462</v>
      </c>
      <c r="R305" s="25"/>
      <c r="S305" s="27">
        <f t="shared" si="489"/>
        <v>2.83874826012641</v>
      </c>
      <c r="T305" s="27">
        <f t="shared" si="490"/>
        <v>2.83874826012641</v>
      </c>
      <c r="U305" s="25">
        <f t="shared" si="491"/>
        <v>1.5</v>
      </c>
      <c r="V305" s="25">
        <f t="shared" si="492"/>
        <v>2.67857142857143</v>
      </c>
      <c r="W305" s="25">
        <f t="shared" si="493"/>
        <v>17.3591414151089</v>
      </c>
      <c r="X305" s="24">
        <f t="shared" si="494"/>
        <v>249.529476692593</v>
      </c>
      <c r="Y305" s="131">
        <f t="shared" si="480"/>
        <v>49.9058953385186</v>
      </c>
      <c r="AA305" s="25">
        <f t="shared" si="495"/>
        <v>0.3</v>
      </c>
      <c r="AB305" s="5">
        <f t="shared" si="496"/>
        <v>3.47182828302178</v>
      </c>
      <c r="AC305" s="5">
        <f t="shared" si="497"/>
        <v>0.0866756656376283</v>
      </c>
      <c r="AD305" s="5"/>
      <c r="AE305" s="5">
        <f t="shared" si="498"/>
        <v>3.47182828302178</v>
      </c>
      <c r="AF305" s="216">
        <f t="shared" si="499"/>
        <v>1281.10486733889</v>
      </c>
      <c r="AG305" s="217">
        <f t="shared" si="500"/>
        <v>0.0866756656376283</v>
      </c>
      <c r="AI305" s="5">
        <f t="shared" si="501"/>
        <v>0.573957285768848</v>
      </c>
      <c r="AJ305" s="5">
        <f t="shared" si="502"/>
        <v>1.5</v>
      </c>
      <c r="AK305" s="5">
        <f t="shared" si="503"/>
        <v>2</v>
      </c>
      <c r="AM305" s="216">
        <f t="shared" si="504"/>
        <v>445</v>
      </c>
      <c r="AN305" s="220">
        <f t="shared" si="505"/>
        <v>49.9058953385186</v>
      </c>
      <c r="AP305" t="str">
        <f t="shared" si="506"/>
        <v/>
      </c>
      <c r="AQ305" t="str">
        <f t="shared" si="507"/>
        <v/>
      </c>
      <c r="AS305" s="192">
        <f t="shared" si="479"/>
        <v>20.0377128436803</v>
      </c>
      <c r="AT305" s="192">
        <f t="shared" si="508"/>
        <v>2.67857142857143</v>
      </c>
      <c r="AU305" s="192">
        <f t="shared" si="516"/>
        <v>17.3591414151089</v>
      </c>
      <c r="AV305" s="192"/>
      <c r="AW305" s="5">
        <f t="shared" si="517"/>
        <v>0.133676505371032</v>
      </c>
      <c r="AX305" s="5"/>
      <c r="BA305" s="220">
        <f t="shared" si="509"/>
        <v>4.67115663597264</v>
      </c>
      <c r="BB305" s="220">
        <f t="shared" si="510"/>
        <v>107.841651364853</v>
      </c>
      <c r="BC305" s="192">
        <f t="shared" si="442"/>
        <v>18.3924236421987</v>
      </c>
      <c r="BD305" s="220">
        <f t="shared" si="511"/>
        <v>0</v>
      </c>
      <c r="BQ305" s="217">
        <f t="shared" si="512"/>
        <v>0.293822375</v>
      </c>
      <c r="CG305" s="227">
        <f t="shared" si="513"/>
        <v>-50</v>
      </c>
      <c r="CH305">
        <f t="shared" si="514"/>
        <v>-50</v>
      </c>
    </row>
    <row r="306" spans="5:86">
      <c r="E306" s="22">
        <v>90</v>
      </c>
      <c r="F306" s="25">
        <f t="shared" si="515"/>
        <v>0.45</v>
      </c>
      <c r="G306" s="25"/>
      <c r="H306" s="25">
        <f t="shared" si="481"/>
        <v>8.1</v>
      </c>
      <c r="I306" s="212">
        <f t="shared" si="482"/>
        <v>14</v>
      </c>
      <c r="J306" s="131">
        <f t="shared" si="483"/>
        <v>2.07440912513981</v>
      </c>
      <c r="K306" s="131">
        <f t="shared" si="484"/>
        <v>26.2728</v>
      </c>
      <c r="L306" s="131"/>
      <c r="M306" s="25">
        <f t="shared" si="485"/>
        <v>0.467129502755702</v>
      </c>
      <c r="N306" s="27">
        <f t="shared" si="486"/>
        <v>4.46381478761305</v>
      </c>
      <c r="O306" s="27">
        <f t="shared" si="478"/>
        <v>1.21952639627123</v>
      </c>
      <c r="P306" s="25">
        <f t="shared" si="487"/>
        <v>0.247989710422947</v>
      </c>
      <c r="Q306" s="25">
        <f t="shared" si="488"/>
        <v>9.91958841691788</v>
      </c>
      <c r="R306" s="25"/>
      <c r="S306" s="27">
        <f t="shared" si="489"/>
        <v>2.71005865838052</v>
      </c>
      <c r="T306" s="27">
        <f t="shared" si="490"/>
        <v>2.71005865838052</v>
      </c>
      <c r="U306" s="25">
        <f t="shared" si="491"/>
        <v>1.5</v>
      </c>
      <c r="V306" s="25">
        <f t="shared" si="492"/>
        <v>2.67857142857143</v>
      </c>
      <c r="W306" s="25">
        <f t="shared" si="493"/>
        <v>18.0774368689073</v>
      </c>
      <c r="X306" s="24">
        <f t="shared" si="494"/>
        <v>240.894102967157</v>
      </c>
      <c r="Y306" s="131">
        <f t="shared" si="480"/>
        <v>48.1788205934314</v>
      </c>
      <c r="AA306" s="25">
        <f t="shared" si="495"/>
        <v>0.3</v>
      </c>
      <c r="AB306" s="5">
        <f t="shared" si="496"/>
        <v>3.61548737378145</v>
      </c>
      <c r="AC306" s="5">
        <f t="shared" si="497"/>
        <v>0.0871385062490014</v>
      </c>
      <c r="AD306" s="5"/>
      <c r="AE306" s="5">
        <f t="shared" si="498"/>
        <v>3.61548737378145</v>
      </c>
      <c r="AF306" s="216">
        <f t="shared" si="499"/>
        <v>1244.02346335221</v>
      </c>
      <c r="AG306" s="217">
        <f t="shared" si="500"/>
        <v>0.0871385062490014</v>
      </c>
      <c r="AI306" s="5">
        <f t="shared" si="501"/>
        <v>0.565589734453463</v>
      </c>
      <c r="AJ306" s="5">
        <f t="shared" si="502"/>
        <v>1.5</v>
      </c>
      <c r="AK306" s="5">
        <f t="shared" si="503"/>
        <v>2</v>
      </c>
      <c r="AM306" s="216">
        <f t="shared" si="504"/>
        <v>450</v>
      </c>
      <c r="AN306" s="220">
        <f t="shared" si="505"/>
        <v>48.1788205934314</v>
      </c>
      <c r="AP306" t="str">
        <f t="shared" si="506"/>
        <v/>
      </c>
      <c r="AQ306" t="str">
        <f t="shared" si="507"/>
        <v/>
      </c>
      <c r="AS306" s="192">
        <f t="shared" si="479"/>
        <v>20.7560082974787</v>
      </c>
      <c r="AT306" s="192">
        <f t="shared" si="508"/>
        <v>2.67857142857143</v>
      </c>
      <c r="AU306" s="192">
        <f t="shared" si="516"/>
        <v>18.0774368689073</v>
      </c>
      <c r="AV306" s="192"/>
      <c r="AW306" s="5">
        <f t="shared" si="517"/>
        <v>0.129050412303834</v>
      </c>
      <c r="AX306" s="5"/>
      <c r="BA306" s="220">
        <f t="shared" si="509"/>
        <v>4.67115663597264</v>
      </c>
      <c r="BB306" s="220">
        <f t="shared" si="510"/>
        <v>110.263505372467</v>
      </c>
      <c r="BC306" s="192">
        <f t="shared" si="442"/>
        <v>19.3686823595435</v>
      </c>
      <c r="BD306" s="220">
        <f t="shared" si="511"/>
        <v>0</v>
      </c>
      <c r="BQ306" s="217">
        <f t="shared" si="512"/>
        <v>0.29712375</v>
      </c>
      <c r="CG306" s="227">
        <f t="shared" si="513"/>
        <v>-50</v>
      </c>
      <c r="CH306">
        <f t="shared" si="514"/>
        <v>-50</v>
      </c>
    </row>
    <row r="307" spans="5:86">
      <c r="E307" s="22">
        <v>91</v>
      </c>
      <c r="F307" s="25">
        <f t="shared" si="515"/>
        <v>0.455</v>
      </c>
      <c r="G307" s="25"/>
      <c r="H307" s="25">
        <f t="shared" si="481"/>
        <v>8.19</v>
      </c>
      <c r="I307" s="212">
        <f t="shared" si="482"/>
        <v>14</v>
      </c>
      <c r="J307" s="131">
        <f t="shared" si="483"/>
        <v>1.99353423604036</v>
      </c>
      <c r="K307" s="131">
        <f t="shared" si="484"/>
        <v>26.2728</v>
      </c>
      <c r="L307" s="131"/>
      <c r="M307" s="25">
        <f t="shared" si="485"/>
        <v>0.467129502755702</v>
      </c>
      <c r="N307" s="27">
        <f t="shared" si="486"/>
        <v>4.46381478761305</v>
      </c>
      <c r="O307" s="27">
        <f t="shared" si="478"/>
        <v>1.17790716251629</v>
      </c>
      <c r="P307" s="25">
        <f t="shared" si="487"/>
        <v>0.247989710422947</v>
      </c>
      <c r="Q307" s="25">
        <f t="shared" si="488"/>
        <v>9.81058195079791</v>
      </c>
      <c r="R307" s="25"/>
      <c r="S307" s="27">
        <f t="shared" si="489"/>
        <v>2.58880695058525</v>
      </c>
      <c r="T307" s="27">
        <f t="shared" si="490"/>
        <v>2.58880695058525</v>
      </c>
      <c r="U307" s="25">
        <f t="shared" si="491"/>
        <v>1.5</v>
      </c>
      <c r="V307" s="25">
        <f t="shared" si="492"/>
        <v>2.67857142857143</v>
      </c>
      <c r="W307" s="25">
        <f t="shared" si="493"/>
        <v>18.8108131388222</v>
      </c>
      <c r="X307" s="24">
        <f t="shared" si="494"/>
        <v>232.673019756304</v>
      </c>
      <c r="Y307" s="131">
        <f t="shared" si="480"/>
        <v>46.5346039512608</v>
      </c>
      <c r="AA307" s="25">
        <f t="shared" si="495"/>
        <v>0.3</v>
      </c>
      <c r="AB307" s="5">
        <f t="shared" si="496"/>
        <v>3.76216262776445</v>
      </c>
      <c r="AC307" s="5">
        <f t="shared" si="497"/>
        <v>0.0875791416285974</v>
      </c>
      <c r="AD307" s="5"/>
      <c r="AE307" s="5">
        <f t="shared" si="498"/>
        <v>3.76216262776445</v>
      </c>
      <c r="AF307" s="216">
        <f t="shared" si="499"/>
        <v>1208.80636668115</v>
      </c>
      <c r="AG307" s="217">
        <f t="shared" si="500"/>
        <v>0.0875791416285974</v>
      </c>
      <c r="AI307" s="5">
        <f t="shared" si="501"/>
        <v>0.557526611796124</v>
      </c>
      <c r="AJ307" s="5">
        <f t="shared" si="502"/>
        <v>1.5</v>
      </c>
      <c r="AK307" s="5">
        <f t="shared" si="503"/>
        <v>2</v>
      </c>
      <c r="AM307" s="216">
        <f t="shared" si="504"/>
        <v>455</v>
      </c>
      <c r="AN307" s="220">
        <f t="shared" si="505"/>
        <v>46.5346039512608</v>
      </c>
      <c r="AP307" t="str">
        <f t="shared" si="506"/>
        <v/>
      </c>
      <c r="AQ307" t="str">
        <f t="shared" si="507"/>
        <v/>
      </c>
      <c r="AS307" s="192">
        <f t="shared" si="479"/>
        <v>21.4893845673937</v>
      </c>
      <c r="AT307" s="192">
        <f t="shared" si="508"/>
        <v>2.67857142857143</v>
      </c>
      <c r="AU307" s="192">
        <f t="shared" si="516"/>
        <v>18.8108131388222</v>
      </c>
      <c r="AV307" s="192"/>
      <c r="AW307" s="5">
        <f t="shared" si="517"/>
        <v>0.124646260583734</v>
      </c>
      <c r="AX307" s="5"/>
      <c r="BA307" s="220">
        <f t="shared" si="509"/>
        <v>4.67115663597264</v>
      </c>
      <c r="BB307" s="220">
        <f t="shared" si="510"/>
        <v>112.712251603629</v>
      </c>
      <c r="BC307" s="192">
        <f t="shared" si="442"/>
        <v>20.3783809003907</v>
      </c>
      <c r="BD307" s="220">
        <f t="shared" si="511"/>
        <v>0</v>
      </c>
      <c r="BQ307" s="217">
        <f t="shared" si="512"/>
        <v>0.300425125</v>
      </c>
      <c r="CG307" s="227">
        <f t="shared" si="513"/>
        <v>-50</v>
      </c>
      <c r="CH307">
        <f t="shared" si="514"/>
        <v>-50</v>
      </c>
    </row>
    <row r="308" spans="5:86">
      <c r="E308" s="22">
        <v>92</v>
      </c>
      <c r="F308" s="25">
        <f t="shared" si="515"/>
        <v>0.46</v>
      </c>
      <c r="G308" s="25"/>
      <c r="H308" s="25">
        <f t="shared" si="481"/>
        <v>8.28</v>
      </c>
      <c r="I308" s="212">
        <f t="shared" si="482"/>
        <v>14</v>
      </c>
      <c r="J308" s="131">
        <f t="shared" si="483"/>
        <v>1.91737750860021</v>
      </c>
      <c r="K308" s="131">
        <f t="shared" si="484"/>
        <v>26.2728</v>
      </c>
      <c r="L308" s="131"/>
      <c r="M308" s="25">
        <f t="shared" si="485"/>
        <v>0.467129502755702</v>
      </c>
      <c r="N308" s="27">
        <f t="shared" si="486"/>
        <v>4.46381478761305</v>
      </c>
      <c r="O308" s="27">
        <f t="shared" si="478"/>
        <v>1.13832931627601</v>
      </c>
      <c r="P308" s="25">
        <f t="shared" si="487"/>
        <v>0.247989710422947</v>
      </c>
      <c r="Q308" s="25">
        <f t="shared" si="488"/>
        <v>9.70394519046314</v>
      </c>
      <c r="R308" s="25"/>
      <c r="S308" s="27">
        <f t="shared" si="489"/>
        <v>2.47462894842611</v>
      </c>
      <c r="T308" s="27">
        <f t="shared" si="490"/>
        <v>2.47462894842611</v>
      </c>
      <c r="U308" s="25">
        <f t="shared" si="491"/>
        <v>1.5</v>
      </c>
      <c r="V308" s="25">
        <f t="shared" si="492"/>
        <v>2.67857142857143</v>
      </c>
      <c r="W308" s="25">
        <f t="shared" si="493"/>
        <v>19.5579638499968</v>
      </c>
      <c r="X308" s="24">
        <f t="shared" si="494"/>
        <v>224.855173585385</v>
      </c>
      <c r="Y308" s="131">
        <f t="shared" si="480"/>
        <v>44.9710347170769</v>
      </c>
      <c r="AA308" s="25">
        <f t="shared" si="495"/>
        <v>0.3</v>
      </c>
      <c r="AB308" s="5">
        <f t="shared" si="496"/>
        <v>3.91159276999937</v>
      </c>
      <c r="AC308" s="5">
        <f t="shared" si="497"/>
        <v>0.0879981642229191</v>
      </c>
      <c r="AD308" s="5"/>
      <c r="AE308" s="5">
        <f t="shared" si="498"/>
        <v>3.91159276999937</v>
      </c>
      <c r="AF308" s="216">
        <f t="shared" si="499"/>
        <v>1175.40383668979</v>
      </c>
      <c r="AG308" s="217">
        <f t="shared" si="500"/>
        <v>0.0879981642229191</v>
      </c>
      <c r="AI308" s="5">
        <f t="shared" si="501"/>
        <v>0.549769679832462</v>
      </c>
      <c r="AJ308" s="5">
        <f t="shared" si="502"/>
        <v>1.5</v>
      </c>
      <c r="AK308" s="5">
        <f t="shared" si="503"/>
        <v>2</v>
      </c>
      <c r="AM308" s="216">
        <f t="shared" si="504"/>
        <v>460</v>
      </c>
      <c r="AN308" s="220">
        <f t="shared" si="505"/>
        <v>44.9710347170769</v>
      </c>
      <c r="AP308" t="str">
        <f t="shared" si="506"/>
        <v/>
      </c>
      <c r="AQ308" t="str">
        <f t="shared" si="507"/>
        <v/>
      </c>
      <c r="AS308" s="192">
        <f t="shared" si="479"/>
        <v>22.2365352785683</v>
      </c>
      <c r="AT308" s="192">
        <f t="shared" si="508"/>
        <v>2.67857142857143</v>
      </c>
      <c r="AU308" s="192">
        <f t="shared" si="516"/>
        <v>19.5579638499968</v>
      </c>
      <c r="AV308" s="192"/>
      <c r="AW308" s="5">
        <f t="shared" si="517"/>
        <v>0.120458128706456</v>
      </c>
      <c r="AX308" s="5"/>
      <c r="BA308" s="220">
        <f t="shared" si="509"/>
        <v>4.67115663597264</v>
      </c>
      <c r="BB308" s="220">
        <f t="shared" si="510"/>
        <v>115.18789005834</v>
      </c>
      <c r="BC308" s="192">
        <f t="shared" si="442"/>
        <v>21.4206270738061</v>
      </c>
      <c r="BD308" s="220">
        <f t="shared" si="511"/>
        <v>0</v>
      </c>
      <c r="BQ308" s="217">
        <f t="shared" si="512"/>
        <v>0.3037265</v>
      </c>
      <c r="CG308" s="227">
        <f t="shared" si="513"/>
        <v>-50</v>
      </c>
      <c r="CH308">
        <f t="shared" si="514"/>
        <v>-50</v>
      </c>
    </row>
    <row r="309" spans="5:86">
      <c r="E309" s="22">
        <v>93</v>
      </c>
      <c r="F309" s="25">
        <f t="shared" si="515"/>
        <v>0.465</v>
      </c>
      <c r="G309" s="25"/>
      <c r="H309" s="25">
        <f t="shared" si="481"/>
        <v>8.37</v>
      </c>
      <c r="I309" s="212">
        <f t="shared" si="482"/>
        <v>14</v>
      </c>
      <c r="J309" s="131">
        <f t="shared" si="483"/>
        <v>1.84569624326244</v>
      </c>
      <c r="K309" s="131">
        <f t="shared" si="484"/>
        <v>26.2728</v>
      </c>
      <c r="L309" s="131"/>
      <c r="M309" s="25">
        <f t="shared" si="485"/>
        <v>0.467129502755702</v>
      </c>
      <c r="N309" s="27">
        <f t="shared" si="486"/>
        <v>4.46381478761305</v>
      </c>
      <c r="O309" s="27">
        <f t="shared" si="478"/>
        <v>1.10072976479316</v>
      </c>
      <c r="P309" s="25">
        <f t="shared" si="487"/>
        <v>0.247989710422947</v>
      </c>
      <c r="Q309" s="25">
        <f t="shared" si="488"/>
        <v>9.5996016937915</v>
      </c>
      <c r="R309" s="25"/>
      <c r="S309" s="27">
        <f t="shared" si="489"/>
        <v>2.36716078450141</v>
      </c>
      <c r="T309" s="27">
        <f t="shared" si="490"/>
        <v>2.36716078450141</v>
      </c>
      <c r="U309" s="25">
        <f t="shared" si="491"/>
        <v>1.5</v>
      </c>
      <c r="V309" s="25">
        <f t="shared" si="492"/>
        <v>2.67857142857143</v>
      </c>
      <c r="W309" s="25">
        <f t="shared" si="493"/>
        <v>20.3175360717618</v>
      </c>
      <c r="X309" s="24">
        <f t="shared" si="494"/>
        <v>217.428101687537</v>
      </c>
      <c r="Y309" s="131">
        <f t="shared" si="480"/>
        <v>43.4856203375074</v>
      </c>
      <c r="AA309" s="25">
        <f t="shared" si="495"/>
        <v>0.3</v>
      </c>
      <c r="AB309" s="5">
        <f t="shared" si="496"/>
        <v>4.06350721435237</v>
      </c>
      <c r="AC309" s="5">
        <f t="shared" si="497"/>
        <v>0.0883962420140153</v>
      </c>
      <c r="AD309" s="5"/>
      <c r="AE309" s="5">
        <f t="shared" si="498"/>
        <v>4.06350721435237</v>
      </c>
      <c r="AF309" s="216">
        <f t="shared" si="499"/>
        <v>1143.75979092725</v>
      </c>
      <c r="AG309" s="217">
        <f t="shared" si="500"/>
        <v>0.0883962420140153</v>
      </c>
      <c r="AI309" s="5">
        <f t="shared" si="501"/>
        <v>0.542318781275506</v>
      </c>
      <c r="AJ309" s="5">
        <f t="shared" si="502"/>
        <v>1.5</v>
      </c>
      <c r="AK309" s="5">
        <f t="shared" si="503"/>
        <v>2</v>
      </c>
      <c r="AM309" s="216">
        <f t="shared" si="504"/>
        <v>465</v>
      </c>
      <c r="AN309" s="220">
        <f t="shared" si="505"/>
        <v>43.4856203375074</v>
      </c>
      <c r="AP309" t="str">
        <f t="shared" si="506"/>
        <v/>
      </c>
      <c r="AQ309" t="str">
        <f t="shared" si="507"/>
        <v/>
      </c>
      <c r="AS309" s="192">
        <f t="shared" si="479"/>
        <v>22.9961075003333</v>
      </c>
      <c r="AT309" s="192">
        <f t="shared" si="508"/>
        <v>2.67857142857143</v>
      </c>
      <c r="AU309" s="192">
        <f t="shared" si="516"/>
        <v>20.3175360717618</v>
      </c>
      <c r="AV309" s="192"/>
      <c r="AW309" s="5">
        <f t="shared" si="517"/>
        <v>0.116479340189752</v>
      </c>
      <c r="AX309" s="5"/>
      <c r="BA309" s="220">
        <f t="shared" si="509"/>
        <v>4.67115663597264</v>
      </c>
      <c r="BB309" s="220">
        <f t="shared" si="510"/>
        <v>117.6904207366</v>
      </c>
      <c r="BC309" s="192">
        <f t="shared" ref="BC309:BC316" si="518">H309/Efficiency/I309*AU309/Vinripple1</f>
        <v>22.4944149365935</v>
      </c>
      <c r="BD309" s="220">
        <f t="shared" si="511"/>
        <v>0</v>
      </c>
      <c r="BQ309" s="217">
        <f t="shared" si="512"/>
        <v>0.307027875</v>
      </c>
      <c r="CG309" s="227">
        <f t="shared" si="513"/>
        <v>-50</v>
      </c>
      <c r="CH309">
        <f t="shared" si="514"/>
        <v>-50</v>
      </c>
    </row>
    <row r="310" spans="5:86">
      <c r="E310" s="22">
        <v>94</v>
      </c>
      <c r="F310" s="25">
        <f t="shared" si="515"/>
        <v>0.47</v>
      </c>
      <c r="G310" s="25"/>
      <c r="H310" s="25">
        <f t="shared" si="481"/>
        <v>8.46</v>
      </c>
      <c r="I310" s="212">
        <f t="shared" si="482"/>
        <v>14</v>
      </c>
      <c r="J310" s="131">
        <f t="shared" si="483"/>
        <v>1.77824977242294</v>
      </c>
      <c r="K310" s="131">
        <f t="shared" si="484"/>
        <v>26.2728</v>
      </c>
      <c r="L310" s="131"/>
      <c r="M310" s="25">
        <f t="shared" si="485"/>
        <v>0.467129502755702</v>
      </c>
      <c r="N310" s="27">
        <f t="shared" si="486"/>
        <v>4.46381478761305</v>
      </c>
      <c r="O310" s="27">
        <f t="shared" si="478"/>
        <v>1.06503956977329</v>
      </c>
      <c r="P310" s="25">
        <f t="shared" si="487"/>
        <v>0.247989710422947</v>
      </c>
      <c r="Q310" s="25">
        <f t="shared" si="488"/>
        <v>9.49747827151712</v>
      </c>
      <c r="R310" s="25"/>
      <c r="S310" s="27">
        <f t="shared" si="489"/>
        <v>2.26604163781551</v>
      </c>
      <c r="T310" s="27">
        <f t="shared" si="490"/>
        <v>2.26604163781551</v>
      </c>
      <c r="U310" s="25">
        <f t="shared" si="491"/>
        <v>1.5</v>
      </c>
      <c r="V310" s="25">
        <f t="shared" si="492"/>
        <v>2.67857142857143</v>
      </c>
      <c r="W310" s="25">
        <f t="shared" si="493"/>
        <v>21.0881511593867</v>
      </c>
      <c r="X310" s="24">
        <f t="shared" si="494"/>
        <v>210.378186621884</v>
      </c>
      <c r="Y310" s="131">
        <f t="shared" si="480"/>
        <v>42.0756373243768</v>
      </c>
      <c r="AA310" s="25">
        <f t="shared" si="495"/>
        <v>0.3</v>
      </c>
      <c r="AB310" s="5">
        <f t="shared" si="496"/>
        <v>4.21763023187734</v>
      </c>
      <c r="AC310" s="5">
        <f t="shared" si="497"/>
        <v>0.0887741048724003</v>
      </c>
      <c r="AD310" s="5"/>
      <c r="AE310" s="5">
        <f t="shared" si="498"/>
        <v>4.21763023187734</v>
      </c>
      <c r="AF310" s="216">
        <f t="shared" si="499"/>
        <v>1113.81295090959</v>
      </c>
      <c r="AG310" s="217">
        <f t="shared" si="500"/>
        <v>0.0887741048724003</v>
      </c>
      <c r="AI310" s="5">
        <f t="shared" si="501"/>
        <v>0.535171976582863</v>
      </c>
      <c r="AJ310" s="5">
        <f t="shared" si="502"/>
        <v>1.5</v>
      </c>
      <c r="AK310" s="5">
        <f t="shared" si="503"/>
        <v>2</v>
      </c>
      <c r="AM310" s="216">
        <f t="shared" si="504"/>
        <v>470</v>
      </c>
      <c r="AN310" s="220">
        <f t="shared" si="505"/>
        <v>42.0756373243768</v>
      </c>
      <c r="AP310" t="str">
        <f t="shared" si="506"/>
        <v/>
      </c>
      <c r="AQ310" t="str">
        <f t="shared" si="507"/>
        <v/>
      </c>
      <c r="AS310" s="192">
        <f t="shared" si="479"/>
        <v>23.7667225879581</v>
      </c>
      <c r="AT310" s="192">
        <f t="shared" si="508"/>
        <v>2.67857142857143</v>
      </c>
      <c r="AU310" s="192">
        <f t="shared" si="516"/>
        <v>21.0881511593867</v>
      </c>
      <c r="AV310" s="192"/>
      <c r="AW310" s="5">
        <f t="shared" si="517"/>
        <v>0.112702599976009</v>
      </c>
      <c r="AX310" s="5"/>
      <c r="BA310" s="220">
        <f t="shared" si="509"/>
        <v>4.67115663597264</v>
      </c>
      <c r="BB310" s="220">
        <f t="shared" si="510"/>
        <v>120.219843638409</v>
      </c>
      <c r="BC310" s="192">
        <f t="shared" si="518"/>
        <v>23.5986453450279</v>
      </c>
      <c r="BD310" s="220">
        <f t="shared" si="511"/>
        <v>0</v>
      </c>
      <c r="BQ310" s="217">
        <f t="shared" si="512"/>
        <v>0.31032925</v>
      </c>
      <c r="CG310" s="227">
        <f t="shared" si="513"/>
        <v>-50</v>
      </c>
      <c r="CH310">
        <f t="shared" si="514"/>
        <v>-50</v>
      </c>
    </row>
    <row r="311" spans="5:86">
      <c r="E311" s="22">
        <v>95</v>
      </c>
      <c r="F311" s="25">
        <f t="shared" si="515"/>
        <v>0.475</v>
      </c>
      <c r="G311" s="25"/>
      <c r="H311" s="25">
        <f t="shared" si="481"/>
        <v>8.55</v>
      </c>
      <c r="I311" s="212">
        <f t="shared" si="482"/>
        <v>14</v>
      </c>
      <c r="J311" s="131">
        <f t="shared" si="483"/>
        <v>1.71480117890057</v>
      </c>
      <c r="K311" s="131">
        <f t="shared" si="484"/>
        <v>26.2728</v>
      </c>
      <c r="L311" s="131"/>
      <c r="M311" s="25">
        <f t="shared" si="485"/>
        <v>0.467129502755702</v>
      </c>
      <c r="N311" s="27">
        <f t="shared" si="486"/>
        <v>4.46381478761305</v>
      </c>
      <c r="O311" s="27">
        <f t="shared" si="478"/>
        <v>1.03118524734298</v>
      </c>
      <c r="P311" s="25">
        <f t="shared" si="487"/>
        <v>0.247989710422947</v>
      </c>
      <c r="Q311" s="25">
        <f t="shared" si="488"/>
        <v>9.39750481602747</v>
      </c>
      <c r="R311" s="25"/>
      <c r="S311" s="27">
        <f t="shared" si="489"/>
        <v>2.17091631019576</v>
      </c>
      <c r="T311" s="27">
        <f t="shared" si="490"/>
        <v>2.17091631019576</v>
      </c>
      <c r="U311" s="25">
        <f t="shared" si="491"/>
        <v>1.5</v>
      </c>
      <c r="V311" s="25">
        <f t="shared" si="492"/>
        <v>2.67857142857143</v>
      </c>
      <c r="W311" s="25">
        <f t="shared" si="493"/>
        <v>21.8684244339293</v>
      </c>
      <c r="X311" s="24">
        <f t="shared" si="494"/>
        <v>203.690913055404</v>
      </c>
      <c r="Y311" s="131">
        <f t="shared" si="480"/>
        <v>40.7381826110808</v>
      </c>
      <c r="AA311" s="25">
        <f t="shared" si="495"/>
        <v>0.3</v>
      </c>
      <c r="AB311" s="5">
        <f t="shared" si="496"/>
        <v>4.37368488678586</v>
      </c>
      <c r="AC311" s="5">
        <f t="shared" si="497"/>
        <v>0.0891325307940037</v>
      </c>
      <c r="AD311" s="5"/>
      <c r="AE311" s="5">
        <f t="shared" si="498"/>
        <v>4.37368488678586</v>
      </c>
      <c r="AF311" s="216">
        <f t="shared" si="499"/>
        <v>1085.49799763821</v>
      </c>
      <c r="AG311" s="217">
        <f t="shared" si="500"/>
        <v>0.0891325307940037</v>
      </c>
      <c r="AI311" s="5">
        <f t="shared" si="501"/>
        <v>0.52832571065162</v>
      </c>
      <c r="AJ311" s="5">
        <f t="shared" si="502"/>
        <v>1.5</v>
      </c>
      <c r="AK311" s="5">
        <f t="shared" si="503"/>
        <v>2</v>
      </c>
      <c r="AM311" s="216">
        <f t="shared" si="504"/>
        <v>475</v>
      </c>
      <c r="AN311" s="220">
        <f t="shared" si="505"/>
        <v>40.7381826110808</v>
      </c>
      <c r="AP311" t="str">
        <f t="shared" si="506"/>
        <v/>
      </c>
      <c r="AQ311" t="str">
        <f t="shared" si="507"/>
        <v/>
      </c>
      <c r="AS311" s="192">
        <f t="shared" si="479"/>
        <v>24.5469958625007</v>
      </c>
      <c r="AT311" s="192">
        <f t="shared" si="508"/>
        <v>2.67857142857143</v>
      </c>
      <c r="AU311" s="192">
        <f t="shared" si="516"/>
        <v>21.8684244339293</v>
      </c>
      <c r="AV311" s="192"/>
      <c r="AW311" s="5">
        <f t="shared" si="517"/>
        <v>0.109120131993966</v>
      </c>
      <c r="AX311" s="5"/>
      <c r="BA311" s="220">
        <f t="shared" si="509"/>
        <v>4.67115663597264</v>
      </c>
      <c r="BB311" s="220">
        <f t="shared" si="510"/>
        <v>122.776158763767</v>
      </c>
      <c r="BC311" s="192">
        <f t="shared" si="518"/>
        <v>24.7321466812296</v>
      </c>
      <c r="BD311" s="220">
        <f t="shared" si="511"/>
        <v>0</v>
      </c>
      <c r="BQ311" s="217">
        <f t="shared" si="512"/>
        <v>0.313630625</v>
      </c>
      <c r="CG311" s="227">
        <f t="shared" si="513"/>
        <v>-50</v>
      </c>
      <c r="CH311">
        <f t="shared" si="514"/>
        <v>-50</v>
      </c>
    </row>
    <row r="312" spans="5:86">
      <c r="E312" s="22">
        <v>96</v>
      </c>
      <c r="F312" s="25">
        <f t="shared" si="515"/>
        <v>0.48</v>
      </c>
      <c r="G312" s="25"/>
      <c r="H312" s="25">
        <f t="shared" ref="H312:H316" si="519">F312*Vout</f>
        <v>8.64</v>
      </c>
      <c r="I312" s="212">
        <f t="shared" si="482"/>
        <v>14</v>
      </c>
      <c r="J312" s="131">
        <f t="shared" si="483"/>
        <v>1.6551188564567</v>
      </c>
      <c r="K312" s="131">
        <f t="shared" si="484"/>
        <v>26.2728</v>
      </c>
      <c r="L312" s="131"/>
      <c r="M312" s="25">
        <f t="shared" si="485"/>
        <v>0.467129502755702</v>
      </c>
      <c r="N312" s="27">
        <f t="shared" ref="N312:N316" si="520">M312*I312*(Isw_max+VIN_max/Lmag*ILIM_delay)*0.5*Efficiency</f>
        <v>4.46381478761305</v>
      </c>
      <c r="O312" s="27">
        <f t="shared" si="478"/>
        <v>0.99909003163301</v>
      </c>
      <c r="P312" s="25">
        <f t="shared" ref="P312:P316" si="521">N312/Vout</f>
        <v>0.247989710422947</v>
      </c>
      <c r="Q312" s="25">
        <f t="shared" si="488"/>
        <v>9.29961414086051</v>
      </c>
      <c r="R312" s="25"/>
      <c r="S312" s="27">
        <f t="shared" si="489"/>
        <v>2.0814375659021</v>
      </c>
      <c r="T312" s="27">
        <f t="shared" ref="T312:T316" si="522">MIN(Vout,S312)</f>
        <v>2.0814375659021</v>
      </c>
      <c r="U312" s="25">
        <f t="shared" si="491"/>
        <v>1.5</v>
      </c>
      <c r="V312" s="25">
        <f t="shared" ref="V312:V316" si="523">L*U312/I312*1000000</f>
        <v>2.67857142857143</v>
      </c>
      <c r="W312" s="25">
        <f t="shared" si="493"/>
        <v>22.6569831246322</v>
      </c>
      <c r="X312" s="24">
        <f t="shared" si="494"/>
        <v>197.351117359607</v>
      </c>
      <c r="Y312" s="131">
        <f t="shared" si="480"/>
        <v>39.4702234719214</v>
      </c>
      <c r="AA312" s="25">
        <f t="shared" si="495"/>
        <v>0.3</v>
      </c>
      <c r="AB312" s="5">
        <f t="shared" ref="AB312:AB316" si="524">L*AA312/J312*1000000</f>
        <v>4.53139662492643</v>
      </c>
      <c r="AC312" s="5">
        <f t="shared" ref="AC312:AC316" si="525">0.5*AB312*AA312*Nps*X312/1000</f>
        <v>0.0894723325222346</v>
      </c>
      <c r="AD312" s="5"/>
      <c r="AE312" s="5">
        <f t="shared" si="498"/>
        <v>4.53139662492643</v>
      </c>
      <c r="AF312" s="216">
        <f t="shared" ref="AF312:AF316" si="526">MAX(12000,F312/(0.5*AE312/1000000*Isw_min*Nps))/1000</f>
        <v>1058.7466947849</v>
      </c>
      <c r="AG312" s="217">
        <f t="shared" si="500"/>
        <v>0.0894723325222347</v>
      </c>
      <c r="AI312" s="5">
        <f t="shared" si="501"/>
        <v>0.521774999484975</v>
      </c>
      <c r="AJ312" s="5">
        <f t="shared" ref="AJ312:AJ316" si="527">MAX(IF(F312&gt;AC312,U312,AI312),Isw_min)</f>
        <v>1.5</v>
      </c>
      <c r="AK312" s="5">
        <f t="shared" ref="AK312:AK316" si="528">IF(F312&gt;AG312,(AJ312-Isw_min)/1.2*0.8+1.2,AF312*0.2/350+1)</f>
        <v>2</v>
      </c>
      <c r="AM312" s="216">
        <f t="shared" si="504"/>
        <v>480</v>
      </c>
      <c r="AN312" s="220">
        <f t="shared" si="505"/>
        <v>39.4702234719214</v>
      </c>
      <c r="AP312" t="str">
        <f t="shared" si="506"/>
        <v/>
      </c>
      <c r="AQ312" t="str">
        <f t="shared" si="507"/>
        <v/>
      </c>
      <c r="AS312" s="192">
        <f t="shared" si="479"/>
        <v>25.3355545532036</v>
      </c>
      <c r="AT312" s="192">
        <f t="shared" si="508"/>
        <v>2.67857142857143</v>
      </c>
      <c r="AU312" s="192">
        <f t="shared" si="516"/>
        <v>22.6569831246322</v>
      </c>
      <c r="AV312" s="192"/>
      <c r="AW312" s="5">
        <f t="shared" si="517"/>
        <v>0.105723812871218</v>
      </c>
      <c r="AX312" s="5"/>
      <c r="BA312" s="220">
        <f t="shared" si="509"/>
        <v>4.67115663597264</v>
      </c>
      <c r="BB312" s="220">
        <f t="shared" si="510"/>
        <v>125.359366112673</v>
      </c>
      <c r="BC312" s="192">
        <f t="shared" si="518"/>
        <v>25.8936949995796</v>
      </c>
      <c r="BD312" s="220">
        <f t="shared" si="511"/>
        <v>0</v>
      </c>
      <c r="BQ312" s="217">
        <f t="shared" si="512"/>
        <v>0.316932</v>
      </c>
      <c r="CG312" s="227">
        <f t="shared" si="513"/>
        <v>-50</v>
      </c>
      <c r="CH312">
        <f t="shared" si="514"/>
        <v>-50</v>
      </c>
    </row>
    <row r="313" spans="5:86">
      <c r="E313" s="22">
        <v>97</v>
      </c>
      <c r="F313" s="25">
        <f t="shared" ref="F313:F316" si="529">IF(PLOT_TYPE=1,E313/100*Iout_max,min_I*EXP(N313*rr/100))</f>
        <v>0.485</v>
      </c>
      <c r="G313" s="25"/>
      <c r="H313" s="25">
        <f t="shared" si="519"/>
        <v>8.73</v>
      </c>
      <c r="I313" s="212">
        <f t="shared" si="482"/>
        <v>14</v>
      </c>
      <c r="J313" s="131">
        <f t="shared" si="483"/>
        <v>1.5989778707698</v>
      </c>
      <c r="K313" s="131">
        <f t="shared" si="484"/>
        <v>26.2728</v>
      </c>
      <c r="L313" s="131"/>
      <c r="M313" s="25">
        <f t="shared" si="485"/>
        <v>0.467129502755702</v>
      </c>
      <c r="N313" s="27">
        <f t="shared" si="520"/>
        <v>4.46381478761305</v>
      </c>
      <c r="O313" s="27">
        <f t="shared" si="478"/>
        <v>0.968675063453304</v>
      </c>
      <c r="P313" s="25">
        <f t="shared" si="521"/>
        <v>0.247989710422947</v>
      </c>
      <c r="Q313" s="25">
        <f t="shared" si="488"/>
        <v>9.20374183012999</v>
      </c>
      <c r="R313" s="25"/>
      <c r="S313" s="27">
        <f t="shared" si="489"/>
        <v>1.99726817206867</v>
      </c>
      <c r="T313" s="27">
        <f t="shared" si="522"/>
        <v>1.99726817206867</v>
      </c>
      <c r="U313" s="25">
        <f t="shared" si="491"/>
        <v>1.5</v>
      </c>
      <c r="V313" s="25">
        <f t="shared" si="523"/>
        <v>2.67857142857143</v>
      </c>
      <c r="W313" s="25">
        <f t="shared" si="493"/>
        <v>23.4524821672149</v>
      </c>
      <c r="X313" s="24">
        <f t="shared" si="494"/>
        <v>191.343222410529</v>
      </c>
      <c r="Y313" s="131">
        <f t="shared" si="480"/>
        <v>38.2686444821059</v>
      </c>
      <c r="AA313" s="25">
        <f t="shared" si="495"/>
        <v>0.3</v>
      </c>
      <c r="AB313" s="5">
        <f t="shared" si="524"/>
        <v>4.69049643344297</v>
      </c>
      <c r="AC313" s="5">
        <f t="shared" si="525"/>
        <v>0.0897943449631214</v>
      </c>
      <c r="AD313" s="5"/>
      <c r="AE313" s="5">
        <f t="shared" si="498"/>
        <v>4.69049643344297</v>
      </c>
      <c r="AF313" s="216">
        <f t="shared" si="526"/>
        <v>1033.48894529183</v>
      </c>
      <c r="AG313" s="217">
        <f t="shared" si="500"/>
        <v>0.0897943449631213</v>
      </c>
      <c r="AI313" s="5">
        <f t="shared" si="501"/>
        <v>0.515513627577291</v>
      </c>
      <c r="AJ313" s="5">
        <f t="shared" si="527"/>
        <v>1.5</v>
      </c>
      <c r="AK313" s="5">
        <f t="shared" si="528"/>
        <v>2</v>
      </c>
      <c r="AM313" s="216">
        <f t="shared" si="504"/>
        <v>485</v>
      </c>
      <c r="AN313" s="220">
        <f t="shared" si="505"/>
        <v>38.2686444821059</v>
      </c>
      <c r="AP313" t="str">
        <f t="shared" si="506"/>
        <v/>
      </c>
      <c r="AQ313" t="str">
        <f t="shared" si="507"/>
        <v/>
      </c>
      <c r="AS313" s="192">
        <f t="shared" si="479"/>
        <v>26.1310535957863</v>
      </c>
      <c r="AT313" s="192">
        <f t="shared" si="508"/>
        <v>2.67857142857143</v>
      </c>
      <c r="AU313" s="192">
        <f t="shared" si="516"/>
        <v>23.4524821672149</v>
      </c>
      <c r="AV313" s="192"/>
      <c r="AW313" s="5">
        <f t="shared" si="517"/>
        <v>0.102505297719926</v>
      </c>
      <c r="AX313" s="5"/>
      <c r="BA313" s="220">
        <f t="shared" si="509"/>
        <v>4.67115663597264</v>
      </c>
      <c r="BB313" s="220">
        <f t="shared" si="510"/>
        <v>127.969465685128</v>
      </c>
      <c r="BC313" s="192">
        <f t="shared" si="518"/>
        <v>27.0820329788077</v>
      </c>
      <c r="BD313" s="220">
        <f t="shared" si="511"/>
        <v>0</v>
      </c>
      <c r="BQ313" s="217">
        <f t="shared" si="512"/>
        <v>0.320233375</v>
      </c>
      <c r="CG313" s="227">
        <f t="shared" si="513"/>
        <v>-50</v>
      </c>
      <c r="CH313">
        <f t="shared" si="514"/>
        <v>-50</v>
      </c>
    </row>
    <row r="314" spans="5:86">
      <c r="E314" s="22">
        <v>98</v>
      </c>
      <c r="F314" s="25">
        <f t="shared" si="529"/>
        <v>0.49</v>
      </c>
      <c r="G314" s="25"/>
      <c r="H314" s="25">
        <f t="shared" si="519"/>
        <v>8.82</v>
      </c>
      <c r="I314" s="212">
        <f t="shared" si="482"/>
        <v>14</v>
      </c>
      <c r="J314" s="131">
        <f t="shared" si="483"/>
        <v>1.54616109602604</v>
      </c>
      <c r="K314" s="131">
        <f t="shared" si="484"/>
        <v>26.2728</v>
      </c>
      <c r="L314" s="131"/>
      <c r="M314" s="25">
        <f t="shared" si="485"/>
        <v>0.467129502755702</v>
      </c>
      <c r="N314" s="27">
        <f t="shared" si="520"/>
        <v>4.46381478761305</v>
      </c>
      <c r="O314" s="27">
        <f t="shared" si="478"/>
        <v>0.939860475341469</v>
      </c>
      <c r="P314" s="25">
        <f t="shared" si="521"/>
        <v>0.247989710422947</v>
      </c>
      <c r="Q314" s="25">
        <f t="shared" si="488"/>
        <v>9.10982609716948</v>
      </c>
      <c r="R314" s="25"/>
      <c r="S314" s="27">
        <f t="shared" si="489"/>
        <v>1.91808260273769</v>
      </c>
      <c r="T314" s="27">
        <f t="shared" si="522"/>
        <v>1.91808260273769</v>
      </c>
      <c r="U314" s="25">
        <f t="shared" si="491"/>
        <v>1.5</v>
      </c>
      <c r="V314" s="25">
        <f t="shared" si="523"/>
        <v>2.67857142857143</v>
      </c>
      <c r="W314" s="25">
        <f t="shared" si="493"/>
        <v>24.2536176187481</v>
      </c>
      <c r="X314" s="24">
        <f t="shared" si="494"/>
        <v>185.651451919302</v>
      </c>
      <c r="Y314" s="131">
        <f t="shared" si="480"/>
        <v>37.1302903838605</v>
      </c>
      <c r="AA314" s="25">
        <f t="shared" si="495"/>
        <v>0.3</v>
      </c>
      <c r="AB314" s="5">
        <f t="shared" si="524"/>
        <v>4.85072352374962</v>
      </c>
      <c r="AC314" s="5">
        <f t="shared" si="525"/>
        <v>0.0900994136975753</v>
      </c>
      <c r="AD314" s="5"/>
      <c r="AE314" s="5">
        <f t="shared" si="498"/>
        <v>4.85072352374962</v>
      </c>
      <c r="AF314" s="216">
        <f t="shared" si="526"/>
        <v>1009.65375585908</v>
      </c>
      <c r="AG314" s="217">
        <f t="shared" si="500"/>
        <v>0.0900994136975752</v>
      </c>
      <c r="AI314" s="5">
        <f t="shared" si="501"/>
        <v>0.509534347720172</v>
      </c>
      <c r="AJ314" s="5">
        <f t="shared" si="527"/>
        <v>1.5</v>
      </c>
      <c r="AK314" s="5">
        <f t="shared" si="528"/>
        <v>2</v>
      </c>
      <c r="AM314" s="216">
        <f t="shared" si="504"/>
        <v>490</v>
      </c>
      <c r="AN314" s="220">
        <f t="shared" si="505"/>
        <v>37.1302903838605</v>
      </c>
      <c r="AP314" t="str">
        <f t="shared" si="506"/>
        <v/>
      </c>
      <c r="AQ314" t="str">
        <f t="shared" si="507"/>
        <v/>
      </c>
      <c r="AS314" s="192">
        <f t="shared" si="479"/>
        <v>26.9321890473195</v>
      </c>
      <c r="AT314" s="192">
        <f t="shared" si="508"/>
        <v>2.67857142857143</v>
      </c>
      <c r="AU314" s="192">
        <f t="shared" si="516"/>
        <v>24.2536176187481</v>
      </c>
      <c r="AV314" s="192"/>
      <c r="AW314" s="5">
        <f t="shared" si="517"/>
        <v>0.0994561349567692</v>
      </c>
      <c r="AX314" s="5"/>
      <c r="BA314" s="220">
        <f t="shared" si="509"/>
        <v>4.67115663597264</v>
      </c>
      <c r="BB314" s="220">
        <f t="shared" si="510"/>
        <v>130.606457481132</v>
      </c>
      <c r="BC314" s="192">
        <f t="shared" si="518"/>
        <v>28.2958872218728</v>
      </c>
      <c r="BD314" s="220">
        <f t="shared" si="511"/>
        <v>0</v>
      </c>
      <c r="BQ314" s="217">
        <f t="shared" si="512"/>
        <v>0.32353475</v>
      </c>
      <c r="CG314" s="227">
        <f t="shared" si="513"/>
        <v>-50</v>
      </c>
      <c r="CH314">
        <f t="shared" si="514"/>
        <v>-50</v>
      </c>
    </row>
    <row r="315" spans="5:86">
      <c r="E315" s="22">
        <v>99</v>
      </c>
      <c r="F315" s="25">
        <f t="shared" si="529"/>
        <v>0.495</v>
      </c>
      <c r="G315" s="25"/>
      <c r="H315" s="25">
        <f t="shared" si="519"/>
        <v>8.91</v>
      </c>
      <c r="I315" s="212">
        <f t="shared" si="482"/>
        <v>14</v>
      </c>
      <c r="J315" s="131">
        <f t="shared" si="483"/>
        <v>1.49646011750262</v>
      </c>
      <c r="K315" s="131">
        <f t="shared" si="484"/>
        <v>26.2728</v>
      </c>
      <c r="L315" s="131"/>
      <c r="M315" s="25">
        <f t="shared" si="485"/>
        <v>0.467129502755702</v>
      </c>
      <c r="N315" s="27">
        <f t="shared" si="520"/>
        <v>4.46381478761305</v>
      </c>
      <c r="O315" s="27">
        <f t="shared" si="478"/>
        <v>0.912566354068657</v>
      </c>
      <c r="P315" s="25">
        <f t="shared" si="521"/>
        <v>0.247989710422947</v>
      </c>
      <c r="Q315" s="25">
        <f t="shared" si="488"/>
        <v>9.01780765174353</v>
      </c>
      <c r="R315" s="25"/>
      <c r="S315" s="27">
        <f t="shared" si="489"/>
        <v>1.84356839205789</v>
      </c>
      <c r="T315" s="27">
        <f t="shared" si="522"/>
        <v>1.84356839205789</v>
      </c>
      <c r="U315" s="25">
        <f t="shared" si="491"/>
        <v>1.5</v>
      </c>
      <c r="V315" s="25">
        <f t="shared" si="523"/>
        <v>2.67857142857143</v>
      </c>
      <c r="W315" s="25">
        <f t="shared" si="493"/>
        <v>25.0591376017306</v>
      </c>
      <c r="X315" s="24">
        <f t="shared" si="494"/>
        <v>180.260020556772</v>
      </c>
      <c r="Y315" s="131">
        <f t="shared" si="480"/>
        <v>36.0520041113544</v>
      </c>
      <c r="AA315" s="25">
        <f t="shared" si="495"/>
        <v>0.3</v>
      </c>
      <c r="AB315" s="5">
        <f t="shared" si="524"/>
        <v>5.01182752034612</v>
      </c>
      <c r="AC315" s="5">
        <f t="shared" si="525"/>
        <v>0.0903883847910509</v>
      </c>
      <c r="AD315" s="5"/>
      <c r="AE315" s="5">
        <f t="shared" si="498"/>
        <v>5.01182752034612</v>
      </c>
      <c r="AF315" s="216">
        <f t="shared" si="526"/>
        <v>987.170092505473</v>
      </c>
      <c r="AG315" s="217">
        <f t="shared" si="500"/>
        <v>0.0903883847910509</v>
      </c>
      <c r="AI315" s="5">
        <f t="shared" si="501"/>
        <v>0.503829076247924</v>
      </c>
      <c r="AJ315" s="5">
        <f t="shared" si="527"/>
        <v>1.5</v>
      </c>
      <c r="AK315" s="5">
        <f t="shared" si="528"/>
        <v>2</v>
      </c>
      <c r="AM315" s="216">
        <f t="shared" si="504"/>
        <v>495</v>
      </c>
      <c r="AN315" s="220">
        <f t="shared" si="505"/>
        <v>36.0520041113544</v>
      </c>
      <c r="AP315" t="str">
        <f t="shared" si="506"/>
        <v/>
      </c>
      <c r="AQ315" t="str">
        <f t="shared" si="507"/>
        <v/>
      </c>
      <c r="AS315" s="192">
        <f t="shared" si="479"/>
        <v>27.737709030302</v>
      </c>
      <c r="AT315" s="192">
        <f t="shared" si="508"/>
        <v>2.67857142857143</v>
      </c>
      <c r="AU315" s="192">
        <f t="shared" si="516"/>
        <v>25.0591376017306</v>
      </c>
      <c r="AV315" s="192"/>
      <c r="AW315" s="5">
        <f t="shared" si="517"/>
        <v>0.0965678681554135</v>
      </c>
      <c r="AX315" s="5"/>
      <c r="BA315" s="220">
        <f t="shared" si="509"/>
        <v>4.67115663597264</v>
      </c>
      <c r="BB315" s="220">
        <f t="shared" si="510"/>
        <v>133.270341500685</v>
      </c>
      <c r="BC315" s="192">
        <f t="shared" si="518"/>
        <v>29.5339836020397</v>
      </c>
      <c r="BD315" s="220">
        <f t="shared" si="511"/>
        <v>0</v>
      </c>
      <c r="BQ315" s="217">
        <f t="shared" si="512"/>
        <v>0.326836125</v>
      </c>
      <c r="CG315" s="227">
        <f t="shared" si="513"/>
        <v>-50</v>
      </c>
      <c r="CH315">
        <f t="shared" si="514"/>
        <v>-50</v>
      </c>
    </row>
    <row r="316" spans="5:86">
      <c r="E316" s="22">
        <v>100</v>
      </c>
      <c r="F316" s="25">
        <f t="shared" si="529"/>
        <v>0.5</v>
      </c>
      <c r="G316" s="25"/>
      <c r="H316" s="25">
        <f t="shared" si="519"/>
        <v>9</v>
      </c>
      <c r="I316" s="212">
        <f t="shared" si="482"/>
        <v>14</v>
      </c>
      <c r="J316" s="131">
        <f t="shared" si="483"/>
        <v>1.4496759032907</v>
      </c>
      <c r="K316" s="131">
        <f t="shared" si="484"/>
        <v>26.2728</v>
      </c>
      <c r="L316" s="131"/>
      <c r="M316" s="25">
        <f t="shared" si="485"/>
        <v>0.467129502755702</v>
      </c>
      <c r="N316" s="27">
        <f t="shared" si="520"/>
        <v>4.46381478761305</v>
      </c>
      <c r="O316" s="27">
        <f t="shared" si="478"/>
        <v>0.886713570682687</v>
      </c>
      <c r="P316" s="25">
        <f t="shared" si="521"/>
        <v>0.247989710422947</v>
      </c>
      <c r="Q316" s="25">
        <f t="shared" si="488"/>
        <v>8.92762957522609</v>
      </c>
      <c r="R316" s="25"/>
      <c r="S316" s="27">
        <f t="shared" si="489"/>
        <v>1.77342714136537</v>
      </c>
      <c r="T316" s="27">
        <f t="shared" si="522"/>
        <v>1.77342714136537</v>
      </c>
      <c r="U316" s="25">
        <f t="shared" si="491"/>
        <v>1.5</v>
      </c>
      <c r="V316" s="25">
        <f t="shared" si="523"/>
        <v>2.67857142857143</v>
      </c>
      <c r="W316" s="25">
        <f t="shared" si="493"/>
        <v>25.8678508174665</v>
      </c>
      <c r="X316" s="24">
        <f t="shared" si="494"/>
        <v>175.153297912629</v>
      </c>
      <c r="Y316" s="131">
        <f t="shared" si="480"/>
        <v>35.0306595825259</v>
      </c>
      <c r="AA316" s="25">
        <f t="shared" si="495"/>
        <v>0.3</v>
      </c>
      <c r="AB316" s="5">
        <f t="shared" si="524"/>
        <v>5.17357016349331</v>
      </c>
      <c r="AC316" s="5">
        <f t="shared" si="525"/>
        <v>0.0906620960056293</v>
      </c>
      <c r="AD316" s="5"/>
      <c r="AE316" s="5">
        <f t="shared" si="498"/>
        <v>5.17357016349331</v>
      </c>
      <c r="AF316" s="216">
        <f t="shared" si="526"/>
        <v>965.967618384611</v>
      </c>
      <c r="AG316" s="217">
        <f t="shared" si="500"/>
        <v>0.0906620960056294</v>
      </c>
      <c r="AI316" s="5">
        <f t="shared" si="501"/>
        <v>0.498389078229951</v>
      </c>
      <c r="AJ316" s="5">
        <f t="shared" si="527"/>
        <v>1.5</v>
      </c>
      <c r="AK316" s="5">
        <f t="shared" si="528"/>
        <v>2</v>
      </c>
      <c r="AM316" s="216">
        <f t="shared" si="504"/>
        <v>500</v>
      </c>
      <c r="AN316" s="220">
        <f t="shared" si="505"/>
        <v>35.0306595825259</v>
      </c>
      <c r="AP316" t="str">
        <f t="shared" si="506"/>
        <v/>
      </c>
      <c r="AQ316" t="str">
        <f t="shared" si="507"/>
        <v/>
      </c>
      <c r="AS316" s="192">
        <f t="shared" si="479"/>
        <v>28.546422246038</v>
      </c>
      <c r="AT316" s="192">
        <f t="shared" si="508"/>
        <v>2.67857142857143</v>
      </c>
      <c r="AU316" s="192">
        <f t="shared" si="516"/>
        <v>25.8678508174665</v>
      </c>
      <c r="AV316" s="192"/>
      <c r="AW316" s="5">
        <f t="shared" si="517"/>
        <v>0.0938321238817657</v>
      </c>
      <c r="AX316" s="5"/>
      <c r="BA316" s="220">
        <f t="shared" si="509"/>
        <v>4.67115663597264</v>
      </c>
      <c r="BB316" s="220">
        <f t="shared" si="510"/>
        <v>135.961117743786</v>
      </c>
      <c r="BC316" s="192">
        <f t="shared" si="518"/>
        <v>30.795060496984</v>
      </c>
      <c r="BD316" s="220">
        <f t="shared" si="511"/>
        <v>0</v>
      </c>
      <c r="BQ316" s="217">
        <f t="shared" si="512"/>
        <v>0.3301375</v>
      </c>
      <c r="CG316" s="227">
        <f t="shared" si="513"/>
        <v>-50</v>
      </c>
      <c r="CH316">
        <f t="shared" si="514"/>
        <v>-50</v>
      </c>
    </row>
    <row r="317" spans="5:85">
      <c r="E317" s="22"/>
      <c r="F317" s="25"/>
      <c r="G317" s="25"/>
      <c r="CG317" s="227"/>
    </row>
    <row r="318" spans="85:85">
      <c r="CG318" s="227"/>
    </row>
    <row r="319" spans="4:85">
      <c r="D319" s="2" t="s">
        <v>636</v>
      </c>
      <c r="CG319" s="227"/>
    </row>
    <row r="320" spans="5:85">
      <c r="E320" s="2" t="s">
        <v>637</v>
      </c>
      <c r="CG320" s="227"/>
    </row>
    <row r="321" spans="6:85">
      <c r="F321" s="2" t="s">
        <v>638</v>
      </c>
      <c r="G321" s="2" t="s">
        <v>639</v>
      </c>
      <c r="BB321" s="2" t="s">
        <v>640</v>
      </c>
      <c r="BC321" s="2" t="s">
        <v>641</v>
      </c>
      <c r="BD321" s="2" t="s">
        <v>642</v>
      </c>
      <c r="BF321" s="2" t="s">
        <v>643</v>
      </c>
      <c r="CG321" s="227"/>
    </row>
    <row r="322" spans="6:55">
      <c r="F322">
        <f>'LM(2)518x PSR flyback converter'!E57</f>
        <v>0.005</v>
      </c>
      <c r="G322" s="232">
        <f>F322*Vout</f>
        <v>0.09</v>
      </c>
      <c r="BB322">
        <f>F322*Vout</f>
        <v>0.09</v>
      </c>
      <c r="BC322" s="233">
        <v>2.2e-7</v>
      </c>
    </row>
    <row r="323" spans="5:5">
      <c r="E323" t="s">
        <v>644</v>
      </c>
    </row>
    <row r="324" spans="6:9">
      <c r="F324" t="s">
        <v>645</v>
      </c>
      <c r="G324" t="s">
        <v>646</v>
      </c>
      <c r="H324" t="s">
        <v>647</v>
      </c>
      <c r="I324" s="2" t="s">
        <v>308</v>
      </c>
    </row>
    <row r="325" spans="6:9">
      <c r="F325" s="233">
        <v>2e-7</v>
      </c>
      <c r="G325">
        <f>VIN_max</f>
        <v>14</v>
      </c>
      <c r="H325">
        <f>15000</f>
        <v>15000</v>
      </c>
      <c r="I325">
        <f>L*0.9</f>
        <v>2.25e-5</v>
      </c>
    </row>
    <row r="326" spans="7:7">
      <c r="G326" s="2" t="s">
        <v>648</v>
      </c>
    </row>
    <row r="327" spans="7:7">
      <c r="G327" s="232">
        <f>0.5*(G325/I325*F325)^2*H325*I325</f>
        <v>0.00261333333333333</v>
      </c>
    </row>
    <row r="328" spans="5:5">
      <c r="E328" s="2" t="s">
        <v>649</v>
      </c>
    </row>
    <row r="329" spans="7:8">
      <c r="G329" t="str">
        <f>IF(G327&gt;G322,"Yes","No")</f>
        <v>No</v>
      </c>
      <c r="H329">
        <f>(Vout*1.05)^2/(G327-G322)</f>
        <v>-4087.69453768691</v>
      </c>
    </row>
    <row r="332" spans="4:4">
      <c r="D332" s="2"/>
    </row>
    <row r="334" spans="6:6">
      <c r="F334" s="216"/>
    </row>
    <row r="335" spans="6:6">
      <c r="F335" s="216"/>
    </row>
    <row r="336" spans="6:6">
      <c r="F336" s="216"/>
    </row>
  </sheetData>
  <sheetProtection algorithmName="SHA-512" hashValue="mLyNVTC8VlBereBcGLPL6GNJ1zYCKG0lnyb6aNL5rfLZJ6pYqotsCkTzXNY7remY83o+qpKFp6D5KDR4u0G6Ow==" saltValue="NEqX7GDco2Tei3fWdFzXBw==" spinCount="100000" sheet="1" objects="1" scenarios="1"/>
  <mergeCells count="1">
    <mergeCell ref="M3:AA3"/>
  </mergeCells>
  <pageMargins left="0.7" right="0.7" top="0.75" bottom="0.75" header="0.3" footer="0.3"/>
  <pageSetup paperSize="1"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7030A0"/>
  </sheetPr>
  <dimension ref="B1:CJ340"/>
  <sheetViews>
    <sheetView workbookViewId="0">
      <pane xSplit="10" ySplit="4" topLeftCell="K308" activePane="bottomRight" state="frozen"/>
      <selection/>
      <selection pane="topRight"/>
      <selection pane="bottomLeft"/>
      <selection pane="bottomRight" activeCell="O329" sqref="O329"/>
    </sheetView>
  </sheetViews>
  <sheetFormatPr defaultColWidth="9" defaultRowHeight="12.5"/>
  <cols>
    <col min="1" max="1" width="2.81818181818182" customWidth="1"/>
    <col min="2" max="2" width="3.54545454545455" customWidth="1"/>
    <col min="3" max="3" width="2.81818181818182" customWidth="1"/>
    <col min="4" max="4" width="3.72727272727273" customWidth="1"/>
    <col min="5" max="5" width="6.18181818181818" customWidth="1"/>
    <col min="6" max="6" width="9" customWidth="1"/>
    <col min="7" max="7" width="7.72727272727273" customWidth="1"/>
    <col min="8" max="9" width="7.81818181818182" customWidth="1"/>
    <col min="10" max="10" width="6.26363636363636" customWidth="1"/>
    <col min="11" max="11" width="9.54545454545454" customWidth="1"/>
    <col min="12" max="12" width="9.26363636363636" customWidth="1"/>
    <col min="13" max="13" width="10.5454545454545" customWidth="1"/>
    <col min="14" max="14" width="8.45454545454546" customWidth="1"/>
    <col min="15" max="16" width="9.54545454545454" customWidth="1"/>
    <col min="17" max="18" width="8.81818181818182" customWidth="1"/>
    <col min="19" max="19" width="8.54545454545454" customWidth="1"/>
    <col min="20" max="20" width="7.54545454545455" customWidth="1"/>
    <col min="21" max="21" width="9" customWidth="1"/>
    <col min="22" max="22" width="8.81818181818182" customWidth="1"/>
    <col min="23" max="23" width="10" customWidth="1"/>
    <col min="24" max="24" width="9.54545454545454" customWidth="1"/>
    <col min="25" max="25" width="1.81818181818182" customWidth="1"/>
    <col min="26" max="26" width="9.81818181818182" customWidth="1"/>
    <col min="27" max="27" width="10.4545454545455" customWidth="1"/>
    <col min="28" max="28" width="10.1818181818182" customWidth="1"/>
    <col min="29" max="29" width="2" customWidth="1"/>
    <col min="30" max="30" width="9.18181818181818" customWidth="1"/>
    <col min="31" max="31" width="9.45454545454546" customWidth="1"/>
    <col min="32" max="32" width="10.4545454545455" customWidth="1"/>
    <col min="33" max="33" width="2.18181818181818" customWidth="1"/>
    <col min="35" max="35" width="8" customWidth="1"/>
    <col min="37" max="37" width="2.26363636363636" customWidth="1"/>
    <col min="38" max="38" width="6.54545454545455" customWidth="1"/>
    <col min="39" max="39" width="7.54545454545455" customWidth="1"/>
    <col min="40" max="40" width="2" customWidth="1"/>
    <col min="41" max="41" width="6.45454545454545" customWidth="1"/>
    <col min="42" max="42" width="7.54545454545455" customWidth="1"/>
    <col min="43" max="43" width="2.18181818181818" customWidth="1"/>
    <col min="44" max="46" width="7" customWidth="1"/>
    <col min="47" max="47" width="8.45454545454546" customWidth="1"/>
    <col min="48" max="48" width="2.18181818181818" customWidth="1"/>
    <col min="49" max="49" width="9.45454545454546" customWidth="1"/>
    <col min="50" max="50" width="12.5454545454545" customWidth="1"/>
    <col min="51" max="51" width="9.45454545454546" customWidth="1"/>
    <col min="52" max="52" width="12.7272727272727" customWidth="1"/>
    <col min="53" max="54" width="9.81818181818182" customWidth="1"/>
    <col min="55" max="55" width="2" customWidth="1"/>
    <col min="59" max="59" width="2.18181818181818" customWidth="1"/>
    <col min="60" max="60" width="9" customWidth="1"/>
    <col min="61" max="62" width="8.18181818181818" customWidth="1"/>
    <col min="63" max="63" width="8.72727272727273" customWidth="1"/>
    <col min="64" max="64" width="7.54545454545455" customWidth="1"/>
    <col min="65" max="65" width="8.54545454545454" customWidth="1"/>
    <col min="66" max="67" width="7.54545454545455" customWidth="1"/>
    <col min="68" max="69" width="10.2636363636364" customWidth="1"/>
    <col min="70" max="70" width="9.45454545454546" customWidth="1"/>
    <col min="71" max="71" width="9.54545454545454" customWidth="1"/>
    <col min="72" max="72" width="10" customWidth="1"/>
    <col min="73" max="73" width="8.72727272727273" customWidth="1"/>
    <col min="76" max="78" width="9.81818181818182" customWidth="1"/>
    <col min="79" max="79" width="12.1818181818182" customWidth="1"/>
    <col min="80" max="80" width="9.18181818181818" customWidth="1"/>
    <col min="82" max="82" width="7.72727272727273" customWidth="1"/>
    <col min="83" max="83" width="10.4545454545455" customWidth="1"/>
    <col min="84" max="84" width="12.4545454545455" customWidth="1"/>
    <col min="85" max="85" width="6.54545454545455" customWidth="1"/>
    <col min="86" max="86" width="5" customWidth="1"/>
    <col min="87" max="87" width="9.54545454545454" customWidth="1"/>
  </cols>
  <sheetData>
    <row r="1" ht="13" spans="2:2">
      <c r="B1" s="204" t="s">
        <v>557</v>
      </c>
    </row>
    <row r="2" ht="13.25" spans="49:49">
      <c r="AW2">
        <f>Vout_ripple</f>
        <v>180</v>
      </c>
    </row>
    <row r="3" ht="13" spans="5:85">
      <c r="E3" s="32" t="s">
        <v>558</v>
      </c>
      <c r="F3" s="205"/>
      <c r="G3" s="205"/>
      <c r="H3" s="205"/>
      <c r="I3" s="205"/>
      <c r="J3" s="113"/>
      <c r="K3" s="114"/>
      <c r="L3" s="208"/>
      <c r="M3" s="208"/>
      <c r="N3" s="116" t="s">
        <v>559</v>
      </c>
      <c r="O3" s="116"/>
      <c r="P3" s="116"/>
      <c r="Q3" s="116"/>
      <c r="R3" s="116"/>
      <c r="S3" s="116"/>
      <c r="T3" s="116"/>
      <c r="U3" s="116"/>
      <c r="V3" s="116"/>
      <c r="W3" s="116"/>
      <c r="X3" s="116"/>
      <c r="Y3" s="116"/>
      <c r="Z3" s="125"/>
      <c r="AA3" s="200"/>
      <c r="AB3" s="200"/>
      <c r="AC3" s="200"/>
      <c r="AD3" s="200"/>
      <c r="AE3" s="200"/>
      <c r="AF3" s="200"/>
      <c r="AG3" s="200"/>
      <c r="AH3" s="200"/>
      <c r="AI3" s="200"/>
      <c r="AJ3" s="200"/>
      <c r="AK3" s="200"/>
      <c r="AL3" s="200"/>
      <c r="AM3" s="200"/>
      <c r="AN3" s="200"/>
      <c r="AO3" s="200"/>
      <c r="AP3" s="200"/>
      <c r="AQ3" s="200"/>
      <c r="AR3" s="200" t="s">
        <v>560</v>
      </c>
      <c r="AS3" s="200"/>
      <c r="AT3" s="200"/>
      <c r="AU3" s="200"/>
      <c r="AV3" s="200"/>
      <c r="AW3" s="200"/>
      <c r="AX3" s="200"/>
      <c r="AY3" s="200" t="s">
        <v>561</v>
      </c>
      <c r="AZ3" s="200"/>
      <c r="BA3" s="200"/>
      <c r="BB3" s="200"/>
      <c r="BC3" s="200"/>
      <c r="BD3" s="222" t="s">
        <v>562</v>
      </c>
      <c r="BE3" s="200"/>
      <c r="BF3" s="200"/>
      <c r="BG3" s="200"/>
      <c r="BH3" s="222" t="s">
        <v>563</v>
      </c>
      <c r="BI3" s="200"/>
      <c r="BJ3" s="200"/>
      <c r="BK3" s="200"/>
      <c r="BL3" s="200"/>
      <c r="BM3" s="200"/>
      <c r="BN3" s="200"/>
      <c r="BO3" s="200"/>
      <c r="BP3" s="222" t="s">
        <v>564</v>
      </c>
      <c r="BQ3" s="200"/>
      <c r="BR3" s="200"/>
      <c r="BS3" s="200"/>
      <c r="BT3" s="200"/>
      <c r="BU3" s="224" t="s">
        <v>565</v>
      </c>
      <c r="BV3" s="200"/>
      <c r="BW3" s="200"/>
      <c r="BX3" s="200"/>
      <c r="BY3" s="200"/>
      <c r="BZ3" s="200"/>
      <c r="CA3" s="200"/>
      <c r="CB3" s="200"/>
      <c r="CC3" s="222"/>
      <c r="CD3" s="200"/>
      <c r="CE3" s="200"/>
      <c r="CF3" s="200"/>
      <c r="CG3" s="200"/>
    </row>
    <row r="4" ht="45" customHeight="1" spans="5:87">
      <c r="E4" s="38" t="s">
        <v>566</v>
      </c>
      <c r="F4" s="206" t="s">
        <v>650</v>
      </c>
      <c r="G4" s="121" t="s">
        <v>651</v>
      </c>
      <c r="H4" s="207" t="s">
        <v>652</v>
      </c>
      <c r="I4" s="209" t="s">
        <v>653</v>
      </c>
      <c r="J4" s="117" t="s">
        <v>569</v>
      </c>
      <c r="K4" s="118" t="s">
        <v>654</v>
      </c>
      <c r="L4" s="210" t="s">
        <v>571</v>
      </c>
      <c r="M4" s="211"/>
      <c r="N4" s="120" t="s">
        <v>572</v>
      </c>
      <c r="O4" s="211" t="s">
        <v>655</v>
      </c>
      <c r="P4" s="211" t="s">
        <v>656</v>
      </c>
      <c r="Q4" s="211" t="s">
        <v>657</v>
      </c>
      <c r="R4" s="211" t="s">
        <v>658</v>
      </c>
      <c r="S4" s="211" t="s">
        <v>659</v>
      </c>
      <c r="T4" s="211" t="s">
        <v>580</v>
      </c>
      <c r="U4" s="211" t="s">
        <v>581</v>
      </c>
      <c r="V4" s="211" t="s">
        <v>582</v>
      </c>
      <c r="W4" s="213" t="s">
        <v>583</v>
      </c>
      <c r="X4" s="214" t="s">
        <v>584</v>
      </c>
      <c r="Z4" s="128" t="s">
        <v>585</v>
      </c>
      <c r="AA4" s="128" t="s">
        <v>586</v>
      </c>
      <c r="AB4" s="128" t="s">
        <v>660</v>
      </c>
      <c r="AC4" s="215"/>
      <c r="AD4" s="128" t="s">
        <v>588</v>
      </c>
      <c r="AE4" s="213" t="s">
        <v>632</v>
      </c>
      <c r="AF4" s="128" t="s">
        <v>661</v>
      </c>
      <c r="AG4" s="215"/>
      <c r="AH4" s="128" t="s">
        <v>591</v>
      </c>
      <c r="AI4" s="218" t="s">
        <v>592</v>
      </c>
      <c r="AJ4" s="218" t="s">
        <v>593</v>
      </c>
      <c r="AL4" s="219" t="s">
        <v>594</v>
      </c>
      <c r="AM4" s="219" t="s">
        <v>595</v>
      </c>
      <c r="AO4" s="128" t="s">
        <v>594</v>
      </c>
      <c r="AP4" s="128" t="s">
        <v>595</v>
      </c>
      <c r="AQ4" s="221"/>
      <c r="AR4" s="128" t="s">
        <v>596</v>
      </c>
      <c r="AS4" s="128" t="s">
        <v>597</v>
      </c>
      <c r="AT4" s="128" t="s">
        <v>598</v>
      </c>
      <c r="AU4" s="128" t="s">
        <v>572</v>
      </c>
      <c r="AV4" s="215"/>
      <c r="AW4" s="128" t="s">
        <v>662</v>
      </c>
      <c r="AX4" s="128" t="s">
        <v>663</v>
      </c>
      <c r="AY4" s="128" t="s">
        <v>664</v>
      </c>
      <c r="AZ4" s="128" t="s">
        <v>665</v>
      </c>
      <c r="BA4" s="128" t="s">
        <v>605</v>
      </c>
      <c r="BB4" s="128" t="s">
        <v>606</v>
      </c>
      <c r="BC4" s="215"/>
      <c r="BD4" s="223" t="s">
        <v>607</v>
      </c>
      <c r="BE4" s="128" t="s">
        <v>666</v>
      </c>
      <c r="BF4" s="128" t="s">
        <v>667</v>
      </c>
      <c r="BG4" s="215"/>
      <c r="BH4" s="223" t="s">
        <v>609</v>
      </c>
      <c r="BI4" s="128" t="s">
        <v>610</v>
      </c>
      <c r="BJ4" s="128" t="s">
        <v>611</v>
      </c>
      <c r="BK4" s="128" t="s">
        <v>612</v>
      </c>
      <c r="BL4" s="128" t="s">
        <v>613</v>
      </c>
      <c r="BM4" s="128" t="s">
        <v>614</v>
      </c>
      <c r="BN4" s="128" t="s">
        <v>615</v>
      </c>
      <c r="BO4" s="128" t="s">
        <v>616</v>
      </c>
      <c r="BP4" s="223" t="s">
        <v>668</v>
      </c>
      <c r="BQ4" s="128" t="s">
        <v>669</v>
      </c>
      <c r="BR4" s="128" t="s">
        <v>618</v>
      </c>
      <c r="BS4" s="128" t="s">
        <v>619</v>
      </c>
      <c r="BT4" s="128" t="s">
        <v>620</v>
      </c>
      <c r="BU4" s="223" t="s">
        <v>621</v>
      </c>
      <c r="BV4" s="128" t="s">
        <v>670</v>
      </c>
      <c r="BW4" s="128" t="s">
        <v>671</v>
      </c>
      <c r="BX4" s="128" t="s">
        <v>623</v>
      </c>
      <c r="BY4" s="128" t="s">
        <v>672</v>
      </c>
      <c r="BZ4" s="128" t="s">
        <v>673</v>
      </c>
      <c r="CA4" s="128" t="s">
        <v>625</v>
      </c>
      <c r="CB4" s="128" t="s">
        <v>634</v>
      </c>
      <c r="CC4" s="223" t="s">
        <v>627</v>
      </c>
      <c r="CD4" s="128" t="s">
        <v>568</v>
      </c>
      <c r="CE4" s="128" t="s">
        <v>183</v>
      </c>
      <c r="CF4" s="128" t="s">
        <v>628</v>
      </c>
      <c r="CG4" s="128" t="s">
        <v>674</v>
      </c>
      <c r="CI4" s="226" t="s">
        <v>675</v>
      </c>
    </row>
    <row r="5" spans="5:88">
      <c r="E5" s="22">
        <v>0.1</v>
      </c>
      <c r="F5" s="25">
        <v>1e-9</v>
      </c>
      <c r="G5" s="25">
        <v>1e-9</v>
      </c>
      <c r="H5" s="25">
        <f t="shared" ref="H5:H36" si="0">F5*Vout</f>
        <v>1.8e-8</v>
      </c>
      <c r="I5" s="25">
        <f>G5*Vout2</f>
        <v>5e-9</v>
      </c>
      <c r="J5" s="212">
        <f t="shared" ref="J5:J68" si="1">Vin</f>
        <v>12</v>
      </c>
      <c r="K5" s="131">
        <f t="shared" ref="K5:K68" si="2">(S5+Vfwd1)*Nps</f>
        <v>12.2728</v>
      </c>
      <c r="L5" s="131">
        <f t="shared" ref="L5:L68" si="3">(Vout+Vfwd1)*Nps+J5</f>
        <v>24.2728</v>
      </c>
      <c r="M5" s="131"/>
      <c r="N5" s="25">
        <f t="shared" ref="N5:N68" si="4">(Vout+Vfwd1)*Nps/((Vout+Vfwd1)*Nps+J5)</f>
        <v>0.505619458818101</v>
      </c>
      <c r="O5" s="27">
        <f>N5*J5*Isw_max*0.5*Efficiency*(Pout/Pout_total)</f>
        <v>3.3508780498036</v>
      </c>
      <c r="P5" s="27">
        <f t="shared" ref="P5:P36" si="5">N5*J5*Isw_max*0.5*Efficiency*(Pout2/Pout_total)</f>
        <v>0.744639566623021</v>
      </c>
      <c r="Q5" s="25">
        <f t="shared" ref="Q5:Q68" si="6">O5/Vout</f>
        <v>0.186159891655755</v>
      </c>
      <c r="R5" s="25">
        <f t="shared" ref="R5:R36" si="7">O5/Vout2</f>
        <v>0.670175609960719</v>
      </c>
      <c r="S5" s="131">
        <f t="shared" ref="S5:S36" si="8">MIN(Vout,O5/F5)</f>
        <v>18</v>
      </c>
      <c r="T5" s="25">
        <f t="shared" ref="T5:T36" si="9">MIN(2*(Vout*F5+Vout2*G5)/(Efficiency*J5*N5),Isw_max)</f>
        <v>8.42384363373869e-9</v>
      </c>
      <c r="U5" s="25">
        <f t="shared" ref="U5:U68" si="10">L*T5/J5*1000000</f>
        <v>1.75496742369556e-8</v>
      </c>
      <c r="V5" s="25">
        <f t="shared" ref="V5:V68" si="11">L*T5/K5*1000000</f>
        <v>1.71595797897356e-8</v>
      </c>
      <c r="W5" s="24">
        <f t="shared" ref="W5:W68" si="12">IF(1/((350000*L)*(1/J5+1/K5))&gt;Isw_min,350,0.001/((Isw_min*L)*(1/J5+1/K5)))</f>
        <v>350</v>
      </c>
      <c r="X5" s="131">
        <f>MIN(1/(U5+V5)*1000,350)</f>
        <v>350</v>
      </c>
      <c r="Z5" s="25">
        <f t="shared" ref="Z5:Z68" si="13">1/((W5*1000*L)*(1/J5+1/K5))</f>
        <v>0.693420972093396</v>
      </c>
      <c r="AA5" s="5">
        <f t="shared" ref="AA5:AA68" si="14">L*Z5/K5*1000000</f>
        <v>1.41251583194828</v>
      </c>
      <c r="AB5" s="5">
        <f t="shared" ref="AB5:AB36" si="15">0.5*AA5*Z5*Nps*W5/1000*(Pout/Pout_total)</f>
        <v>0.0935414297367646</v>
      </c>
      <c r="AC5" s="5"/>
      <c r="AD5" s="5">
        <f t="shared" ref="AD5:AD68" si="16">L*Isw_min/K5*1000000</f>
        <v>0.611107489733394</v>
      </c>
      <c r="AE5" s="216">
        <f t="shared" ref="AE5:AE36" si="17">MAX(10,F5/(0.5*AD5/1000000*Isw_min*Nps)/1000*Pout_total/Pout)</f>
        <v>10</v>
      </c>
      <c r="AF5" s="217">
        <f t="shared" ref="AF5:AF36" si="18">0.5*AD5/1000000*Isw_min*Nps*W5*1000*(Pout/Pout_total)</f>
        <v>0.0175086462450593</v>
      </c>
      <c r="AH5" s="5">
        <f t="shared" ref="AH5:AH36" si="19">SQRT((H5+I5)/(0.5*L*Fsw_DCM))</f>
        <v>7.25061573739973e-5</v>
      </c>
      <c r="AI5" s="5">
        <f t="shared" ref="AI5:AI36" si="20">MAX(IF(F5&gt;AB5,T5,AH5),Isw_min)</f>
        <v>0.3</v>
      </c>
      <c r="AJ5" s="5">
        <f t="shared" ref="AJ5:AJ36" si="21">IF(F5&gt;AF5,(AI5-Isw_min)/1.08*0.8+1.2,AE5*0.2/350+1)</f>
        <v>1.00571428571429</v>
      </c>
      <c r="AL5" s="216">
        <f t="shared" ref="AL5:AL36" si="22">F5*1000</f>
        <v>1e-6</v>
      </c>
      <c r="AM5" s="220">
        <f t="shared" ref="AM5:AM36" si="23">IF(F5&gt;AF5,X5,AE5)</f>
        <v>10</v>
      </c>
      <c r="AO5">
        <f>IF(H5&gt;O5,"",AL5)</f>
        <v>1e-6</v>
      </c>
      <c r="AP5" s="220">
        <f t="shared" ref="AP5:AP68" si="24">IF(H5&gt;O5,"",AM5)</f>
        <v>10</v>
      </c>
      <c r="AQ5" s="220"/>
      <c r="AR5" s="192">
        <f>1/AM5*1000</f>
        <v>100</v>
      </c>
      <c r="AS5" s="192">
        <f t="shared" ref="AS5:AS68" si="25">L*AI5/J5*1000000</f>
        <v>0.625</v>
      </c>
      <c r="AT5" s="192">
        <f>AR5-AS5</f>
        <v>99.375</v>
      </c>
      <c r="AU5" s="5">
        <f>AS5/AR5</f>
        <v>0.00625</v>
      </c>
      <c r="AW5" s="192">
        <f t="shared" ref="AW5:AW36" si="26">L*Iout^2/(2*Vripple1_spec*Vout*Npri_sec1^2)*1000000000*((1+N5)/(1-N5))^2</f>
        <v>20.1076373742966</v>
      </c>
      <c r="AX5" s="192">
        <f t="shared" ref="AX5:AX36" si="27">L*F5^2/(2*Cout*Vout*Nps^2)*1000000000*((1+N5)/(1-N5))^2+F5*RCoutEsr</f>
        <v>3.00000065806813e-9</v>
      </c>
      <c r="AY5" s="192">
        <f t="shared" ref="AY5:AY36" si="28">L*Iout2^2/(2*Vripple2_spec*Vout2*Npri_sec2^2)*1000000000*((1+N5)/(1-N5))^2</f>
        <v>14.3647440975709</v>
      </c>
      <c r="AZ5" s="192">
        <f t="shared" ref="AZ5:AZ36" si="29">L*G5^2/(2*Cout2*Vout2*Npri_sec2^2)*1000000000*((1+N5)/(1-N5))^2+G5*CoutEsr2</f>
        <v>2.00000044889825e-9</v>
      </c>
      <c r="BA5" s="192">
        <f t="shared" ref="BA5:BA36" si="30">(H5+I5)/Efficiency/J5*AT5/Vinripple1</f>
        <v>3.52719907407407e-7</v>
      </c>
      <c r="BB5" s="220">
        <f t="shared" ref="BB5:BB36" si="31">((CD5/J5/Efficiency)*AT5/Cin+(CD5/J5/Efficiency)*RCinEsr)*1000</f>
        <v>2.12270833333333e-6</v>
      </c>
      <c r="BC5" s="192"/>
      <c r="BD5" s="5">
        <f>AI5*SQRT(AU5/3)</f>
        <v>0.0136930639376292</v>
      </c>
      <c r="BE5" s="5">
        <f t="shared" ref="BE5:BE36" si="32">AI5*Npri_sec1*SQRT((1-AU5)/3)*(Pout/Pout_total)</f>
        <v>0.0942268898081287</v>
      </c>
      <c r="BF5" s="5">
        <f t="shared" ref="BF5:BF36" si="33">AI5*Npri_sec2*SQRT((1-AU5)/3)*(Pout2/Pout_total)</f>
        <v>0.0713487560687065</v>
      </c>
      <c r="BG5" s="5"/>
      <c r="BH5" s="217">
        <f t="shared" ref="BH5:BH68" si="34">Rdson*BD5^2</f>
        <v>6.5625e-5</v>
      </c>
      <c r="BI5" s="217">
        <f t="shared" ref="BI5:BI68" si="35">0.5*L5*AI5*AM5*1000*Trise</f>
        <v>0.000364092</v>
      </c>
      <c r="BJ5" s="217">
        <f t="shared" ref="BJ5:BJ68" si="36">Qg*Vdd*AM5*1000</f>
        <v>0.000125</v>
      </c>
      <c r="BK5" s="217">
        <f t="shared" ref="BK5:BK68" si="37">0.5*(Coss+Csw)*L5^2*AM5*1000</f>
        <v>0.00029458440992</v>
      </c>
      <c r="BL5">
        <f t="shared" ref="BL5:BL68" si="38">J5*IQ</f>
        <v>0.00348</v>
      </c>
      <c r="BM5">
        <f t="shared" ref="BM5:BM36" si="39">(J5-Vdd)*Qg*AM5</f>
        <v>1.75e-7</v>
      </c>
      <c r="BN5">
        <f t="shared" ref="BN5:BN36" si="40">(BI5+BJ5+BK5+BL5+BM5+BH5*(1+RdsonTC*(Ta-25)))/(1-BH5*RdsonTC*ThetaJA)</f>
        <v>0.00435769195753328</v>
      </c>
      <c r="BO5" s="220">
        <f>BN5*1000</f>
        <v>4.35769195753327</v>
      </c>
      <c r="BP5" s="5">
        <f t="shared" ref="BP5:BP36" si="41">(Vfwd2*F5+BE5^2*Rdiode)*(1+Diode_TC/1000*(Ta-25))</f>
        <v>0.00563398403668158</v>
      </c>
      <c r="BQ5" s="5">
        <f t="shared" ref="BQ5:BQ36" si="42">(Vfwd2*G5+BF5^2*Rdiode)*(1+Diode_TC/1000*(Ta-25))</f>
        <v>0.00323026944029873</v>
      </c>
      <c r="BR5" s="217"/>
      <c r="BT5" s="220">
        <f>SUM(BP5:BS5)*1000</f>
        <v>8.86425347698031</v>
      </c>
      <c r="BU5" s="217">
        <f t="shared" ref="BU5:BU68" si="43">Rdcr_pri*BD5^2</f>
        <v>7.6875e-6</v>
      </c>
      <c r="BV5" s="217">
        <f>Rdcr_sec*BE5^2</f>
        <v>0.000887870676291322</v>
      </c>
      <c r="BW5" s="217">
        <f t="shared" ref="BW5:BW36" si="44">Rdcr_sec2*BF5^2</f>
        <v>0.000356345149478624</v>
      </c>
      <c r="BX5" s="217">
        <f t="shared" ref="BX5:BX68" si="45">AI5^2.5*AM5^2.5*k_core</f>
        <v>0</v>
      </c>
      <c r="BY5" s="217">
        <f t="shared" ref="BY5:BY36" si="46">(BX5+(BU5+BV5+BW5)*(1+Ltc*(Ta-25)))/(1-(BU5+BV5+BW5)*Ltc*ThetaCa)</f>
        <v>0.00172779963261103</v>
      </c>
      <c r="BZ5" s="217">
        <f>SUM(BU5:BX5)</f>
        <v>0.00125190332576995</v>
      </c>
      <c r="CA5" s="225">
        <f t="shared" ref="CA5:CA36" si="47">0.5*Lleak*0.000000001*AI5^2*AM5*1000</f>
        <v>3.6e-5</v>
      </c>
      <c r="CB5" s="220">
        <f>(BY5+CA5)*1000</f>
        <v>1.76379963261103</v>
      </c>
      <c r="CC5" s="5">
        <f>SUM(BN5,BP5:BS5,BY5,CA5)</f>
        <v>0.0149857450671246</v>
      </c>
      <c r="CD5" s="192">
        <f>MIN(H5+I5,O5+P5)</f>
        <v>2.3e-8</v>
      </c>
      <c r="CE5" s="5">
        <f>CD5/(CD5+CC5)</f>
        <v>1.53478953477578e-6</v>
      </c>
      <c r="CF5" s="192">
        <f>CE5*100</f>
        <v>0.000153478953477578</v>
      </c>
      <c r="CG5">
        <v>0</v>
      </c>
      <c r="CI5" s="227">
        <f t="shared" ref="CI5:CI36" si="48">IF(ABS(F5-Ioutmax_Vinnom)&lt;Iout/200,AM5,-50)</f>
        <v>-50</v>
      </c>
      <c r="CJ5">
        <f t="shared" ref="CJ5:CJ36" si="49">IF(ABS(F5-Ioutmax_Vinnom)&lt;Iout/200,(O5+P5)*CE5,-50)</f>
        <v>-50</v>
      </c>
    </row>
    <row r="6" spans="5:88">
      <c r="E6" s="22">
        <v>1</v>
      </c>
      <c r="F6" s="25">
        <f>IF(PLOT_TYPE=1,E6/100*Iout,min_I*EXP(O6*rr/100))</f>
        <v>0.005</v>
      </c>
      <c r="G6" s="25">
        <f t="shared" ref="G6:G37" si="50">IF(PLOT_TYPE=1,E6/100*Iout2,min_I*EXP(Q6*rr/100))</f>
        <v>0.004</v>
      </c>
      <c r="H6" s="25">
        <f t="shared" si="0"/>
        <v>0.09</v>
      </c>
      <c r="I6" s="25">
        <f>G6*Vout2</f>
        <v>0.02</v>
      </c>
      <c r="J6" s="212">
        <f t="shared" si="1"/>
        <v>12</v>
      </c>
      <c r="K6" s="131">
        <f t="shared" si="2"/>
        <v>12.2728</v>
      </c>
      <c r="L6" s="131">
        <f t="shared" si="3"/>
        <v>24.2728</v>
      </c>
      <c r="M6" s="131"/>
      <c r="N6" s="25">
        <f t="shared" si="4"/>
        <v>0.505619458818101</v>
      </c>
      <c r="O6" s="27">
        <f t="shared" ref="O6:O37" si="51">N6*J6*Isw_max*0.5*Efficiency*Pout/(Pout+Pout2)</f>
        <v>3.3508780498036</v>
      </c>
      <c r="P6" s="27">
        <f t="shared" si="5"/>
        <v>0.744639566623021</v>
      </c>
      <c r="Q6" s="25">
        <f t="shared" si="6"/>
        <v>0.186159891655755</v>
      </c>
      <c r="R6" s="25">
        <f t="shared" si="7"/>
        <v>0.670175609960719</v>
      </c>
      <c r="S6" s="131">
        <f t="shared" si="8"/>
        <v>18</v>
      </c>
      <c r="T6" s="25">
        <f t="shared" si="9"/>
        <v>0.0402879478135328</v>
      </c>
      <c r="U6" s="25">
        <f t="shared" si="10"/>
        <v>0.0839332246115267</v>
      </c>
      <c r="V6" s="25">
        <f t="shared" si="11"/>
        <v>0.0820675555161267</v>
      </c>
      <c r="W6" s="24">
        <f t="shared" si="12"/>
        <v>350</v>
      </c>
      <c r="X6" s="131">
        <f t="shared" ref="X6:X69" si="52">MIN(1/(U6+V6)*1000,350)</f>
        <v>350</v>
      </c>
      <c r="Z6" s="25">
        <f t="shared" si="13"/>
        <v>0.693420972093396</v>
      </c>
      <c r="AA6" s="5">
        <f t="shared" si="14"/>
        <v>1.41251583194828</v>
      </c>
      <c r="AB6" s="5">
        <f t="shared" si="15"/>
        <v>0.0935414297367646</v>
      </c>
      <c r="AC6" s="5"/>
      <c r="AD6" s="5">
        <f t="shared" si="16"/>
        <v>0.611107489733394</v>
      </c>
      <c r="AE6" s="216">
        <f t="shared" si="17"/>
        <v>99.9506172839506</v>
      </c>
      <c r="AF6" s="217">
        <f t="shared" si="18"/>
        <v>0.0175086462450593</v>
      </c>
      <c r="AH6" s="5">
        <f t="shared" si="19"/>
        <v>0.158564993434418</v>
      </c>
      <c r="AI6" s="5">
        <f t="shared" si="20"/>
        <v>0.3</v>
      </c>
      <c r="AJ6" s="5">
        <f t="shared" si="21"/>
        <v>1.05711463844797</v>
      </c>
      <c r="AL6" s="216">
        <f t="shared" si="22"/>
        <v>5</v>
      </c>
      <c r="AM6" s="220">
        <f t="shared" si="23"/>
        <v>99.9506172839506</v>
      </c>
      <c r="AO6">
        <f t="shared" ref="AO6:AO69" si="53">IF(H6&gt;O6,"",AL6)</f>
        <v>5</v>
      </c>
      <c r="AP6" s="220">
        <f t="shared" si="24"/>
        <v>99.9506172839506</v>
      </c>
      <c r="AQ6" s="220"/>
      <c r="AR6" s="192">
        <f t="shared" ref="AR6:AR69" si="54">1/AM6*1000</f>
        <v>10.0049407114624</v>
      </c>
      <c r="AS6" s="192">
        <f t="shared" si="25"/>
        <v>0.625</v>
      </c>
      <c r="AT6" s="192">
        <f t="shared" ref="AT6:AT69" si="55">AR6-AS6</f>
        <v>9.37994071146245</v>
      </c>
      <c r="AU6" s="5">
        <f t="shared" ref="AU6:AU69" si="56">AS6/AR6</f>
        <v>0.0624691358024692</v>
      </c>
      <c r="AW6" s="192">
        <f t="shared" si="26"/>
        <v>20.1076373742966</v>
      </c>
      <c r="AX6" s="192">
        <f t="shared" si="27"/>
        <v>0.0314517033062427</v>
      </c>
      <c r="AY6" s="192">
        <f t="shared" si="28"/>
        <v>14.3647440975709</v>
      </c>
      <c r="AZ6" s="192">
        <f t="shared" si="29"/>
        <v>0.0151823720487854</v>
      </c>
      <c r="BA6" s="192">
        <f t="shared" si="30"/>
        <v>0.159227388620505</v>
      </c>
      <c r="BB6" s="220">
        <f t="shared" si="31"/>
        <v>0.985919887278583</v>
      </c>
      <c r="BC6" s="192"/>
      <c r="BD6" s="5">
        <f t="shared" ref="BD6:BD69" si="57">AI6*SQRT(AU6/3)</f>
        <v>0.0432905771972848</v>
      </c>
      <c r="BE6" s="5">
        <f t="shared" si="32"/>
        <v>0.0915227524346987</v>
      </c>
      <c r="BF6" s="5">
        <f t="shared" si="33"/>
        <v>0.0693011787982903</v>
      </c>
      <c r="BG6" s="5"/>
      <c r="BH6" s="217">
        <f t="shared" si="34"/>
        <v>0.000655925925925926</v>
      </c>
      <c r="BI6" s="217">
        <f t="shared" si="35"/>
        <v>0.00363912201481482</v>
      </c>
      <c r="BJ6" s="217">
        <f t="shared" si="36"/>
        <v>0.00124938271604938</v>
      </c>
      <c r="BK6" s="217">
        <f t="shared" si="37"/>
        <v>0.00294438936137323</v>
      </c>
      <c r="BL6">
        <f t="shared" si="38"/>
        <v>0.00348</v>
      </c>
      <c r="BM6">
        <f t="shared" si="39"/>
        <v>1.74913580246914e-6</v>
      </c>
      <c r="BN6">
        <f t="shared" si="40"/>
        <v>0.0122554992558788</v>
      </c>
      <c r="BO6" s="220">
        <f t="shared" ref="BO6:BO69" si="58">BN6*1000</f>
        <v>12.2554992558788</v>
      </c>
      <c r="BP6" s="5">
        <f t="shared" si="41"/>
        <v>0.00861662863900074</v>
      </c>
      <c r="BQ6" s="5">
        <f t="shared" si="42"/>
        <v>0.00568862370407643</v>
      </c>
      <c r="BR6" s="217"/>
      <c r="BT6" s="220">
        <f t="shared" ref="BT6:BT69" si="59">SUM(BP6:BS6)*1000</f>
        <v>14.3052523430772</v>
      </c>
      <c r="BU6" s="217">
        <f t="shared" si="43"/>
        <v>7.68370370370371e-5</v>
      </c>
      <c r="BV6" s="217">
        <f t="shared" ref="BV6:BV68" si="60">Rdcr_sec*BE6^2</f>
        <v>0.000837641421322314</v>
      </c>
      <c r="BW6" s="217">
        <f t="shared" si="44"/>
        <v>0.000336185736798282</v>
      </c>
      <c r="BX6" s="217">
        <f t="shared" si="45"/>
        <v>0</v>
      </c>
      <c r="BY6" s="217">
        <f t="shared" si="46"/>
        <v>0.00172608928996334</v>
      </c>
      <c r="BZ6" s="217">
        <f t="shared" ref="BZ6:BZ69" si="61">SUM(BU6:BX6)</f>
        <v>0.00125066419515763</v>
      </c>
      <c r="CA6" s="225">
        <f t="shared" si="47"/>
        <v>0.000359822222222222</v>
      </c>
      <c r="CB6" s="220">
        <f t="shared" ref="CB6:CB69" si="62">(BY6+CA6)*1000</f>
        <v>2.08591151218556</v>
      </c>
      <c r="CC6" s="5">
        <f t="shared" ref="CC6:CC69" si="63">SUM(BN6,BP6:BS6,BY6,CA6)</f>
        <v>0.0286466631111415</v>
      </c>
      <c r="CD6" s="192">
        <f t="shared" ref="CD6:CD69" si="64">MIN(H6+I6,O6+P6)</f>
        <v>0.11</v>
      </c>
      <c r="CE6" s="5">
        <f t="shared" ref="CE6:CE69" si="65">CD6/(CD6+CC6)</f>
        <v>0.793383681450899</v>
      </c>
      <c r="CF6" s="192">
        <f t="shared" ref="CF6:CF69" si="66">CE6*100</f>
        <v>79.3383681450899</v>
      </c>
      <c r="CG6">
        <f t="shared" ref="CG6:CG37" si="67">F6/Iout*100</f>
        <v>1</v>
      </c>
      <c r="CI6" s="227">
        <f t="shared" si="48"/>
        <v>-50</v>
      </c>
      <c r="CJ6">
        <f t="shared" si="49"/>
        <v>-50</v>
      </c>
    </row>
    <row r="7" spans="5:88">
      <c r="E7" s="22">
        <v>2</v>
      </c>
      <c r="F7" s="25">
        <f>IF(PLOT_TYPE=1,E7/100*Iout,min_I*EXP(O7*rr/100))</f>
        <v>0.01</v>
      </c>
      <c r="G7" s="25">
        <f t="shared" si="50"/>
        <v>0.008</v>
      </c>
      <c r="H7" s="25">
        <f t="shared" si="0"/>
        <v>0.18</v>
      </c>
      <c r="I7" s="25">
        <f>G7*Vout2</f>
        <v>0.04</v>
      </c>
      <c r="J7" s="212">
        <f t="shared" si="1"/>
        <v>12</v>
      </c>
      <c r="K7" s="131">
        <f t="shared" si="2"/>
        <v>12.2728</v>
      </c>
      <c r="L7" s="131">
        <f t="shared" si="3"/>
        <v>24.2728</v>
      </c>
      <c r="M7" s="131"/>
      <c r="N7" s="25">
        <f t="shared" si="4"/>
        <v>0.505619458818101</v>
      </c>
      <c r="O7" s="27">
        <f t="shared" si="51"/>
        <v>3.3508780498036</v>
      </c>
      <c r="P7" s="27">
        <f t="shared" si="5"/>
        <v>0.744639566623021</v>
      </c>
      <c r="Q7" s="25">
        <f t="shared" si="6"/>
        <v>0.186159891655755</v>
      </c>
      <c r="R7" s="25">
        <f t="shared" si="7"/>
        <v>0.670175609960719</v>
      </c>
      <c r="S7" s="131">
        <f t="shared" si="8"/>
        <v>18</v>
      </c>
      <c r="T7" s="25">
        <f t="shared" si="9"/>
        <v>0.0805758956270657</v>
      </c>
      <c r="U7" s="25">
        <f t="shared" si="10"/>
        <v>0.167866449223054</v>
      </c>
      <c r="V7" s="25">
        <f t="shared" si="11"/>
        <v>0.164135111032254</v>
      </c>
      <c r="W7" s="24">
        <f t="shared" si="12"/>
        <v>350</v>
      </c>
      <c r="X7" s="131">
        <f t="shared" si="52"/>
        <v>350</v>
      </c>
      <c r="Z7" s="25">
        <f t="shared" si="13"/>
        <v>0.693420972093396</v>
      </c>
      <c r="AA7" s="5">
        <f t="shared" si="14"/>
        <v>1.41251583194828</v>
      </c>
      <c r="AB7" s="5">
        <f t="shared" si="15"/>
        <v>0.0935414297367646</v>
      </c>
      <c r="AC7" s="5"/>
      <c r="AD7" s="5">
        <f t="shared" si="16"/>
        <v>0.611107489733394</v>
      </c>
      <c r="AE7" s="216">
        <f t="shared" si="17"/>
        <v>199.901234567901</v>
      </c>
      <c r="AF7" s="217">
        <f t="shared" si="18"/>
        <v>0.0175086462450593</v>
      </c>
      <c r="AH7" s="5">
        <f t="shared" si="19"/>
        <v>0.224244764232555</v>
      </c>
      <c r="AI7" s="5">
        <f t="shared" si="20"/>
        <v>0.3</v>
      </c>
      <c r="AJ7" s="5">
        <f t="shared" si="21"/>
        <v>1.11422927689594</v>
      </c>
      <c r="AL7" s="216">
        <f t="shared" si="22"/>
        <v>10</v>
      </c>
      <c r="AM7" s="220">
        <f t="shared" si="23"/>
        <v>199.901234567901</v>
      </c>
      <c r="AO7">
        <f t="shared" si="53"/>
        <v>10</v>
      </c>
      <c r="AP7" s="220">
        <f t="shared" si="24"/>
        <v>199.901234567901</v>
      </c>
      <c r="AQ7" s="220"/>
      <c r="AR7" s="192">
        <f t="shared" si="54"/>
        <v>5.00247035573122</v>
      </c>
      <c r="AS7" s="192">
        <f t="shared" si="25"/>
        <v>0.625</v>
      </c>
      <c r="AT7" s="192">
        <f t="shared" si="55"/>
        <v>4.37747035573122</v>
      </c>
      <c r="AU7" s="5">
        <f t="shared" si="56"/>
        <v>0.124938271604938</v>
      </c>
      <c r="AW7" s="192">
        <f t="shared" si="26"/>
        <v>20.1076373742966</v>
      </c>
      <c r="AX7" s="192">
        <f t="shared" si="27"/>
        <v>0.0958068132249707</v>
      </c>
      <c r="AY7" s="192">
        <f t="shared" si="28"/>
        <v>14.3647440975709</v>
      </c>
      <c r="AZ7" s="192">
        <f t="shared" si="29"/>
        <v>0.0447294881951417</v>
      </c>
      <c r="BA7" s="192">
        <f t="shared" si="30"/>
        <v>0.14861782071927</v>
      </c>
      <c r="BB7" s="220">
        <f t="shared" si="31"/>
        <v>0.952818035426731</v>
      </c>
      <c r="BC7" s="192"/>
      <c r="BD7" s="5">
        <f t="shared" si="57"/>
        <v>0.0612221213953596</v>
      </c>
      <c r="BE7" s="5">
        <f t="shared" si="32"/>
        <v>0.0884210424078786</v>
      </c>
      <c r="BF7" s="5">
        <f t="shared" si="33"/>
        <v>0.0669525588602867</v>
      </c>
      <c r="BG7" s="5"/>
      <c r="BH7" s="217">
        <f t="shared" si="34"/>
        <v>0.00131185185185185</v>
      </c>
      <c r="BI7" s="217">
        <f t="shared" si="35"/>
        <v>0.00727824402962963</v>
      </c>
      <c r="BJ7" s="217">
        <f t="shared" si="36"/>
        <v>0.00249876543209877</v>
      </c>
      <c r="BK7" s="217">
        <f t="shared" si="37"/>
        <v>0.00588877872274647</v>
      </c>
      <c r="BL7">
        <f t="shared" si="38"/>
        <v>0.00348</v>
      </c>
      <c r="BM7">
        <f t="shared" si="39"/>
        <v>3.49827160493827e-6</v>
      </c>
      <c r="BN7">
        <f t="shared" si="40"/>
        <v>0.0210374788808892</v>
      </c>
      <c r="BO7" s="220">
        <f t="shared" si="58"/>
        <v>21.0374788808892</v>
      </c>
      <c r="BP7" s="5">
        <f t="shared" si="41"/>
        <v>0.0115638400438817</v>
      </c>
      <c r="BQ7" s="5">
        <f t="shared" si="42"/>
        <v>0.00812666247227992</v>
      </c>
      <c r="BR7" s="217"/>
      <c r="BT7" s="220">
        <f t="shared" si="59"/>
        <v>19.6905025161616</v>
      </c>
      <c r="BU7" s="217">
        <f t="shared" si="43"/>
        <v>0.000153674074074074</v>
      </c>
      <c r="BV7" s="217">
        <f t="shared" si="60"/>
        <v>0.000781828074049587</v>
      </c>
      <c r="BW7" s="217">
        <f t="shared" si="44"/>
        <v>0.000313785159655811</v>
      </c>
      <c r="BX7" s="217">
        <f t="shared" si="45"/>
        <v>0</v>
      </c>
      <c r="BY7" s="217">
        <f t="shared" si="46"/>
        <v>0.00172418880531093</v>
      </c>
      <c r="BZ7" s="217">
        <f t="shared" si="61"/>
        <v>0.00124928730777947</v>
      </c>
      <c r="CA7" s="225">
        <f t="shared" si="47"/>
        <v>0.000719644444444445</v>
      </c>
      <c r="CB7" s="220">
        <f t="shared" si="62"/>
        <v>2.44383324975537</v>
      </c>
      <c r="CC7" s="5">
        <f t="shared" si="63"/>
        <v>0.0431718146468061</v>
      </c>
      <c r="CD7" s="192">
        <f t="shared" si="64"/>
        <v>0.22</v>
      </c>
      <c r="CE7" s="5">
        <f t="shared" si="65"/>
        <v>0.835955781568989</v>
      </c>
      <c r="CF7" s="192">
        <f t="shared" si="66"/>
        <v>83.5955781568989</v>
      </c>
      <c r="CG7">
        <f t="shared" si="67"/>
        <v>2</v>
      </c>
      <c r="CI7" s="227">
        <f t="shared" si="48"/>
        <v>-50</v>
      </c>
      <c r="CJ7">
        <f t="shared" si="49"/>
        <v>-50</v>
      </c>
    </row>
    <row r="8" spans="5:88">
      <c r="E8" s="22">
        <v>3</v>
      </c>
      <c r="F8" s="25">
        <f t="shared" ref="F8:F39" si="68">IF(PLOT_TYPE=1,E8/100*Iout_max,min_I*EXP(O8*rr/100))</f>
        <v>0.015</v>
      </c>
      <c r="G8" s="25">
        <f t="shared" si="50"/>
        <v>0.012</v>
      </c>
      <c r="H8" s="25">
        <f t="shared" si="0"/>
        <v>0.27</v>
      </c>
      <c r="I8" s="25">
        <f t="shared" ref="I8:I39" si="69">Vout2*G8</f>
        <v>0.06</v>
      </c>
      <c r="J8" s="212">
        <f t="shared" si="1"/>
        <v>12</v>
      </c>
      <c r="K8" s="131">
        <f t="shared" si="2"/>
        <v>12.2728</v>
      </c>
      <c r="L8" s="131">
        <f t="shared" si="3"/>
        <v>24.2728</v>
      </c>
      <c r="M8" s="131"/>
      <c r="N8" s="25">
        <f t="shared" si="4"/>
        <v>0.505619458818101</v>
      </c>
      <c r="O8" s="27">
        <f t="shared" si="51"/>
        <v>3.3508780498036</v>
      </c>
      <c r="P8" s="27">
        <f t="shared" si="5"/>
        <v>0.744639566623021</v>
      </c>
      <c r="Q8" s="25">
        <f t="shared" si="6"/>
        <v>0.186159891655755</v>
      </c>
      <c r="R8" s="25">
        <f t="shared" si="7"/>
        <v>0.670175609960719</v>
      </c>
      <c r="S8" s="131">
        <f t="shared" si="8"/>
        <v>18</v>
      </c>
      <c r="T8" s="25">
        <f t="shared" si="9"/>
        <v>0.120863843440599</v>
      </c>
      <c r="U8" s="25">
        <f t="shared" si="10"/>
        <v>0.251799673834581</v>
      </c>
      <c r="V8" s="25">
        <f t="shared" si="11"/>
        <v>0.246202666548381</v>
      </c>
      <c r="W8" s="24">
        <f t="shared" si="12"/>
        <v>350</v>
      </c>
      <c r="X8" s="131">
        <f t="shared" si="52"/>
        <v>350</v>
      </c>
      <c r="Z8" s="25">
        <f t="shared" si="13"/>
        <v>0.693420972093396</v>
      </c>
      <c r="AA8" s="5">
        <f t="shared" si="14"/>
        <v>1.41251583194828</v>
      </c>
      <c r="AB8" s="5">
        <f t="shared" si="15"/>
        <v>0.0935414297367646</v>
      </c>
      <c r="AC8" s="5"/>
      <c r="AD8" s="5">
        <f t="shared" si="16"/>
        <v>0.611107489733394</v>
      </c>
      <c r="AE8" s="216">
        <f t="shared" si="17"/>
        <v>299.851851851852</v>
      </c>
      <c r="AF8" s="217">
        <f t="shared" si="18"/>
        <v>0.0175086462450593</v>
      </c>
      <c r="AH8" s="5">
        <f t="shared" si="19"/>
        <v>0.274642624930238</v>
      </c>
      <c r="AI8" s="5">
        <f t="shared" si="20"/>
        <v>0.3</v>
      </c>
      <c r="AJ8" s="5">
        <f t="shared" si="21"/>
        <v>1.17134391534392</v>
      </c>
      <c r="AL8" s="216">
        <f t="shared" si="22"/>
        <v>15</v>
      </c>
      <c r="AM8" s="220">
        <f t="shared" si="23"/>
        <v>299.851851851852</v>
      </c>
      <c r="AO8">
        <f t="shared" si="53"/>
        <v>15</v>
      </c>
      <c r="AP8" s="220">
        <f t="shared" si="24"/>
        <v>299.851851851852</v>
      </c>
      <c r="AQ8" s="220"/>
      <c r="AR8" s="192">
        <f t="shared" si="54"/>
        <v>3.33498023715415</v>
      </c>
      <c r="AS8" s="192">
        <f t="shared" si="25"/>
        <v>0.625</v>
      </c>
      <c r="AT8" s="192">
        <f t="shared" si="55"/>
        <v>2.70998023715415</v>
      </c>
      <c r="AU8" s="5">
        <f t="shared" si="56"/>
        <v>0.187407407407407</v>
      </c>
      <c r="AW8" s="192">
        <f t="shared" si="26"/>
        <v>20.1076373742966</v>
      </c>
      <c r="AX8" s="192">
        <f t="shared" si="27"/>
        <v>0.193065329756184</v>
      </c>
      <c r="AY8" s="192">
        <f t="shared" si="28"/>
        <v>14.3647440975709</v>
      </c>
      <c r="AZ8" s="192">
        <f t="shared" si="29"/>
        <v>0.0886413484390689</v>
      </c>
      <c r="BA8" s="192">
        <f t="shared" si="30"/>
        <v>0.138008252818035</v>
      </c>
      <c r="BB8" s="220">
        <f t="shared" si="31"/>
        <v>0.919716183574879</v>
      </c>
      <c r="BC8" s="192"/>
      <c r="BD8" s="5">
        <f t="shared" si="57"/>
        <v>0.07498147919468</v>
      </c>
      <c r="BE8" s="5">
        <f t="shared" si="32"/>
        <v>0.0852064978025068</v>
      </c>
      <c r="BF8" s="5">
        <f t="shared" si="33"/>
        <v>0.0645185003936677</v>
      </c>
      <c r="BG8" s="5"/>
      <c r="BH8" s="217">
        <f t="shared" si="34"/>
        <v>0.00196777777777778</v>
      </c>
      <c r="BI8" s="217">
        <f t="shared" si="35"/>
        <v>0.0109173660444444</v>
      </c>
      <c r="BJ8" s="217">
        <f t="shared" si="36"/>
        <v>0.00374814814814815</v>
      </c>
      <c r="BK8" s="217">
        <f t="shared" si="37"/>
        <v>0.0088331680841197</v>
      </c>
      <c r="BL8">
        <f t="shared" si="38"/>
        <v>0.00348</v>
      </c>
      <c r="BM8">
        <f t="shared" si="39"/>
        <v>5.24740740740741e-6</v>
      </c>
      <c r="BN8">
        <f t="shared" si="40"/>
        <v>0.0298259460559381</v>
      </c>
      <c r="BO8" s="220">
        <f t="shared" si="58"/>
        <v>29.8259460559382</v>
      </c>
      <c r="BP8" s="5">
        <f t="shared" si="41"/>
        <v>0.0145110514487626</v>
      </c>
      <c r="BQ8" s="5">
        <f t="shared" si="42"/>
        <v>0.0105647012404834</v>
      </c>
      <c r="BR8" s="217"/>
      <c r="BT8" s="220">
        <f t="shared" si="59"/>
        <v>25.075752689246</v>
      </c>
      <c r="BU8" s="217">
        <f t="shared" si="43"/>
        <v>0.000230511111111111</v>
      </c>
      <c r="BV8" s="217">
        <f t="shared" si="60"/>
        <v>0.000726014726776859</v>
      </c>
      <c r="BW8" s="217">
        <f t="shared" si="44"/>
        <v>0.000291384582513339</v>
      </c>
      <c r="BX8" s="217">
        <f t="shared" si="45"/>
        <v>0</v>
      </c>
      <c r="BY8" s="217">
        <f t="shared" si="46"/>
        <v>0.00172228832107723</v>
      </c>
      <c r="BZ8" s="217">
        <f t="shared" si="61"/>
        <v>0.00124791042040131</v>
      </c>
      <c r="CA8" s="225">
        <f t="shared" si="47"/>
        <v>0.00107946666666667</v>
      </c>
      <c r="CB8" s="220">
        <f t="shared" si="62"/>
        <v>2.8017549877439</v>
      </c>
      <c r="CC8" s="5">
        <f t="shared" si="63"/>
        <v>0.057703453732928</v>
      </c>
      <c r="CD8" s="192">
        <f t="shared" si="64"/>
        <v>0.33</v>
      </c>
      <c r="CE8" s="5">
        <f t="shared" si="65"/>
        <v>0.851166005416404</v>
      </c>
      <c r="CF8" s="192">
        <f t="shared" si="66"/>
        <v>85.1166005416404</v>
      </c>
      <c r="CG8">
        <f t="shared" si="67"/>
        <v>3</v>
      </c>
      <c r="CI8" s="227">
        <f t="shared" si="48"/>
        <v>-50</v>
      </c>
      <c r="CJ8">
        <f t="shared" si="49"/>
        <v>-50</v>
      </c>
    </row>
    <row r="9" spans="5:88">
      <c r="E9" s="22">
        <v>4</v>
      </c>
      <c r="F9" s="25">
        <f t="shared" si="68"/>
        <v>0.02</v>
      </c>
      <c r="G9" s="25">
        <f t="shared" si="50"/>
        <v>0.016</v>
      </c>
      <c r="H9" s="25">
        <f t="shared" si="0"/>
        <v>0.36</v>
      </c>
      <c r="I9" s="25">
        <f t="shared" si="69"/>
        <v>0.08</v>
      </c>
      <c r="J9" s="212">
        <f t="shared" si="1"/>
        <v>12</v>
      </c>
      <c r="K9" s="131">
        <f t="shared" si="2"/>
        <v>12.2728</v>
      </c>
      <c r="L9" s="131">
        <f t="shared" si="3"/>
        <v>24.2728</v>
      </c>
      <c r="M9" s="131"/>
      <c r="N9" s="25">
        <f t="shared" si="4"/>
        <v>0.505619458818101</v>
      </c>
      <c r="O9" s="27">
        <f t="shared" si="51"/>
        <v>3.3508780498036</v>
      </c>
      <c r="P9" s="27">
        <f t="shared" si="5"/>
        <v>0.744639566623021</v>
      </c>
      <c r="Q9" s="25">
        <f t="shared" si="6"/>
        <v>0.186159891655755</v>
      </c>
      <c r="R9" s="25">
        <f t="shared" si="7"/>
        <v>0.670175609960719</v>
      </c>
      <c r="S9" s="131">
        <f t="shared" si="8"/>
        <v>18</v>
      </c>
      <c r="T9" s="25">
        <f t="shared" si="9"/>
        <v>0.161151791254131</v>
      </c>
      <c r="U9" s="25">
        <f t="shared" si="10"/>
        <v>0.335732898446106</v>
      </c>
      <c r="V9" s="25">
        <f t="shared" si="11"/>
        <v>0.328270222064507</v>
      </c>
      <c r="W9" s="24">
        <f t="shared" si="12"/>
        <v>350</v>
      </c>
      <c r="X9" s="131">
        <f t="shared" si="52"/>
        <v>350</v>
      </c>
      <c r="Z9" s="25">
        <f t="shared" si="13"/>
        <v>0.693420972093396</v>
      </c>
      <c r="AA9" s="5">
        <f t="shared" si="14"/>
        <v>1.41251583194828</v>
      </c>
      <c r="AB9" s="5">
        <f t="shared" si="15"/>
        <v>0.0935414297367646</v>
      </c>
      <c r="AC9" s="5"/>
      <c r="AD9" s="5">
        <f t="shared" si="16"/>
        <v>0.611107489733394</v>
      </c>
      <c r="AE9" s="216">
        <f t="shared" si="17"/>
        <v>399.802469135803</v>
      </c>
      <c r="AF9" s="217">
        <f t="shared" si="18"/>
        <v>0.0175086462450593</v>
      </c>
      <c r="AH9" s="5">
        <f t="shared" si="19"/>
        <v>0.317129986868837</v>
      </c>
      <c r="AI9" s="5">
        <f t="shared" si="20"/>
        <v>0.317129986868837</v>
      </c>
      <c r="AJ9" s="5">
        <f t="shared" si="21"/>
        <v>1.2126888791621</v>
      </c>
      <c r="AL9" s="216">
        <f t="shared" si="22"/>
        <v>20</v>
      </c>
      <c r="AM9" s="220">
        <f t="shared" si="23"/>
        <v>350</v>
      </c>
      <c r="AO9">
        <f t="shared" si="53"/>
        <v>20</v>
      </c>
      <c r="AP9" s="220">
        <f t="shared" si="24"/>
        <v>350</v>
      </c>
      <c r="AQ9" s="220"/>
      <c r="AR9" s="192">
        <f t="shared" si="54"/>
        <v>2.85714285714286</v>
      </c>
      <c r="AS9" s="192">
        <f t="shared" si="25"/>
        <v>0.66068747264341</v>
      </c>
      <c r="AT9" s="192">
        <f t="shared" si="55"/>
        <v>2.19645538449945</v>
      </c>
      <c r="AU9" s="5">
        <f t="shared" si="56"/>
        <v>0.231240615425193</v>
      </c>
      <c r="AW9" s="192">
        <f t="shared" si="26"/>
        <v>20.1076373742966</v>
      </c>
      <c r="AX9" s="192">
        <f t="shared" si="27"/>
        <v>0.323227252899883</v>
      </c>
      <c r="AY9" s="192">
        <f t="shared" si="28"/>
        <v>14.3647440975709</v>
      </c>
      <c r="AZ9" s="192">
        <f t="shared" si="29"/>
        <v>0.146917952780567</v>
      </c>
      <c r="BA9" s="192">
        <f t="shared" si="30"/>
        <v>0.149142032280827</v>
      </c>
      <c r="BB9" s="220">
        <f t="shared" si="31"/>
        <v>1.01707441590718</v>
      </c>
      <c r="BC9" s="192"/>
      <c r="BD9" s="5">
        <f t="shared" si="57"/>
        <v>0.0880458195809584</v>
      </c>
      <c r="BE9" s="5">
        <f t="shared" si="32"/>
        <v>0.0876087644730902</v>
      </c>
      <c r="BF9" s="5">
        <f t="shared" si="33"/>
        <v>0.0663375006709818</v>
      </c>
      <c r="BG9" s="5"/>
      <c r="BH9" s="217">
        <f t="shared" si="34"/>
        <v>0.00271322322098894</v>
      </c>
      <c r="BI9" s="217">
        <f t="shared" si="35"/>
        <v>0.0134708573042223</v>
      </c>
      <c r="BJ9" s="217">
        <f t="shared" si="36"/>
        <v>0.004375</v>
      </c>
      <c r="BK9" s="217">
        <f t="shared" si="37"/>
        <v>0.0103104543472</v>
      </c>
      <c r="BL9">
        <f t="shared" si="38"/>
        <v>0.00348</v>
      </c>
      <c r="BM9">
        <f t="shared" si="39"/>
        <v>6.125e-6</v>
      </c>
      <c r="BN9">
        <f t="shared" si="40"/>
        <v>0.0355698490784077</v>
      </c>
      <c r="BO9" s="220">
        <f t="shared" si="58"/>
        <v>35.5698490784077</v>
      </c>
      <c r="BP9" s="5">
        <f t="shared" si="41"/>
        <v>0.0180758588309128</v>
      </c>
      <c r="BQ9" s="5">
        <f t="shared" si="42"/>
        <v>0.0133568413382002</v>
      </c>
      <c r="BR9" s="217"/>
      <c r="BT9" s="220">
        <f t="shared" si="59"/>
        <v>31.4327001691129</v>
      </c>
      <c r="BU9" s="217">
        <f t="shared" si="43"/>
        <v>0.00031783472017299</v>
      </c>
      <c r="BV9" s="217">
        <f t="shared" si="60"/>
        <v>0.000767529561250139</v>
      </c>
      <c r="BW9" s="217">
        <f t="shared" si="44"/>
        <v>0.000308046479669076</v>
      </c>
      <c r="BX9" s="217">
        <f t="shared" si="45"/>
        <v>0</v>
      </c>
      <c r="BY9" s="217">
        <f t="shared" si="46"/>
        <v>0.00192312122613215</v>
      </c>
      <c r="BZ9" s="217">
        <f t="shared" si="61"/>
        <v>0.0013934107610922</v>
      </c>
      <c r="CA9" s="225">
        <f t="shared" si="47"/>
        <v>0.001408</v>
      </c>
      <c r="CB9" s="220">
        <f t="shared" si="62"/>
        <v>3.33112122613215</v>
      </c>
      <c r="CC9" s="5">
        <f t="shared" si="63"/>
        <v>0.0703336704736528</v>
      </c>
      <c r="CD9" s="192">
        <f t="shared" si="64"/>
        <v>0.44</v>
      </c>
      <c r="CE9" s="5">
        <f t="shared" si="65"/>
        <v>0.862181011085601</v>
      </c>
      <c r="CF9" s="192">
        <f t="shared" si="66"/>
        <v>86.2181011085601</v>
      </c>
      <c r="CG9">
        <f t="shared" si="67"/>
        <v>4</v>
      </c>
      <c r="CI9" s="227">
        <f t="shared" si="48"/>
        <v>-50</v>
      </c>
      <c r="CJ9">
        <f t="shared" si="49"/>
        <v>-50</v>
      </c>
    </row>
    <row r="10" spans="5:88">
      <c r="E10" s="22">
        <v>5</v>
      </c>
      <c r="F10" s="25">
        <f t="shared" si="68"/>
        <v>0.025</v>
      </c>
      <c r="G10" s="25">
        <f t="shared" si="50"/>
        <v>0.02</v>
      </c>
      <c r="H10" s="25">
        <f t="shared" si="0"/>
        <v>0.45</v>
      </c>
      <c r="I10" s="25">
        <f t="shared" si="69"/>
        <v>0.1</v>
      </c>
      <c r="J10" s="212">
        <f t="shared" si="1"/>
        <v>12</v>
      </c>
      <c r="K10" s="131">
        <f t="shared" si="2"/>
        <v>12.2728</v>
      </c>
      <c r="L10" s="131">
        <f t="shared" si="3"/>
        <v>24.2728</v>
      </c>
      <c r="M10" s="131"/>
      <c r="N10" s="25">
        <f t="shared" si="4"/>
        <v>0.505619458818101</v>
      </c>
      <c r="O10" s="27">
        <f t="shared" si="51"/>
        <v>3.3508780498036</v>
      </c>
      <c r="P10" s="27">
        <f t="shared" si="5"/>
        <v>0.744639566623021</v>
      </c>
      <c r="Q10" s="25">
        <f t="shared" si="6"/>
        <v>0.186159891655755</v>
      </c>
      <c r="R10" s="25">
        <f t="shared" si="7"/>
        <v>0.670175609960719</v>
      </c>
      <c r="S10" s="131">
        <f t="shared" si="8"/>
        <v>18</v>
      </c>
      <c r="T10" s="25">
        <f t="shared" si="9"/>
        <v>0.201439739067664</v>
      </c>
      <c r="U10" s="25">
        <f t="shared" si="10"/>
        <v>0.419666123057633</v>
      </c>
      <c r="V10" s="25">
        <f t="shared" si="11"/>
        <v>0.410337777580634</v>
      </c>
      <c r="W10" s="24">
        <f t="shared" si="12"/>
        <v>350</v>
      </c>
      <c r="X10" s="131">
        <f t="shared" si="52"/>
        <v>350</v>
      </c>
      <c r="Z10" s="25">
        <f t="shared" si="13"/>
        <v>0.693420972093396</v>
      </c>
      <c r="AA10" s="5">
        <f t="shared" si="14"/>
        <v>1.41251583194828</v>
      </c>
      <c r="AB10" s="5">
        <f t="shared" si="15"/>
        <v>0.0935414297367646</v>
      </c>
      <c r="AC10" s="5"/>
      <c r="AD10" s="5">
        <f t="shared" si="16"/>
        <v>0.611107489733394</v>
      </c>
      <c r="AE10" s="216">
        <f t="shared" si="17"/>
        <v>499.753086419753</v>
      </c>
      <c r="AF10" s="217">
        <f t="shared" si="18"/>
        <v>0.0175086462450593</v>
      </c>
      <c r="AH10" s="5">
        <f t="shared" si="19"/>
        <v>0.354562104171167</v>
      </c>
      <c r="AI10" s="5">
        <f t="shared" si="20"/>
        <v>0.354562104171167</v>
      </c>
      <c r="AJ10" s="5">
        <f t="shared" si="21"/>
        <v>1.24041637346012</v>
      </c>
      <c r="AL10" s="216">
        <f t="shared" si="22"/>
        <v>25</v>
      </c>
      <c r="AM10" s="220">
        <f t="shared" si="23"/>
        <v>350</v>
      </c>
      <c r="AO10">
        <f t="shared" si="53"/>
        <v>25</v>
      </c>
      <c r="AP10" s="220">
        <f t="shared" si="24"/>
        <v>350</v>
      </c>
      <c r="AQ10" s="220"/>
      <c r="AR10" s="192">
        <f t="shared" si="54"/>
        <v>2.85714285714286</v>
      </c>
      <c r="AS10" s="192">
        <f t="shared" si="25"/>
        <v>0.738671050356599</v>
      </c>
      <c r="AT10" s="192">
        <f t="shared" si="55"/>
        <v>2.11847180678626</v>
      </c>
      <c r="AU10" s="5">
        <f t="shared" si="56"/>
        <v>0.25853486762481</v>
      </c>
      <c r="AW10" s="192">
        <f t="shared" si="26"/>
        <v>20.1076373742966</v>
      </c>
      <c r="AX10" s="192">
        <f t="shared" si="27"/>
        <v>0.486292582656067</v>
      </c>
      <c r="AY10" s="192">
        <f t="shared" si="28"/>
        <v>14.3647440975709</v>
      </c>
      <c r="AZ10" s="192">
        <f t="shared" si="29"/>
        <v>0.219559301219636</v>
      </c>
      <c r="BA10" s="192">
        <f t="shared" si="30"/>
        <v>0.179808563847599</v>
      </c>
      <c r="BB10" s="220">
        <f t="shared" si="31"/>
        <v>1.23162916086337</v>
      </c>
      <c r="BC10" s="192"/>
      <c r="BD10" s="5">
        <f t="shared" si="57"/>
        <v>0.104085743845624</v>
      </c>
      <c r="BE10" s="5">
        <f t="shared" si="32"/>
        <v>0.0961950474977924</v>
      </c>
      <c r="BF10" s="5">
        <f t="shared" si="33"/>
        <v>0.0728390483110855</v>
      </c>
      <c r="BG10" s="5"/>
      <c r="BH10" s="217">
        <f t="shared" si="34"/>
        <v>0.00379184472516387</v>
      </c>
      <c r="BI10" s="217">
        <f t="shared" si="35"/>
        <v>0.0150608763237203</v>
      </c>
      <c r="BJ10" s="217">
        <f t="shared" si="36"/>
        <v>0.004375</v>
      </c>
      <c r="BK10" s="217">
        <f t="shared" si="37"/>
        <v>0.0103104543472</v>
      </c>
      <c r="BL10">
        <f t="shared" si="38"/>
        <v>0.00348</v>
      </c>
      <c r="BM10">
        <f t="shared" si="39"/>
        <v>6.125e-6</v>
      </c>
      <c r="BN10">
        <f t="shared" si="40"/>
        <v>0.0387279172810749</v>
      </c>
      <c r="BO10" s="220">
        <f t="shared" si="58"/>
        <v>38.7279172810749</v>
      </c>
      <c r="BP10" s="5">
        <f t="shared" si="41"/>
        <v>0.0223786752793467</v>
      </c>
      <c r="BQ10" s="5">
        <f t="shared" si="42"/>
        <v>0.0165721221317476</v>
      </c>
      <c r="BR10" s="217"/>
      <c r="BT10" s="220">
        <f t="shared" si="59"/>
        <v>38.9507974110943</v>
      </c>
      <c r="BU10" s="217">
        <f t="shared" si="43"/>
        <v>0.000444187524947768</v>
      </c>
      <c r="BV10" s="217">
        <f t="shared" si="60"/>
        <v>0.000925348716310253</v>
      </c>
      <c r="BW10" s="217">
        <f t="shared" si="44"/>
        <v>0.000371386887120526</v>
      </c>
      <c r="BX10" s="217">
        <f t="shared" si="45"/>
        <v>0</v>
      </c>
      <c r="BY10" s="217">
        <f t="shared" si="46"/>
        <v>0.00240280856556278</v>
      </c>
      <c r="BZ10" s="217">
        <f t="shared" si="61"/>
        <v>0.00174092312837855</v>
      </c>
      <c r="CA10" s="225">
        <f t="shared" si="47"/>
        <v>0.00176</v>
      </c>
      <c r="CB10" s="220">
        <f t="shared" si="62"/>
        <v>4.16280856556278</v>
      </c>
      <c r="CC10" s="5">
        <f t="shared" si="63"/>
        <v>0.0818415232577319</v>
      </c>
      <c r="CD10" s="192">
        <f t="shared" si="64"/>
        <v>0.55</v>
      </c>
      <c r="CE10" s="5">
        <f t="shared" si="65"/>
        <v>0.870471439047307</v>
      </c>
      <c r="CF10" s="192">
        <f t="shared" si="66"/>
        <v>87.0471439047306</v>
      </c>
      <c r="CG10">
        <f t="shared" si="67"/>
        <v>5</v>
      </c>
      <c r="CI10" s="227">
        <f t="shared" si="48"/>
        <v>-50</v>
      </c>
      <c r="CJ10">
        <f t="shared" si="49"/>
        <v>-50</v>
      </c>
    </row>
    <row r="11" spans="5:88">
      <c r="E11" s="22">
        <v>6</v>
      </c>
      <c r="F11" s="25">
        <f t="shared" si="68"/>
        <v>0.03</v>
      </c>
      <c r="G11" s="25">
        <f t="shared" si="50"/>
        <v>0.024</v>
      </c>
      <c r="H11" s="25">
        <f t="shared" si="0"/>
        <v>0.54</v>
      </c>
      <c r="I11" s="25">
        <f t="shared" si="69"/>
        <v>0.12</v>
      </c>
      <c r="J11" s="212">
        <f t="shared" si="1"/>
        <v>12</v>
      </c>
      <c r="K11" s="131">
        <f t="shared" si="2"/>
        <v>12.2728</v>
      </c>
      <c r="L11" s="131">
        <f t="shared" si="3"/>
        <v>24.2728</v>
      </c>
      <c r="M11" s="131"/>
      <c r="N11" s="25">
        <f t="shared" si="4"/>
        <v>0.505619458818101</v>
      </c>
      <c r="O11" s="27">
        <f t="shared" si="51"/>
        <v>3.3508780498036</v>
      </c>
      <c r="P11" s="27">
        <f t="shared" si="5"/>
        <v>0.744639566623021</v>
      </c>
      <c r="Q11" s="25">
        <f t="shared" si="6"/>
        <v>0.186159891655755</v>
      </c>
      <c r="R11" s="25">
        <f t="shared" si="7"/>
        <v>0.670175609960719</v>
      </c>
      <c r="S11" s="131">
        <f t="shared" si="8"/>
        <v>18</v>
      </c>
      <c r="T11" s="25">
        <f t="shared" si="9"/>
        <v>0.241727686881197</v>
      </c>
      <c r="U11" s="25">
        <f t="shared" si="10"/>
        <v>0.50359934766916</v>
      </c>
      <c r="V11" s="25">
        <f t="shared" si="11"/>
        <v>0.492405333096761</v>
      </c>
      <c r="W11" s="24">
        <f t="shared" si="12"/>
        <v>350</v>
      </c>
      <c r="X11" s="131">
        <f t="shared" si="52"/>
        <v>350</v>
      </c>
      <c r="Z11" s="25">
        <f t="shared" si="13"/>
        <v>0.693420972093396</v>
      </c>
      <c r="AA11" s="5">
        <f t="shared" si="14"/>
        <v>1.41251583194828</v>
      </c>
      <c r="AB11" s="5">
        <f t="shared" si="15"/>
        <v>0.0935414297367646</v>
      </c>
      <c r="AC11" s="5"/>
      <c r="AD11" s="5">
        <f t="shared" si="16"/>
        <v>0.611107489733394</v>
      </c>
      <c r="AE11" s="216">
        <f t="shared" si="17"/>
        <v>599.703703703704</v>
      </c>
      <c r="AF11" s="217">
        <f t="shared" si="18"/>
        <v>0.0175086462450593</v>
      </c>
      <c r="AH11" s="5">
        <f t="shared" si="19"/>
        <v>0.38840332498209</v>
      </c>
      <c r="AI11" s="5">
        <f t="shared" si="20"/>
        <v>0.38840332498209</v>
      </c>
      <c r="AJ11" s="5">
        <f t="shared" si="21"/>
        <v>1.26548394443118</v>
      </c>
      <c r="AL11" s="216">
        <f t="shared" si="22"/>
        <v>30</v>
      </c>
      <c r="AM11" s="220">
        <f t="shared" si="23"/>
        <v>350</v>
      </c>
      <c r="AO11">
        <f t="shared" si="53"/>
        <v>30</v>
      </c>
      <c r="AP11" s="220">
        <f t="shared" si="24"/>
        <v>350</v>
      </c>
      <c r="AQ11" s="220"/>
      <c r="AR11" s="192">
        <f t="shared" si="54"/>
        <v>2.85714285714286</v>
      </c>
      <c r="AS11" s="192">
        <f t="shared" si="25"/>
        <v>0.809173593712687</v>
      </c>
      <c r="AT11" s="192">
        <f t="shared" si="55"/>
        <v>2.04796926343017</v>
      </c>
      <c r="AU11" s="5">
        <f t="shared" si="56"/>
        <v>0.28321075779944</v>
      </c>
      <c r="AW11" s="192">
        <f t="shared" si="26"/>
        <v>20.1076373742966</v>
      </c>
      <c r="AX11" s="192">
        <f t="shared" si="27"/>
        <v>0.682261319024737</v>
      </c>
      <c r="AY11" s="192">
        <f t="shared" si="28"/>
        <v>14.3647440975709</v>
      </c>
      <c r="AZ11" s="192">
        <f t="shared" si="29"/>
        <v>0.306565393756276</v>
      </c>
      <c r="BA11" s="192">
        <f t="shared" si="30"/>
        <v>0.208589462016036</v>
      </c>
      <c r="BB11" s="220">
        <f t="shared" si="31"/>
        <v>1.43487010542955</v>
      </c>
      <c r="BC11" s="192"/>
      <c r="BD11" s="5">
        <f t="shared" si="57"/>
        <v>0.119337568474237</v>
      </c>
      <c r="BE11" s="5">
        <f t="shared" si="32"/>
        <v>0.103608099935157</v>
      </c>
      <c r="BF11" s="5">
        <f t="shared" si="33"/>
        <v>0.0784522238192137</v>
      </c>
      <c r="BG11" s="5"/>
      <c r="BH11" s="217">
        <f t="shared" si="34"/>
        <v>0.00498450933727015</v>
      </c>
      <c r="BI11" s="217">
        <f t="shared" si="35"/>
        <v>0.0164983633965942</v>
      </c>
      <c r="BJ11" s="217">
        <f t="shared" si="36"/>
        <v>0.004375</v>
      </c>
      <c r="BK11" s="217">
        <f t="shared" si="37"/>
        <v>0.0103104543472</v>
      </c>
      <c r="BL11">
        <f t="shared" si="38"/>
        <v>0.00348</v>
      </c>
      <c r="BM11">
        <f t="shared" si="39"/>
        <v>6.125e-6</v>
      </c>
      <c r="BN11">
        <f t="shared" si="40"/>
        <v>0.0419028163737007</v>
      </c>
      <c r="BO11" s="220">
        <f t="shared" si="58"/>
        <v>41.9028163737007</v>
      </c>
      <c r="BP11" s="5">
        <f t="shared" si="41"/>
        <v>0.0266199147790627</v>
      </c>
      <c r="BQ11" s="5">
        <f t="shared" si="42"/>
        <v>0.0197520975149443</v>
      </c>
      <c r="BR11" s="217"/>
      <c r="BT11" s="220">
        <f t="shared" si="59"/>
        <v>46.372012294007</v>
      </c>
      <c r="BU11" s="217">
        <f t="shared" si="43"/>
        <v>0.000583899665223075</v>
      </c>
      <c r="BV11" s="217">
        <f t="shared" si="60"/>
        <v>0.00107346383721735</v>
      </c>
      <c r="BW11" s="217">
        <f t="shared" si="44"/>
        <v>0.0004308325995526</v>
      </c>
      <c r="BX11" s="217">
        <f t="shared" si="45"/>
        <v>0</v>
      </c>
      <c r="BY11" s="217">
        <f t="shared" si="46"/>
        <v>0.00288219210733628</v>
      </c>
      <c r="BZ11" s="217">
        <f t="shared" si="61"/>
        <v>0.00208819610199303</v>
      </c>
      <c r="CA11" s="225">
        <f t="shared" si="47"/>
        <v>0.002112</v>
      </c>
      <c r="CB11" s="220">
        <f t="shared" si="62"/>
        <v>4.99419210733628</v>
      </c>
      <c r="CC11" s="5">
        <f t="shared" si="63"/>
        <v>0.093269020775044</v>
      </c>
      <c r="CD11" s="192">
        <f t="shared" si="64"/>
        <v>0.66</v>
      </c>
      <c r="CE11" s="5">
        <f t="shared" si="65"/>
        <v>0.876180994833587</v>
      </c>
      <c r="CF11" s="192">
        <f t="shared" si="66"/>
        <v>87.6180994833587</v>
      </c>
      <c r="CG11">
        <f t="shared" si="67"/>
        <v>6</v>
      </c>
      <c r="CI11" s="227">
        <f t="shared" si="48"/>
        <v>-50</v>
      </c>
      <c r="CJ11">
        <f t="shared" si="49"/>
        <v>-50</v>
      </c>
    </row>
    <row r="12" spans="5:88">
      <c r="E12" s="22">
        <v>7</v>
      </c>
      <c r="F12" s="25">
        <f t="shared" si="68"/>
        <v>0.035</v>
      </c>
      <c r="G12" s="25">
        <f t="shared" si="50"/>
        <v>0.028</v>
      </c>
      <c r="H12" s="25">
        <f t="shared" si="0"/>
        <v>0.63</v>
      </c>
      <c r="I12" s="25">
        <f t="shared" si="69"/>
        <v>0.14</v>
      </c>
      <c r="J12" s="212">
        <f t="shared" si="1"/>
        <v>12</v>
      </c>
      <c r="K12" s="131">
        <f t="shared" si="2"/>
        <v>12.2728</v>
      </c>
      <c r="L12" s="131">
        <f t="shared" si="3"/>
        <v>24.2728</v>
      </c>
      <c r="M12" s="131"/>
      <c r="N12" s="25">
        <f t="shared" si="4"/>
        <v>0.505619458818101</v>
      </c>
      <c r="O12" s="27">
        <f t="shared" si="51"/>
        <v>3.3508780498036</v>
      </c>
      <c r="P12" s="27">
        <f t="shared" si="5"/>
        <v>0.744639566623021</v>
      </c>
      <c r="Q12" s="25">
        <f t="shared" si="6"/>
        <v>0.186159891655755</v>
      </c>
      <c r="R12" s="25">
        <f t="shared" si="7"/>
        <v>0.670175609960719</v>
      </c>
      <c r="S12" s="131">
        <f t="shared" si="8"/>
        <v>18</v>
      </c>
      <c r="T12" s="25">
        <f t="shared" si="9"/>
        <v>0.28201563469473</v>
      </c>
      <c r="U12" s="25">
        <f t="shared" si="10"/>
        <v>0.587532572280688</v>
      </c>
      <c r="V12" s="25">
        <f t="shared" si="11"/>
        <v>0.574472888612888</v>
      </c>
      <c r="W12" s="24">
        <f t="shared" si="12"/>
        <v>350</v>
      </c>
      <c r="X12" s="131">
        <f t="shared" si="52"/>
        <v>350</v>
      </c>
      <c r="Z12" s="25">
        <f t="shared" si="13"/>
        <v>0.693420972093396</v>
      </c>
      <c r="AA12" s="5">
        <f t="shared" si="14"/>
        <v>1.41251583194828</v>
      </c>
      <c r="AB12" s="5">
        <f t="shared" si="15"/>
        <v>0.0935414297367646</v>
      </c>
      <c r="AC12" s="5"/>
      <c r="AD12" s="5">
        <f t="shared" si="16"/>
        <v>0.611107489733394</v>
      </c>
      <c r="AE12" s="216">
        <f t="shared" si="17"/>
        <v>699.654320987654</v>
      </c>
      <c r="AF12" s="217">
        <f t="shared" si="18"/>
        <v>0.0175086462450593</v>
      </c>
      <c r="AH12" s="5">
        <f t="shared" si="19"/>
        <v>0.419523539268061</v>
      </c>
      <c r="AI12" s="5">
        <f t="shared" si="20"/>
        <v>0.419523539268061</v>
      </c>
      <c r="AJ12" s="5">
        <f t="shared" si="21"/>
        <v>1.28853595501338</v>
      </c>
      <c r="AL12" s="216">
        <f t="shared" si="22"/>
        <v>35</v>
      </c>
      <c r="AM12" s="220">
        <f t="shared" si="23"/>
        <v>350</v>
      </c>
      <c r="AO12">
        <f t="shared" si="53"/>
        <v>35</v>
      </c>
      <c r="AP12" s="220">
        <f t="shared" si="24"/>
        <v>350</v>
      </c>
      <c r="AQ12" s="220"/>
      <c r="AR12" s="192">
        <f t="shared" si="54"/>
        <v>2.85714285714286</v>
      </c>
      <c r="AS12" s="192">
        <f t="shared" si="25"/>
        <v>0.874007373475126</v>
      </c>
      <c r="AT12" s="192">
        <f t="shared" si="55"/>
        <v>1.98313548366773</v>
      </c>
      <c r="AU12" s="5">
        <f t="shared" si="56"/>
        <v>0.305902580716294</v>
      </c>
      <c r="AW12" s="192">
        <f t="shared" si="26"/>
        <v>20.1076373742966</v>
      </c>
      <c r="AX12" s="192">
        <f t="shared" si="27"/>
        <v>0.911133462005892</v>
      </c>
      <c r="AY12" s="192">
        <f t="shared" si="28"/>
        <v>14.3647440975709</v>
      </c>
      <c r="AZ12" s="192">
        <f t="shared" si="29"/>
        <v>0.407936230390486</v>
      </c>
      <c r="BA12" s="192">
        <f t="shared" si="30"/>
        <v>0.235650358398789</v>
      </c>
      <c r="BB12" s="220">
        <f t="shared" si="31"/>
        <v>1.62779103928162</v>
      </c>
      <c r="BC12" s="192"/>
      <c r="BD12" s="5">
        <f t="shared" si="57"/>
        <v>0.13396374410771</v>
      </c>
      <c r="BE12" s="5">
        <f t="shared" si="32"/>
        <v>0.110123899034286</v>
      </c>
      <c r="BF12" s="5">
        <f t="shared" si="33"/>
        <v>0.0833859976226693</v>
      </c>
      <c r="BG12" s="5"/>
      <c r="BH12" s="217">
        <f t="shared" si="34"/>
        <v>0.00628119965737457</v>
      </c>
      <c r="BI12" s="217">
        <f t="shared" si="35"/>
        <v>0.0178202691869051</v>
      </c>
      <c r="BJ12" s="217">
        <f t="shared" si="36"/>
        <v>0.004375</v>
      </c>
      <c r="BK12" s="217">
        <f t="shared" si="37"/>
        <v>0.0103104543472</v>
      </c>
      <c r="BL12">
        <f t="shared" si="38"/>
        <v>0.00348</v>
      </c>
      <c r="BM12">
        <f t="shared" si="39"/>
        <v>6.125e-6</v>
      </c>
      <c r="BN12">
        <f t="shared" si="40"/>
        <v>0.0451176696588087</v>
      </c>
      <c r="BO12" s="220">
        <f t="shared" si="58"/>
        <v>45.1176696588087</v>
      </c>
      <c r="BP12" s="5">
        <f t="shared" si="41"/>
        <v>0.0308049861700438</v>
      </c>
      <c r="BQ12" s="5">
        <f t="shared" si="42"/>
        <v>0.0228998686696304</v>
      </c>
      <c r="BR12" s="217"/>
      <c r="BT12" s="220">
        <f t="shared" si="59"/>
        <v>53.7048548396742</v>
      </c>
      <c r="BU12" s="217">
        <f t="shared" si="43"/>
        <v>0.000735797674149593</v>
      </c>
      <c r="BV12" s="217">
        <f t="shared" si="60"/>
        <v>0.00121272731385137</v>
      </c>
      <c r="BW12" s="217">
        <f t="shared" si="44"/>
        <v>0.000486725721966947</v>
      </c>
      <c r="BX12" s="217">
        <f t="shared" si="45"/>
        <v>0</v>
      </c>
      <c r="BY12" s="217">
        <f t="shared" si="46"/>
        <v>0.00336130082857405</v>
      </c>
      <c r="BZ12" s="217">
        <f t="shared" si="61"/>
        <v>0.00243525070996791</v>
      </c>
      <c r="CA12" s="225">
        <f t="shared" si="47"/>
        <v>0.002464</v>
      </c>
      <c r="CB12" s="220">
        <f t="shared" si="62"/>
        <v>5.82530082857405</v>
      </c>
      <c r="CC12" s="5">
        <f t="shared" si="63"/>
        <v>0.104647825327057</v>
      </c>
      <c r="CD12" s="192">
        <f t="shared" si="64"/>
        <v>0.77</v>
      </c>
      <c r="CE12" s="5">
        <f t="shared" si="65"/>
        <v>0.88035432971216</v>
      </c>
      <c r="CF12" s="192">
        <f t="shared" si="66"/>
        <v>88.035432971216</v>
      </c>
      <c r="CG12">
        <f t="shared" si="67"/>
        <v>7</v>
      </c>
      <c r="CI12" s="227">
        <f t="shared" si="48"/>
        <v>-50</v>
      </c>
      <c r="CJ12">
        <f t="shared" si="49"/>
        <v>-50</v>
      </c>
    </row>
    <row r="13" s="2" customFormat="1" spans="5:88">
      <c r="E13" s="37">
        <v>8</v>
      </c>
      <c r="F13" s="25">
        <f t="shared" si="68"/>
        <v>0.04</v>
      </c>
      <c r="G13" s="25">
        <f t="shared" si="50"/>
        <v>0.032</v>
      </c>
      <c r="H13" s="25">
        <f t="shared" si="0"/>
        <v>0.72</v>
      </c>
      <c r="I13" s="25">
        <f t="shared" si="69"/>
        <v>0.16</v>
      </c>
      <c r="J13" s="212">
        <f t="shared" si="1"/>
        <v>12</v>
      </c>
      <c r="K13" s="131">
        <f t="shared" si="2"/>
        <v>12.2728</v>
      </c>
      <c r="L13" s="194">
        <f t="shared" si="3"/>
        <v>24.2728</v>
      </c>
      <c r="M13" s="194"/>
      <c r="N13" s="181">
        <f t="shared" si="4"/>
        <v>0.505619458818101</v>
      </c>
      <c r="O13" s="27">
        <f t="shared" si="51"/>
        <v>3.3508780498036</v>
      </c>
      <c r="P13" s="27">
        <f t="shared" si="5"/>
        <v>0.744639566623021</v>
      </c>
      <c r="Q13" s="181">
        <f t="shared" si="6"/>
        <v>0.186159891655755</v>
      </c>
      <c r="R13" s="25">
        <f t="shared" si="7"/>
        <v>0.670175609960719</v>
      </c>
      <c r="S13" s="131">
        <f t="shared" si="8"/>
        <v>18</v>
      </c>
      <c r="T13" s="25">
        <f t="shared" si="9"/>
        <v>0.322303582508263</v>
      </c>
      <c r="U13" s="181">
        <f t="shared" si="10"/>
        <v>0.671465796892215</v>
      </c>
      <c r="V13" s="25">
        <f t="shared" si="11"/>
        <v>0.656540444129015</v>
      </c>
      <c r="W13" s="201">
        <f t="shared" si="12"/>
        <v>350</v>
      </c>
      <c r="X13" s="194">
        <f t="shared" si="52"/>
        <v>350</v>
      </c>
      <c r="Z13" s="181">
        <f t="shared" si="13"/>
        <v>0.693420972093396</v>
      </c>
      <c r="AA13" s="5">
        <f t="shared" si="14"/>
        <v>1.41251583194828</v>
      </c>
      <c r="AB13" s="5">
        <f t="shared" si="15"/>
        <v>0.0935414297367646</v>
      </c>
      <c r="AC13" s="202"/>
      <c r="AD13" s="5">
        <f t="shared" si="16"/>
        <v>0.611107489733394</v>
      </c>
      <c r="AE13" s="216">
        <f t="shared" si="17"/>
        <v>799.604938271605</v>
      </c>
      <c r="AF13" s="217">
        <f t="shared" si="18"/>
        <v>0.0175086462450593</v>
      </c>
      <c r="AG13"/>
      <c r="AH13" s="5">
        <f t="shared" si="19"/>
        <v>0.44848952846511</v>
      </c>
      <c r="AI13" s="5">
        <f t="shared" si="20"/>
        <v>0.44848952846511</v>
      </c>
      <c r="AJ13" s="5">
        <f t="shared" si="21"/>
        <v>1.30999224330749</v>
      </c>
      <c r="AL13" s="216">
        <f t="shared" si="22"/>
        <v>40</v>
      </c>
      <c r="AM13" s="220">
        <f t="shared" si="23"/>
        <v>350</v>
      </c>
      <c r="AO13">
        <f t="shared" si="53"/>
        <v>40</v>
      </c>
      <c r="AP13" s="220">
        <f t="shared" si="24"/>
        <v>350</v>
      </c>
      <c r="AQ13" s="220"/>
      <c r="AR13" s="192">
        <f t="shared" si="54"/>
        <v>2.85714285714286</v>
      </c>
      <c r="AS13" s="192">
        <f t="shared" si="25"/>
        <v>0.934353184302314</v>
      </c>
      <c r="AT13" s="192">
        <f t="shared" si="55"/>
        <v>1.92278967284054</v>
      </c>
      <c r="AU13" s="5">
        <f t="shared" si="56"/>
        <v>0.32702361450581</v>
      </c>
      <c r="AW13" s="192">
        <f t="shared" si="26"/>
        <v>20.1076373742966</v>
      </c>
      <c r="AX13" s="192">
        <f t="shared" si="27"/>
        <v>1.17290901159953</v>
      </c>
      <c r="AY13" s="192">
        <f t="shared" si="28"/>
        <v>14.3647440975709</v>
      </c>
      <c r="AZ13" s="192">
        <f t="shared" si="29"/>
        <v>0.523671811122268</v>
      </c>
      <c r="BA13" s="192">
        <f t="shared" si="30"/>
        <v>0.261119585200568</v>
      </c>
      <c r="BB13" s="220">
        <f t="shared" si="31"/>
        <v>1.81116195564785</v>
      </c>
      <c r="BC13" s="192"/>
      <c r="BD13" s="5">
        <f t="shared" si="57"/>
        <v>0.148074828127406</v>
      </c>
      <c r="BE13" s="5">
        <f t="shared" si="32"/>
        <v>0.115922369807082</v>
      </c>
      <c r="BF13" s="5">
        <f t="shared" si="33"/>
        <v>0.0877766092366385</v>
      </c>
      <c r="BG13" s="5"/>
      <c r="BH13" s="217">
        <f t="shared" si="34"/>
        <v>0.00767415415373633</v>
      </c>
      <c r="BI13" s="217">
        <f t="shared" si="35"/>
        <v>0.0190506690964239</v>
      </c>
      <c r="BJ13" s="217">
        <f t="shared" si="36"/>
        <v>0.004375</v>
      </c>
      <c r="BK13" s="217">
        <f t="shared" si="37"/>
        <v>0.0103104543472</v>
      </c>
      <c r="BL13">
        <f t="shared" si="38"/>
        <v>0.00348</v>
      </c>
      <c r="BM13">
        <f t="shared" si="39"/>
        <v>6.125e-6</v>
      </c>
      <c r="BN13">
        <f t="shared" si="40"/>
        <v>0.048385971789176</v>
      </c>
      <c r="BO13" s="220">
        <f t="shared" si="58"/>
        <v>48.385971789176</v>
      </c>
      <c r="BP13" s="5">
        <f t="shared" si="41"/>
        <v>0.0349380802486534</v>
      </c>
      <c r="BQ13" s="5">
        <f t="shared" si="42"/>
        <v>0.0260178384070587</v>
      </c>
      <c r="BR13" s="217"/>
      <c r="BT13" s="220">
        <f t="shared" si="59"/>
        <v>60.9559186557121</v>
      </c>
      <c r="BU13" s="217">
        <f t="shared" si="43"/>
        <v>0.000898972343723399</v>
      </c>
      <c r="BV13" s="217">
        <f t="shared" si="60"/>
        <v>0.001343799582169</v>
      </c>
      <c r="BW13" s="217">
        <f t="shared" si="44"/>
        <v>0.000539331319035707</v>
      </c>
      <c r="BX13" s="217">
        <f t="shared" si="45"/>
        <v>0</v>
      </c>
      <c r="BY13" s="217">
        <f t="shared" si="46"/>
        <v>0.00384015717509981</v>
      </c>
      <c r="BZ13" s="217">
        <f t="shared" si="61"/>
        <v>0.0027821032449281</v>
      </c>
      <c r="CA13" s="225">
        <f t="shared" si="47"/>
        <v>0.002816</v>
      </c>
      <c r="CB13" s="220">
        <f t="shared" si="62"/>
        <v>6.65615717509981</v>
      </c>
      <c r="CC13" s="5">
        <f t="shared" si="63"/>
        <v>0.115998047619988</v>
      </c>
      <c r="CD13" s="192">
        <f t="shared" si="64"/>
        <v>0.88</v>
      </c>
      <c r="CE13" s="5">
        <f t="shared" si="65"/>
        <v>0.883535868471656</v>
      </c>
      <c r="CF13" s="192">
        <f t="shared" si="66"/>
        <v>88.3535868471656</v>
      </c>
      <c r="CG13">
        <f t="shared" si="67"/>
        <v>8</v>
      </c>
      <c r="CI13" s="227">
        <f t="shared" si="48"/>
        <v>-50</v>
      </c>
      <c r="CJ13">
        <f t="shared" si="49"/>
        <v>-50</v>
      </c>
    </row>
    <row r="14" spans="5:88">
      <c r="E14" s="22">
        <v>9</v>
      </c>
      <c r="F14" s="25">
        <f t="shared" si="68"/>
        <v>0.045</v>
      </c>
      <c r="G14" s="25">
        <f t="shared" si="50"/>
        <v>0.036</v>
      </c>
      <c r="H14" s="25">
        <f t="shared" si="0"/>
        <v>0.81</v>
      </c>
      <c r="I14" s="25">
        <f t="shared" si="69"/>
        <v>0.18</v>
      </c>
      <c r="J14" s="212">
        <f t="shared" si="1"/>
        <v>12</v>
      </c>
      <c r="K14" s="131">
        <f t="shared" si="2"/>
        <v>12.2728</v>
      </c>
      <c r="L14" s="131">
        <f t="shared" si="3"/>
        <v>24.2728</v>
      </c>
      <c r="M14" s="131"/>
      <c r="N14" s="25">
        <f t="shared" si="4"/>
        <v>0.505619458818101</v>
      </c>
      <c r="O14" s="27">
        <f t="shared" si="51"/>
        <v>3.3508780498036</v>
      </c>
      <c r="P14" s="27">
        <f t="shared" si="5"/>
        <v>0.744639566623021</v>
      </c>
      <c r="Q14" s="25">
        <f t="shared" si="6"/>
        <v>0.186159891655755</v>
      </c>
      <c r="R14" s="25">
        <f t="shared" si="7"/>
        <v>0.670175609960719</v>
      </c>
      <c r="S14" s="131">
        <f t="shared" si="8"/>
        <v>18</v>
      </c>
      <c r="T14" s="25">
        <f t="shared" si="9"/>
        <v>0.362591530321796</v>
      </c>
      <c r="U14" s="25">
        <f t="shared" si="10"/>
        <v>0.755399021503742</v>
      </c>
      <c r="V14" s="25">
        <f t="shared" si="11"/>
        <v>0.738607999645142</v>
      </c>
      <c r="W14" s="24">
        <f t="shared" si="12"/>
        <v>350</v>
      </c>
      <c r="X14" s="131">
        <f t="shared" si="52"/>
        <v>350</v>
      </c>
      <c r="Z14" s="25">
        <f t="shared" si="13"/>
        <v>0.693420972093396</v>
      </c>
      <c r="AA14" s="5">
        <f t="shared" si="14"/>
        <v>1.41251583194828</v>
      </c>
      <c r="AB14" s="5">
        <f t="shared" si="15"/>
        <v>0.0935414297367646</v>
      </c>
      <c r="AC14" s="5"/>
      <c r="AD14" s="5">
        <f t="shared" si="16"/>
        <v>0.611107489733394</v>
      </c>
      <c r="AE14" s="216">
        <f t="shared" si="17"/>
        <v>899.555555555556</v>
      </c>
      <c r="AF14" s="217">
        <f t="shared" si="18"/>
        <v>0.0175086462450593</v>
      </c>
      <c r="AH14" s="5">
        <f t="shared" si="19"/>
        <v>0.475694980303255</v>
      </c>
      <c r="AI14" s="5">
        <f t="shared" si="20"/>
        <v>0.475694980303255</v>
      </c>
      <c r="AJ14" s="5">
        <f t="shared" si="21"/>
        <v>1.33014442985426</v>
      </c>
      <c r="AL14" s="216">
        <f t="shared" si="22"/>
        <v>45</v>
      </c>
      <c r="AM14" s="220">
        <f t="shared" si="23"/>
        <v>350</v>
      </c>
      <c r="AO14">
        <f t="shared" si="53"/>
        <v>45</v>
      </c>
      <c r="AP14" s="220">
        <f t="shared" si="24"/>
        <v>350</v>
      </c>
      <c r="AQ14" s="220"/>
      <c r="AR14" s="192">
        <f t="shared" si="54"/>
        <v>2.85714285714286</v>
      </c>
      <c r="AS14" s="192">
        <f t="shared" si="25"/>
        <v>0.991031208965115</v>
      </c>
      <c r="AT14" s="192">
        <f t="shared" si="55"/>
        <v>1.86611164817774</v>
      </c>
      <c r="AU14" s="5">
        <f t="shared" si="56"/>
        <v>0.34686092313779</v>
      </c>
      <c r="AW14" s="192">
        <f t="shared" si="26"/>
        <v>20.1076373742966</v>
      </c>
      <c r="AX14" s="192">
        <f t="shared" si="27"/>
        <v>1.46758796780566</v>
      </c>
      <c r="AY14" s="192">
        <f t="shared" si="28"/>
        <v>14.3647440975709</v>
      </c>
      <c r="AZ14" s="192">
        <f t="shared" si="29"/>
        <v>0.65377213595162</v>
      </c>
      <c r="BA14" s="192">
        <f t="shared" si="30"/>
        <v>0.285100390693822</v>
      </c>
      <c r="BB14" s="220">
        <f t="shared" si="31"/>
        <v>1.98560234416293</v>
      </c>
      <c r="BC14" s="192"/>
      <c r="BD14" s="5">
        <f t="shared" si="57"/>
        <v>0.161750498968872</v>
      </c>
      <c r="BE14" s="5">
        <f t="shared" si="32"/>
        <v>0.121128526313983</v>
      </c>
      <c r="BF14" s="5">
        <f t="shared" si="33"/>
        <v>0.0917187195134689</v>
      </c>
      <c r="BG14" s="5"/>
      <c r="BH14" s="217">
        <f t="shared" si="34"/>
        <v>0.00915712837083766</v>
      </c>
      <c r="BI14" s="217">
        <f t="shared" si="35"/>
        <v>0.0202062859563335</v>
      </c>
      <c r="BJ14" s="217">
        <f t="shared" si="36"/>
        <v>0.004375</v>
      </c>
      <c r="BK14" s="217">
        <f t="shared" si="37"/>
        <v>0.0103104543472</v>
      </c>
      <c r="BL14">
        <f t="shared" si="38"/>
        <v>0.00348</v>
      </c>
      <c r="BM14">
        <f t="shared" si="39"/>
        <v>6.125e-6</v>
      </c>
      <c r="BN14">
        <f t="shared" si="40"/>
        <v>0.0517160494612633</v>
      </c>
      <c r="BO14" s="220">
        <f t="shared" si="58"/>
        <v>51.7160494612633</v>
      </c>
      <c r="BP14" s="5">
        <f t="shared" si="41"/>
        <v>0.0390225686742942</v>
      </c>
      <c r="BQ14" s="5">
        <f t="shared" si="42"/>
        <v>0.0291079398827568</v>
      </c>
      <c r="BR14" s="217"/>
      <c r="BT14" s="220">
        <f t="shared" si="59"/>
        <v>68.1305085570509</v>
      </c>
      <c r="BU14" s="217">
        <f t="shared" si="43"/>
        <v>0.00107269218058384</v>
      </c>
      <c r="BV14" s="217">
        <f t="shared" si="60"/>
        <v>0.00146721198869974</v>
      </c>
      <c r="BW14" s="217">
        <f t="shared" si="44"/>
        <v>0.000588862645643327</v>
      </c>
      <c r="BX14" s="217">
        <f t="shared" si="45"/>
        <v>0</v>
      </c>
      <c r="BY14" s="217">
        <f t="shared" si="46"/>
        <v>0.00431877920084269</v>
      </c>
      <c r="BZ14" s="217">
        <f t="shared" si="61"/>
        <v>0.0031287668149269</v>
      </c>
      <c r="CA14" s="225">
        <f t="shared" si="47"/>
        <v>0.003168</v>
      </c>
      <c r="CB14" s="220">
        <f t="shared" si="62"/>
        <v>7.48677920084269</v>
      </c>
      <c r="CC14" s="5">
        <f t="shared" si="63"/>
        <v>0.127333337219157</v>
      </c>
      <c r="CD14" s="192">
        <f t="shared" si="64"/>
        <v>0.99</v>
      </c>
      <c r="CE14" s="5">
        <f t="shared" si="65"/>
        <v>0.886038183076085</v>
      </c>
      <c r="CF14" s="192">
        <f t="shared" si="66"/>
        <v>88.6038183076085</v>
      </c>
      <c r="CG14">
        <f t="shared" si="67"/>
        <v>9</v>
      </c>
      <c r="CI14" s="227">
        <f t="shared" si="48"/>
        <v>-50</v>
      </c>
      <c r="CJ14">
        <f t="shared" si="49"/>
        <v>-50</v>
      </c>
    </row>
    <row r="15" spans="5:88">
      <c r="E15" s="22">
        <v>10</v>
      </c>
      <c r="F15" s="25">
        <f t="shared" si="68"/>
        <v>0.05</v>
      </c>
      <c r="G15" s="25">
        <f t="shared" si="50"/>
        <v>0.04</v>
      </c>
      <c r="H15" s="25">
        <f t="shared" si="0"/>
        <v>0.9</v>
      </c>
      <c r="I15" s="25">
        <f t="shared" si="69"/>
        <v>0.2</v>
      </c>
      <c r="J15" s="212">
        <f t="shared" si="1"/>
        <v>12</v>
      </c>
      <c r="K15" s="131">
        <f t="shared" si="2"/>
        <v>12.2728</v>
      </c>
      <c r="L15" s="131">
        <f t="shared" si="3"/>
        <v>24.2728</v>
      </c>
      <c r="M15" s="131"/>
      <c r="N15" s="25">
        <f t="shared" si="4"/>
        <v>0.505619458818101</v>
      </c>
      <c r="O15" s="27">
        <f t="shared" si="51"/>
        <v>3.3508780498036</v>
      </c>
      <c r="P15" s="27">
        <f t="shared" si="5"/>
        <v>0.744639566623021</v>
      </c>
      <c r="Q15" s="25">
        <f t="shared" si="6"/>
        <v>0.186159891655755</v>
      </c>
      <c r="R15" s="25">
        <f t="shared" si="7"/>
        <v>0.670175609960719</v>
      </c>
      <c r="S15" s="131">
        <f t="shared" si="8"/>
        <v>18</v>
      </c>
      <c r="T15" s="25">
        <f t="shared" si="9"/>
        <v>0.402879478135328</v>
      </c>
      <c r="U15" s="25">
        <f t="shared" si="10"/>
        <v>0.839332246115267</v>
      </c>
      <c r="V15" s="25">
        <f t="shared" si="11"/>
        <v>0.820675555161267</v>
      </c>
      <c r="W15" s="24">
        <f t="shared" si="12"/>
        <v>350</v>
      </c>
      <c r="X15" s="131">
        <f t="shared" si="52"/>
        <v>350</v>
      </c>
      <c r="Z15" s="25">
        <f t="shared" si="13"/>
        <v>0.693420972093396</v>
      </c>
      <c r="AA15" s="5">
        <f t="shared" si="14"/>
        <v>1.41251583194828</v>
      </c>
      <c r="AB15" s="5">
        <f t="shared" si="15"/>
        <v>0.0935414297367646</v>
      </c>
      <c r="AC15" s="5"/>
      <c r="AD15" s="5">
        <f t="shared" si="16"/>
        <v>0.611107489733394</v>
      </c>
      <c r="AE15" s="216">
        <f t="shared" si="17"/>
        <v>999.506172839506</v>
      </c>
      <c r="AF15" s="217">
        <f t="shared" si="18"/>
        <v>0.0175086462450593</v>
      </c>
      <c r="AH15" s="5">
        <f t="shared" si="19"/>
        <v>0.501426536422407</v>
      </c>
      <c r="AI15" s="5">
        <f t="shared" si="20"/>
        <v>0.501426536422407</v>
      </c>
      <c r="AJ15" s="5">
        <f t="shared" si="21"/>
        <v>1.34920484179438</v>
      </c>
      <c r="AL15" s="216">
        <f t="shared" si="22"/>
        <v>50</v>
      </c>
      <c r="AM15" s="220">
        <f t="shared" si="23"/>
        <v>350</v>
      </c>
      <c r="AO15">
        <f t="shared" si="53"/>
        <v>50</v>
      </c>
      <c r="AP15" s="220">
        <f t="shared" si="24"/>
        <v>350</v>
      </c>
      <c r="AQ15" s="220"/>
      <c r="AR15" s="192">
        <f t="shared" si="54"/>
        <v>2.85714285714286</v>
      </c>
      <c r="AS15" s="192">
        <f t="shared" si="25"/>
        <v>1.04463861754668</v>
      </c>
      <c r="AT15" s="192">
        <f t="shared" si="55"/>
        <v>1.81250423959618</v>
      </c>
      <c r="AU15" s="5">
        <f t="shared" si="56"/>
        <v>0.365623516141338</v>
      </c>
      <c r="AW15" s="192">
        <f t="shared" si="26"/>
        <v>20.1076373742966</v>
      </c>
      <c r="AX15" s="192">
        <f t="shared" si="27"/>
        <v>1.79517033062427</v>
      </c>
      <c r="AY15" s="192">
        <f t="shared" si="28"/>
        <v>14.3647440975709</v>
      </c>
      <c r="AZ15" s="192">
        <f t="shared" si="29"/>
        <v>0.798237204878543</v>
      </c>
      <c r="BA15" s="192">
        <f t="shared" si="30"/>
        <v>0.307678188820339</v>
      </c>
      <c r="BB15" s="220">
        <f t="shared" si="31"/>
        <v>2.15162468847759</v>
      </c>
      <c r="BC15" s="192"/>
      <c r="BD15" s="5">
        <f t="shared" si="57"/>
        <v>0.175050657757603</v>
      </c>
      <c r="BE15" s="5">
        <f t="shared" si="32"/>
        <v>0.125833385838842</v>
      </c>
      <c r="BF15" s="5">
        <f t="shared" si="33"/>
        <v>0.0952812468903166</v>
      </c>
      <c r="BG15" s="5"/>
      <c r="BH15" s="217">
        <f t="shared" si="34"/>
        <v>0.0107249564734793</v>
      </c>
      <c r="BI15" s="217">
        <f t="shared" si="35"/>
        <v>0.0212992955582291</v>
      </c>
      <c r="BJ15" s="217">
        <f t="shared" si="36"/>
        <v>0.004375</v>
      </c>
      <c r="BK15" s="217">
        <f t="shared" si="37"/>
        <v>0.0103104543472</v>
      </c>
      <c r="BL15">
        <f t="shared" si="38"/>
        <v>0.00348</v>
      </c>
      <c r="BM15">
        <f t="shared" si="39"/>
        <v>6.125e-6</v>
      </c>
      <c r="BN15">
        <f t="shared" si="40"/>
        <v>0.0551132367455003</v>
      </c>
      <c r="BO15" s="220">
        <f t="shared" si="58"/>
        <v>55.1132367455003</v>
      </c>
      <c r="BP15" s="5">
        <f t="shared" si="41"/>
        <v>0.0430612407112622</v>
      </c>
      <c r="BQ15" s="5">
        <f t="shared" si="42"/>
        <v>0.0321717723334941</v>
      </c>
      <c r="BR15" s="217"/>
      <c r="BT15" s="220">
        <f t="shared" si="59"/>
        <v>75.2330130447563</v>
      </c>
      <c r="BU15" s="217">
        <f t="shared" si="43"/>
        <v>0.00125635204403614</v>
      </c>
      <c r="BV15" s="217">
        <f t="shared" si="60"/>
        <v>0.00158340409916669</v>
      </c>
      <c r="BW15" s="217">
        <f t="shared" si="44"/>
        <v>0.000635496120628143</v>
      </c>
      <c r="BX15" s="217">
        <f t="shared" si="45"/>
        <v>0</v>
      </c>
      <c r="BY15" s="217">
        <f t="shared" si="46"/>
        <v>0.00479718183744999</v>
      </c>
      <c r="BZ15" s="217">
        <f t="shared" si="61"/>
        <v>0.00347525226383097</v>
      </c>
      <c r="CA15" s="225">
        <f t="shared" si="47"/>
        <v>0.00352</v>
      </c>
      <c r="CB15" s="220">
        <f t="shared" si="62"/>
        <v>8.31718183745</v>
      </c>
      <c r="CC15" s="5">
        <f t="shared" si="63"/>
        <v>0.138663431627707</v>
      </c>
      <c r="CD15" s="192">
        <f t="shared" si="64"/>
        <v>1.1</v>
      </c>
      <c r="CE15" s="5">
        <f t="shared" si="65"/>
        <v>0.888053987800793</v>
      </c>
      <c r="CF15" s="192">
        <f t="shared" si="66"/>
        <v>88.8053987800793</v>
      </c>
      <c r="CG15">
        <f t="shared" si="67"/>
        <v>10</v>
      </c>
      <c r="CI15" s="227">
        <f t="shared" si="48"/>
        <v>-50</v>
      </c>
      <c r="CJ15">
        <f t="shared" si="49"/>
        <v>-50</v>
      </c>
    </row>
    <row r="16" spans="5:88">
      <c r="E16" s="22">
        <v>11</v>
      </c>
      <c r="F16" s="25">
        <f t="shared" si="68"/>
        <v>0.055</v>
      </c>
      <c r="G16" s="25">
        <f t="shared" si="50"/>
        <v>0.044</v>
      </c>
      <c r="H16" s="25">
        <f t="shared" si="0"/>
        <v>0.99</v>
      </c>
      <c r="I16" s="25">
        <f t="shared" si="69"/>
        <v>0.22</v>
      </c>
      <c r="J16" s="212">
        <f t="shared" si="1"/>
        <v>12</v>
      </c>
      <c r="K16" s="131">
        <f t="shared" si="2"/>
        <v>12.2728</v>
      </c>
      <c r="L16" s="131">
        <f t="shared" si="3"/>
        <v>24.2728</v>
      </c>
      <c r="M16" s="131"/>
      <c r="N16" s="25">
        <f t="shared" si="4"/>
        <v>0.505619458818101</v>
      </c>
      <c r="O16" s="27">
        <f t="shared" si="51"/>
        <v>3.3508780498036</v>
      </c>
      <c r="P16" s="27">
        <f t="shared" si="5"/>
        <v>0.744639566623021</v>
      </c>
      <c r="Q16" s="25">
        <f t="shared" si="6"/>
        <v>0.186159891655755</v>
      </c>
      <c r="R16" s="25">
        <f t="shared" si="7"/>
        <v>0.670175609960719</v>
      </c>
      <c r="S16" s="131">
        <f t="shared" si="8"/>
        <v>18</v>
      </c>
      <c r="T16" s="25">
        <f t="shared" si="9"/>
        <v>0.443167425948861</v>
      </c>
      <c r="U16" s="25">
        <f t="shared" si="10"/>
        <v>0.923265470726794</v>
      </c>
      <c r="V16" s="25">
        <f t="shared" si="11"/>
        <v>0.902743110677394</v>
      </c>
      <c r="W16" s="24">
        <f t="shared" si="12"/>
        <v>350</v>
      </c>
      <c r="X16" s="131">
        <f t="shared" si="52"/>
        <v>350</v>
      </c>
      <c r="Z16" s="25">
        <f t="shared" si="13"/>
        <v>0.693420972093396</v>
      </c>
      <c r="AA16" s="5">
        <f t="shared" si="14"/>
        <v>1.41251583194828</v>
      </c>
      <c r="AB16" s="5">
        <f t="shared" si="15"/>
        <v>0.0935414297367646</v>
      </c>
      <c r="AC16" s="5"/>
      <c r="AD16" s="5">
        <f t="shared" si="16"/>
        <v>0.611107489733394</v>
      </c>
      <c r="AE16" s="216">
        <f t="shared" si="17"/>
        <v>1099.45679012346</v>
      </c>
      <c r="AF16" s="217">
        <f t="shared" si="18"/>
        <v>0.0175086462450593</v>
      </c>
      <c r="AH16" s="5">
        <f t="shared" si="19"/>
        <v>0.525900588107133</v>
      </c>
      <c r="AI16" s="5">
        <f t="shared" si="20"/>
        <v>0.525900588107133</v>
      </c>
      <c r="AJ16" s="5">
        <f t="shared" si="21"/>
        <v>1.36733376896825</v>
      </c>
      <c r="AL16" s="216">
        <f t="shared" si="22"/>
        <v>55</v>
      </c>
      <c r="AM16" s="220">
        <f t="shared" si="23"/>
        <v>350</v>
      </c>
      <c r="AO16">
        <f t="shared" si="53"/>
        <v>55</v>
      </c>
      <c r="AP16" s="220">
        <f t="shared" si="24"/>
        <v>350</v>
      </c>
      <c r="AQ16" s="220"/>
      <c r="AR16" s="192">
        <f t="shared" si="54"/>
        <v>2.85714285714286</v>
      </c>
      <c r="AS16" s="192">
        <f t="shared" si="25"/>
        <v>1.09562622522319</v>
      </c>
      <c r="AT16" s="192">
        <f t="shared" si="55"/>
        <v>1.76151663191966</v>
      </c>
      <c r="AU16" s="5">
        <f t="shared" si="56"/>
        <v>0.383469178828118</v>
      </c>
      <c r="AW16" s="192">
        <f t="shared" si="26"/>
        <v>20.1076373742966</v>
      </c>
      <c r="AX16" s="192">
        <f t="shared" si="27"/>
        <v>2.15565610005536</v>
      </c>
      <c r="AY16" s="192">
        <f t="shared" si="28"/>
        <v>14.3647440975709</v>
      </c>
      <c r="AZ16" s="192">
        <f t="shared" si="29"/>
        <v>0.957067017903037</v>
      </c>
      <c r="BA16" s="192">
        <f t="shared" si="30"/>
        <v>0.3289251735529</v>
      </c>
      <c r="BB16" s="220">
        <f t="shared" si="31"/>
        <v>2.30966215242851</v>
      </c>
      <c r="BC16" s="192"/>
      <c r="BD16" s="5">
        <f t="shared" si="57"/>
        <v>0.188021823734733</v>
      </c>
      <c r="BE16" s="5">
        <f t="shared" si="32"/>
        <v>0.130105628063259</v>
      </c>
      <c r="BF16" s="5">
        <f t="shared" si="33"/>
        <v>0.0985161957351427</v>
      </c>
      <c r="BG16" s="5"/>
      <c r="BH16" s="217">
        <f t="shared" si="34"/>
        <v>0.0123732721701873</v>
      </c>
      <c r="BI16" s="217">
        <f t="shared" si="35"/>
        <v>0.0223388896412619</v>
      </c>
      <c r="BJ16" s="217">
        <f t="shared" si="36"/>
        <v>0.004375</v>
      </c>
      <c r="BK16" s="217">
        <f t="shared" si="37"/>
        <v>0.0103104543472</v>
      </c>
      <c r="BL16">
        <f t="shared" si="38"/>
        <v>0.00348</v>
      </c>
      <c r="BM16">
        <f t="shared" si="39"/>
        <v>6.125e-6</v>
      </c>
      <c r="BN16">
        <f t="shared" si="40"/>
        <v>0.058581037013581</v>
      </c>
      <c r="BO16" s="220">
        <f t="shared" si="58"/>
        <v>58.581037013581</v>
      </c>
      <c r="BP16" s="5">
        <f t="shared" si="41"/>
        <v>0.0470564539146176</v>
      </c>
      <c r="BQ16" s="5">
        <f t="shared" si="42"/>
        <v>0.0352106874736794</v>
      </c>
      <c r="BR16" s="217"/>
      <c r="BT16" s="220">
        <f t="shared" si="59"/>
        <v>82.267141388297</v>
      </c>
      <c r="BU16" s="217">
        <f t="shared" si="43"/>
        <v>0.00144944045422194</v>
      </c>
      <c r="BV16" s="217">
        <f t="shared" si="60"/>
        <v>0.00169274744537351</v>
      </c>
      <c r="BW16" s="217">
        <f t="shared" si="44"/>
        <v>0.000679380857548746</v>
      </c>
      <c r="BX16" s="217">
        <f t="shared" si="45"/>
        <v>0</v>
      </c>
      <c r="BY16" s="217">
        <f t="shared" si="46"/>
        <v>0.00527537770234774</v>
      </c>
      <c r="BZ16" s="217">
        <f t="shared" si="61"/>
        <v>0.0038215687571442</v>
      </c>
      <c r="CA16" s="225">
        <f t="shared" si="47"/>
        <v>0.003872</v>
      </c>
      <c r="CB16" s="220">
        <f t="shared" si="62"/>
        <v>9.14737770234775</v>
      </c>
      <c r="CC16" s="5">
        <f t="shared" si="63"/>
        <v>0.149995556104226</v>
      </c>
      <c r="CD16" s="192">
        <f t="shared" si="64"/>
        <v>1.21</v>
      </c>
      <c r="CE16" s="5">
        <f t="shared" si="65"/>
        <v>0.889708789539066</v>
      </c>
      <c r="CF16" s="192">
        <f t="shared" si="66"/>
        <v>88.9708789539066</v>
      </c>
      <c r="CG16">
        <f t="shared" si="67"/>
        <v>11</v>
      </c>
      <c r="CI16" s="227">
        <f t="shared" si="48"/>
        <v>-50</v>
      </c>
      <c r="CJ16">
        <f t="shared" si="49"/>
        <v>-50</v>
      </c>
    </row>
    <row r="17" spans="5:88">
      <c r="E17" s="22">
        <v>12</v>
      </c>
      <c r="F17" s="25">
        <f t="shared" si="68"/>
        <v>0.06</v>
      </c>
      <c r="G17" s="25">
        <f t="shared" si="50"/>
        <v>0.048</v>
      </c>
      <c r="H17" s="25">
        <f t="shared" si="0"/>
        <v>1.08</v>
      </c>
      <c r="I17" s="25">
        <f t="shared" si="69"/>
        <v>0.24</v>
      </c>
      <c r="J17" s="212">
        <f t="shared" si="1"/>
        <v>12</v>
      </c>
      <c r="K17" s="131">
        <f t="shared" si="2"/>
        <v>12.2728</v>
      </c>
      <c r="L17" s="131">
        <f t="shared" si="3"/>
        <v>24.2728</v>
      </c>
      <c r="M17" s="131"/>
      <c r="N17" s="25">
        <f t="shared" si="4"/>
        <v>0.505619458818101</v>
      </c>
      <c r="O17" s="27">
        <f t="shared" si="51"/>
        <v>3.3508780498036</v>
      </c>
      <c r="P17" s="27">
        <f t="shared" si="5"/>
        <v>0.744639566623021</v>
      </c>
      <c r="Q17" s="25">
        <f t="shared" si="6"/>
        <v>0.186159891655755</v>
      </c>
      <c r="R17" s="25">
        <f t="shared" si="7"/>
        <v>0.670175609960719</v>
      </c>
      <c r="S17" s="131">
        <f t="shared" si="8"/>
        <v>18</v>
      </c>
      <c r="T17" s="25">
        <f t="shared" si="9"/>
        <v>0.483455373762394</v>
      </c>
      <c r="U17" s="25">
        <f t="shared" si="10"/>
        <v>1.00719869533832</v>
      </c>
      <c r="V17" s="25">
        <f t="shared" si="11"/>
        <v>0.984810666193522</v>
      </c>
      <c r="W17" s="24">
        <f t="shared" si="12"/>
        <v>350</v>
      </c>
      <c r="X17" s="131">
        <f t="shared" si="52"/>
        <v>350</v>
      </c>
      <c r="Z17" s="25">
        <f t="shared" si="13"/>
        <v>0.693420972093396</v>
      </c>
      <c r="AA17" s="5">
        <f t="shared" si="14"/>
        <v>1.41251583194828</v>
      </c>
      <c r="AB17" s="5">
        <f t="shared" si="15"/>
        <v>0.0935414297367646</v>
      </c>
      <c r="AC17" s="5"/>
      <c r="AD17" s="5">
        <f t="shared" si="16"/>
        <v>0.611107489733394</v>
      </c>
      <c r="AE17" s="216">
        <f t="shared" si="17"/>
        <v>1199.40740740741</v>
      </c>
      <c r="AF17" s="217">
        <f t="shared" si="18"/>
        <v>0.0175086462450593</v>
      </c>
      <c r="AH17" s="5">
        <f t="shared" si="19"/>
        <v>0.549285249860476</v>
      </c>
      <c r="AI17" s="5">
        <f t="shared" si="20"/>
        <v>0.549285249860476</v>
      </c>
      <c r="AJ17" s="5">
        <f t="shared" si="21"/>
        <v>1.38465574063739</v>
      </c>
      <c r="AL17" s="216">
        <f t="shared" si="22"/>
        <v>60</v>
      </c>
      <c r="AM17" s="220">
        <f t="shared" si="23"/>
        <v>350</v>
      </c>
      <c r="AO17">
        <f t="shared" si="53"/>
        <v>60</v>
      </c>
      <c r="AP17" s="220">
        <f t="shared" si="24"/>
        <v>350</v>
      </c>
      <c r="AQ17" s="220"/>
      <c r="AR17" s="192">
        <f t="shared" si="54"/>
        <v>2.85714285714286</v>
      </c>
      <c r="AS17" s="192">
        <f t="shared" si="25"/>
        <v>1.14434427054266</v>
      </c>
      <c r="AT17" s="192">
        <f t="shared" si="55"/>
        <v>1.7127985866002</v>
      </c>
      <c r="AU17" s="5">
        <f t="shared" si="56"/>
        <v>0.400520494689931</v>
      </c>
      <c r="AW17" s="192">
        <f t="shared" si="26"/>
        <v>20.1076373742966</v>
      </c>
      <c r="AX17" s="192">
        <f t="shared" si="27"/>
        <v>2.54904527609895</v>
      </c>
      <c r="AY17" s="192">
        <f t="shared" si="28"/>
        <v>14.3647440975709</v>
      </c>
      <c r="AZ17" s="192">
        <f t="shared" si="29"/>
        <v>1.1302615750251</v>
      </c>
      <c r="BA17" s="192">
        <f t="shared" si="30"/>
        <v>0.348903415788929</v>
      </c>
      <c r="BB17" s="220">
        <f t="shared" si="31"/>
        <v>2.46008716140024</v>
      </c>
      <c r="BC17" s="192"/>
      <c r="BD17" s="5">
        <f t="shared" si="57"/>
        <v>0.200701067070162</v>
      </c>
      <c r="BE17" s="5">
        <f t="shared" si="32"/>
        <v>0.133998562035066</v>
      </c>
      <c r="BF17" s="5">
        <f t="shared" si="33"/>
        <v>0.101463931746716</v>
      </c>
      <c r="BG17" s="5"/>
      <c r="BH17" s="217">
        <f t="shared" si="34"/>
        <v>0.0140983214130856</v>
      </c>
      <c r="BI17" s="217">
        <f t="shared" si="35"/>
        <v>0.0233322092724234</v>
      </c>
      <c r="BJ17" s="217">
        <f t="shared" si="36"/>
        <v>0.004375</v>
      </c>
      <c r="BK17" s="217">
        <f t="shared" si="37"/>
        <v>0.0103104543472</v>
      </c>
      <c r="BL17">
        <f t="shared" si="38"/>
        <v>0.00348</v>
      </c>
      <c r="BM17">
        <f t="shared" si="39"/>
        <v>6.125e-6</v>
      </c>
      <c r="BN17">
        <f t="shared" si="40"/>
        <v>0.0621217872058688</v>
      </c>
      <c r="BO17" s="220">
        <f t="shared" si="58"/>
        <v>62.1217872058688</v>
      </c>
      <c r="BP17" s="5">
        <f t="shared" si="41"/>
        <v>0.0510102352618581</v>
      </c>
      <c r="BQ17" s="5">
        <f t="shared" si="42"/>
        <v>0.0382258474796435</v>
      </c>
      <c r="BR17" s="217"/>
      <c r="BT17" s="220">
        <f t="shared" si="59"/>
        <v>89.2360827415016</v>
      </c>
      <c r="BU17" s="217">
        <f t="shared" si="43"/>
        <v>0.00165151765124717</v>
      </c>
      <c r="BV17" s="217">
        <f t="shared" si="60"/>
        <v>0.00179556146274653</v>
      </c>
      <c r="BW17" s="217">
        <f t="shared" si="44"/>
        <v>0.000720645061185161</v>
      </c>
      <c r="BX17" s="217">
        <f t="shared" si="45"/>
        <v>0</v>
      </c>
      <c r="BY17" s="217">
        <f t="shared" si="46"/>
        <v>0.0057533776410335</v>
      </c>
      <c r="BZ17" s="217">
        <f t="shared" si="61"/>
        <v>0.00416772417517886</v>
      </c>
      <c r="CA17" s="225">
        <f t="shared" si="47"/>
        <v>0.004224</v>
      </c>
      <c r="CB17" s="220">
        <f t="shared" si="62"/>
        <v>9.9773776410335</v>
      </c>
      <c r="CC17" s="5">
        <f t="shared" si="63"/>
        <v>0.161335247588404</v>
      </c>
      <c r="CD17" s="192">
        <f t="shared" si="64"/>
        <v>1.32</v>
      </c>
      <c r="CE17" s="5">
        <f t="shared" si="65"/>
        <v>0.891087957401233</v>
      </c>
      <c r="CF17" s="192">
        <f t="shared" si="66"/>
        <v>89.1087957401233</v>
      </c>
      <c r="CG17">
        <f t="shared" si="67"/>
        <v>12</v>
      </c>
      <c r="CI17" s="227">
        <f t="shared" si="48"/>
        <v>-50</v>
      </c>
      <c r="CJ17">
        <f t="shared" si="49"/>
        <v>-50</v>
      </c>
    </row>
    <row r="18" spans="5:88">
      <c r="E18" s="22">
        <v>13</v>
      </c>
      <c r="F18" s="25">
        <f t="shared" si="68"/>
        <v>0.065</v>
      </c>
      <c r="G18" s="25">
        <f t="shared" si="50"/>
        <v>0.052</v>
      </c>
      <c r="H18" s="25">
        <f t="shared" si="0"/>
        <v>1.17</v>
      </c>
      <c r="I18" s="25">
        <f t="shared" si="69"/>
        <v>0.26</v>
      </c>
      <c r="J18" s="212">
        <f t="shared" si="1"/>
        <v>12</v>
      </c>
      <c r="K18" s="131">
        <f t="shared" si="2"/>
        <v>12.2728</v>
      </c>
      <c r="L18" s="131">
        <f t="shared" si="3"/>
        <v>24.2728</v>
      </c>
      <c r="M18" s="131"/>
      <c r="N18" s="25">
        <f t="shared" si="4"/>
        <v>0.505619458818101</v>
      </c>
      <c r="O18" s="27">
        <f t="shared" si="51"/>
        <v>3.3508780498036</v>
      </c>
      <c r="P18" s="27">
        <f t="shared" si="5"/>
        <v>0.744639566623021</v>
      </c>
      <c r="Q18" s="25">
        <f t="shared" si="6"/>
        <v>0.186159891655755</v>
      </c>
      <c r="R18" s="25">
        <f t="shared" si="7"/>
        <v>0.670175609960719</v>
      </c>
      <c r="S18" s="131">
        <f t="shared" si="8"/>
        <v>18</v>
      </c>
      <c r="T18" s="25">
        <f t="shared" si="9"/>
        <v>0.523743321575927</v>
      </c>
      <c r="U18" s="25">
        <f t="shared" si="10"/>
        <v>1.09113191994985</v>
      </c>
      <c r="V18" s="25">
        <f t="shared" si="11"/>
        <v>1.06687822170965</v>
      </c>
      <c r="W18" s="24">
        <f t="shared" si="12"/>
        <v>350</v>
      </c>
      <c r="X18" s="131">
        <f t="shared" si="52"/>
        <v>350</v>
      </c>
      <c r="Z18" s="25">
        <f t="shared" si="13"/>
        <v>0.693420972093396</v>
      </c>
      <c r="AA18" s="5">
        <f t="shared" si="14"/>
        <v>1.41251583194828</v>
      </c>
      <c r="AB18" s="5">
        <f t="shared" si="15"/>
        <v>0.0935414297367646</v>
      </c>
      <c r="AC18" s="5"/>
      <c r="AD18" s="5">
        <f t="shared" si="16"/>
        <v>0.611107489733394</v>
      </c>
      <c r="AE18" s="216">
        <f t="shared" si="17"/>
        <v>1299.35802469136</v>
      </c>
      <c r="AF18" s="217">
        <f t="shared" si="18"/>
        <v>0.0175086462450593</v>
      </c>
      <c r="AH18" s="5">
        <f t="shared" si="19"/>
        <v>0.571714214321406</v>
      </c>
      <c r="AI18" s="5">
        <f t="shared" si="20"/>
        <v>0.571714214321406</v>
      </c>
      <c r="AJ18" s="5">
        <f t="shared" si="21"/>
        <v>1.40126978838623</v>
      </c>
      <c r="AL18" s="216">
        <f t="shared" si="22"/>
        <v>65</v>
      </c>
      <c r="AM18" s="220">
        <f t="shared" si="23"/>
        <v>350</v>
      </c>
      <c r="AO18">
        <f t="shared" si="53"/>
        <v>65</v>
      </c>
      <c r="AP18" s="220">
        <f t="shared" si="24"/>
        <v>350</v>
      </c>
      <c r="AQ18" s="220"/>
      <c r="AR18" s="192">
        <f t="shared" si="54"/>
        <v>2.85714285714286</v>
      </c>
      <c r="AS18" s="192">
        <f t="shared" si="25"/>
        <v>1.19107127983626</v>
      </c>
      <c r="AT18" s="192">
        <f t="shared" si="55"/>
        <v>1.66607157730659</v>
      </c>
      <c r="AU18" s="5">
        <f t="shared" si="56"/>
        <v>0.416874947942692</v>
      </c>
      <c r="AW18" s="192">
        <f t="shared" si="26"/>
        <v>20.1076373742966</v>
      </c>
      <c r="AX18" s="192">
        <f t="shared" si="27"/>
        <v>2.97533785875501</v>
      </c>
      <c r="AY18" s="192">
        <f t="shared" si="28"/>
        <v>14.3647440975709</v>
      </c>
      <c r="AZ18" s="192">
        <f t="shared" si="29"/>
        <v>1.31782087624474</v>
      </c>
      <c r="BA18" s="192">
        <f t="shared" si="30"/>
        <v>0.367667030177227</v>
      </c>
      <c r="BB18" s="220">
        <f t="shared" si="31"/>
        <v>2.60322440328558</v>
      </c>
      <c r="BC18" s="192"/>
      <c r="BD18" s="5">
        <f t="shared" si="57"/>
        <v>0.213118554184651</v>
      </c>
      <c r="BE18" s="5">
        <f t="shared" si="32"/>
        <v>0.137554521607762</v>
      </c>
      <c r="BF18" s="5">
        <f t="shared" si="33"/>
        <v>0.104156510188594</v>
      </c>
      <c r="BG18" s="5"/>
      <c r="BH18" s="217">
        <f t="shared" si="34"/>
        <v>0.0158968313482147</v>
      </c>
      <c r="BI18" s="217">
        <f t="shared" si="35"/>
        <v>0.0242849333674161</v>
      </c>
      <c r="BJ18" s="217">
        <f t="shared" si="36"/>
        <v>0.004375</v>
      </c>
      <c r="BK18" s="217">
        <f t="shared" si="37"/>
        <v>0.0103104543472</v>
      </c>
      <c r="BL18">
        <f t="shared" si="38"/>
        <v>0.00348</v>
      </c>
      <c r="BM18">
        <f t="shared" si="39"/>
        <v>6.125e-6</v>
      </c>
      <c r="BN18">
        <f t="shared" si="40"/>
        <v>0.0657370581101263</v>
      </c>
      <c r="BO18" s="220">
        <f t="shared" si="58"/>
        <v>65.7370581101263</v>
      </c>
      <c r="BP18" s="5">
        <f t="shared" si="41"/>
        <v>0.0549243519124735</v>
      </c>
      <c r="BQ18" s="5">
        <f t="shared" si="42"/>
        <v>0.0412182655599367</v>
      </c>
      <c r="BR18" s="217"/>
      <c r="BT18" s="220">
        <f t="shared" si="59"/>
        <v>96.1426174724102</v>
      </c>
      <c r="BU18" s="217">
        <f t="shared" si="43"/>
        <v>0.001862200243648</v>
      </c>
      <c r="BV18" s="217">
        <f t="shared" si="60"/>
        <v>0.00189212464147404</v>
      </c>
      <c r="BW18" s="217">
        <f t="shared" si="44"/>
        <v>0.000759400503026664</v>
      </c>
      <c r="BX18" s="217">
        <f t="shared" si="45"/>
        <v>0</v>
      </c>
      <c r="BY18" s="217">
        <f t="shared" si="46"/>
        <v>0.00623119110648487</v>
      </c>
      <c r="BZ18" s="217">
        <f t="shared" si="61"/>
        <v>0.0045137253881487</v>
      </c>
      <c r="CA18" s="225">
        <f t="shared" si="47"/>
        <v>0.004576</v>
      </c>
      <c r="CB18" s="220">
        <f t="shared" si="62"/>
        <v>10.8071911064849</v>
      </c>
      <c r="CC18" s="5">
        <f t="shared" si="63"/>
        <v>0.172686866689021</v>
      </c>
      <c r="CD18" s="192">
        <f t="shared" si="64"/>
        <v>1.43</v>
      </c>
      <c r="CE18" s="5">
        <f t="shared" si="65"/>
        <v>0.892251649228415</v>
      </c>
      <c r="CF18" s="192">
        <f t="shared" si="66"/>
        <v>89.2251649228415</v>
      </c>
      <c r="CG18">
        <f t="shared" si="67"/>
        <v>13</v>
      </c>
      <c r="CI18" s="227">
        <f t="shared" si="48"/>
        <v>-50</v>
      </c>
      <c r="CJ18">
        <f t="shared" si="49"/>
        <v>-50</v>
      </c>
    </row>
    <row r="19" spans="5:88">
      <c r="E19" s="22">
        <v>14</v>
      </c>
      <c r="F19" s="25">
        <f t="shared" si="68"/>
        <v>0.07</v>
      </c>
      <c r="G19" s="25">
        <f t="shared" si="50"/>
        <v>0.056</v>
      </c>
      <c r="H19" s="25">
        <f t="shared" si="0"/>
        <v>1.26</v>
      </c>
      <c r="I19" s="25">
        <f t="shared" si="69"/>
        <v>0.28</v>
      </c>
      <c r="J19" s="212">
        <f t="shared" si="1"/>
        <v>12</v>
      </c>
      <c r="K19" s="131">
        <f t="shared" si="2"/>
        <v>12.2728</v>
      </c>
      <c r="L19" s="131">
        <f t="shared" si="3"/>
        <v>24.2728</v>
      </c>
      <c r="M19" s="131"/>
      <c r="N19" s="25">
        <f t="shared" si="4"/>
        <v>0.505619458818101</v>
      </c>
      <c r="O19" s="27">
        <f t="shared" si="51"/>
        <v>3.3508780498036</v>
      </c>
      <c r="P19" s="27">
        <f t="shared" si="5"/>
        <v>0.744639566623021</v>
      </c>
      <c r="Q19" s="25">
        <f t="shared" si="6"/>
        <v>0.186159891655755</v>
      </c>
      <c r="R19" s="25">
        <f t="shared" si="7"/>
        <v>0.670175609960719</v>
      </c>
      <c r="S19" s="131">
        <f t="shared" si="8"/>
        <v>18</v>
      </c>
      <c r="T19" s="25">
        <f t="shared" si="9"/>
        <v>0.56403126938946</v>
      </c>
      <c r="U19" s="25">
        <f t="shared" si="10"/>
        <v>1.17506514456138</v>
      </c>
      <c r="V19" s="25">
        <f t="shared" si="11"/>
        <v>1.14894577722578</v>
      </c>
      <c r="W19" s="24">
        <f t="shared" si="12"/>
        <v>350</v>
      </c>
      <c r="X19" s="131">
        <f t="shared" si="52"/>
        <v>350</v>
      </c>
      <c r="Z19" s="25">
        <f t="shared" si="13"/>
        <v>0.693420972093396</v>
      </c>
      <c r="AA19" s="5">
        <f t="shared" si="14"/>
        <v>1.41251583194828</v>
      </c>
      <c r="AB19" s="5">
        <f t="shared" si="15"/>
        <v>0.0935414297367646</v>
      </c>
      <c r="AC19" s="5"/>
      <c r="AD19" s="5">
        <f t="shared" si="16"/>
        <v>0.611107489733394</v>
      </c>
      <c r="AE19" s="216">
        <f t="shared" si="17"/>
        <v>1399.30864197531</v>
      </c>
      <c r="AF19" s="217">
        <f t="shared" si="18"/>
        <v>0.0175086462450593</v>
      </c>
      <c r="AH19" s="5">
        <f t="shared" si="19"/>
        <v>0.593295878967653</v>
      </c>
      <c r="AI19" s="5">
        <f t="shared" si="20"/>
        <v>0.593295878967653</v>
      </c>
      <c r="AJ19" s="5">
        <f t="shared" si="21"/>
        <v>1.41725620664271</v>
      </c>
      <c r="AL19" s="216">
        <f t="shared" si="22"/>
        <v>70</v>
      </c>
      <c r="AM19" s="220">
        <f t="shared" si="23"/>
        <v>350</v>
      </c>
      <c r="AO19">
        <f t="shared" si="53"/>
        <v>70</v>
      </c>
      <c r="AP19" s="220">
        <f t="shared" si="24"/>
        <v>350</v>
      </c>
      <c r="AQ19" s="220"/>
      <c r="AR19" s="192">
        <f t="shared" si="54"/>
        <v>2.85714285714286</v>
      </c>
      <c r="AS19" s="192">
        <f t="shared" si="25"/>
        <v>1.23603308118261</v>
      </c>
      <c r="AT19" s="192">
        <f t="shared" si="55"/>
        <v>1.62110977596025</v>
      </c>
      <c r="AU19" s="5">
        <f t="shared" si="56"/>
        <v>0.432611578413914</v>
      </c>
      <c r="AW19" s="192">
        <f t="shared" si="26"/>
        <v>20.1076373742966</v>
      </c>
      <c r="AX19" s="192">
        <f t="shared" si="27"/>
        <v>3.43453384802357</v>
      </c>
      <c r="AY19" s="192">
        <f t="shared" si="28"/>
        <v>14.3647440975709</v>
      </c>
      <c r="AZ19" s="192">
        <f t="shared" si="29"/>
        <v>1.51974492156194</v>
      </c>
      <c r="BA19" s="192">
        <f t="shared" si="30"/>
        <v>0.385263743052281</v>
      </c>
      <c r="BB19" s="220">
        <f t="shared" si="31"/>
        <v>2.73936023609146</v>
      </c>
      <c r="BC19" s="192"/>
      <c r="BD19" s="5">
        <f t="shared" si="57"/>
        <v>0.225299264388278</v>
      </c>
      <c r="BE19" s="5">
        <f t="shared" si="32"/>
        <v>0.140807762412651</v>
      </c>
      <c r="BF19" s="5">
        <f t="shared" si="33"/>
        <v>0.106619869481185</v>
      </c>
      <c r="BG19" s="5"/>
      <c r="BH19" s="217">
        <f t="shared" si="34"/>
        <v>0.0177659154868647</v>
      </c>
      <c r="BI19" s="217">
        <f t="shared" si="35"/>
        <v>0.0252016663692606</v>
      </c>
      <c r="BJ19" s="217">
        <f t="shared" si="36"/>
        <v>0.004375</v>
      </c>
      <c r="BK19" s="217">
        <f t="shared" si="37"/>
        <v>0.0103104543472</v>
      </c>
      <c r="BL19">
        <f t="shared" si="38"/>
        <v>0.00348</v>
      </c>
      <c r="BM19">
        <f t="shared" si="39"/>
        <v>6.125e-6</v>
      </c>
      <c r="BN19">
        <f t="shared" si="40"/>
        <v>0.0694279058722984</v>
      </c>
      <c r="BO19" s="220">
        <f t="shared" si="58"/>
        <v>69.4279058722984</v>
      </c>
      <c r="BP19" s="5">
        <f t="shared" si="41"/>
        <v>0.0588003624101626</v>
      </c>
      <c r="BQ19" s="5">
        <f t="shared" si="42"/>
        <v>0.0441888353123417</v>
      </c>
      <c r="BR19" s="217"/>
      <c r="BT19" s="220">
        <f t="shared" si="59"/>
        <v>102.989197722504</v>
      </c>
      <c r="BU19" s="217">
        <f t="shared" si="43"/>
        <v>0.00208115009988987</v>
      </c>
      <c r="BV19" s="217">
        <f t="shared" si="60"/>
        <v>0.00198268259556577</v>
      </c>
      <c r="BW19" s="217">
        <f t="shared" si="44"/>
        <v>0.000795745759772939</v>
      </c>
      <c r="BX19" s="217">
        <f t="shared" si="45"/>
        <v>0</v>
      </c>
      <c r="BY19" s="217">
        <f t="shared" si="46"/>
        <v>0.00670882643368719</v>
      </c>
      <c r="BZ19" s="217">
        <f t="shared" si="61"/>
        <v>0.00485957845522858</v>
      </c>
      <c r="CA19" s="225">
        <f t="shared" si="47"/>
        <v>0.004928</v>
      </c>
      <c r="CB19" s="220">
        <f t="shared" si="62"/>
        <v>11.6368264336872</v>
      </c>
      <c r="CC19" s="5">
        <f t="shared" si="63"/>
        <v>0.18405393002849</v>
      </c>
      <c r="CD19" s="192">
        <f t="shared" si="64"/>
        <v>1.54</v>
      </c>
      <c r="CE19" s="5">
        <f t="shared" si="65"/>
        <v>0.893243519345449</v>
      </c>
      <c r="CF19" s="192">
        <f t="shared" si="66"/>
        <v>89.3243519345449</v>
      </c>
      <c r="CG19">
        <f t="shared" si="67"/>
        <v>14</v>
      </c>
      <c r="CI19" s="227">
        <f t="shared" si="48"/>
        <v>-50</v>
      </c>
      <c r="CJ19">
        <f t="shared" si="49"/>
        <v>-50</v>
      </c>
    </row>
    <row r="20" spans="5:88">
      <c r="E20" s="22">
        <v>15</v>
      </c>
      <c r="F20" s="25">
        <f t="shared" si="68"/>
        <v>0.075</v>
      </c>
      <c r="G20" s="25">
        <f t="shared" si="50"/>
        <v>0.06</v>
      </c>
      <c r="H20" s="25">
        <f t="shared" si="0"/>
        <v>1.35</v>
      </c>
      <c r="I20" s="25">
        <f t="shared" si="69"/>
        <v>0.3</v>
      </c>
      <c r="J20" s="212">
        <f t="shared" si="1"/>
        <v>12</v>
      </c>
      <c r="K20" s="131">
        <f t="shared" si="2"/>
        <v>12.2728</v>
      </c>
      <c r="L20" s="131">
        <f t="shared" si="3"/>
        <v>24.2728</v>
      </c>
      <c r="M20" s="131"/>
      <c r="N20" s="25">
        <f t="shared" si="4"/>
        <v>0.505619458818101</v>
      </c>
      <c r="O20" s="27">
        <f t="shared" si="51"/>
        <v>3.3508780498036</v>
      </c>
      <c r="P20" s="27">
        <f t="shared" si="5"/>
        <v>0.744639566623021</v>
      </c>
      <c r="Q20" s="25">
        <f t="shared" si="6"/>
        <v>0.186159891655755</v>
      </c>
      <c r="R20" s="25">
        <f t="shared" si="7"/>
        <v>0.670175609960719</v>
      </c>
      <c r="S20" s="131">
        <f t="shared" si="8"/>
        <v>18</v>
      </c>
      <c r="T20" s="25">
        <f t="shared" si="9"/>
        <v>0.604319217202993</v>
      </c>
      <c r="U20" s="25">
        <f t="shared" si="10"/>
        <v>1.2589983691729</v>
      </c>
      <c r="V20" s="25">
        <f t="shared" si="11"/>
        <v>1.2310133327419</v>
      </c>
      <c r="W20" s="24">
        <f t="shared" si="12"/>
        <v>350</v>
      </c>
      <c r="X20" s="131">
        <f t="shared" si="52"/>
        <v>350</v>
      </c>
      <c r="Z20" s="25">
        <f t="shared" si="13"/>
        <v>0.693420972093396</v>
      </c>
      <c r="AA20" s="5">
        <f t="shared" si="14"/>
        <v>1.41251583194828</v>
      </c>
      <c r="AB20" s="5">
        <f t="shared" si="15"/>
        <v>0.0935414297367646</v>
      </c>
      <c r="AC20" s="5"/>
      <c r="AD20" s="5">
        <f t="shared" si="16"/>
        <v>0.611107489733394</v>
      </c>
      <c r="AE20" s="216">
        <f t="shared" si="17"/>
        <v>1499.25925925926</v>
      </c>
      <c r="AF20" s="217">
        <f t="shared" si="18"/>
        <v>0.0175086462450593</v>
      </c>
      <c r="AH20" s="5">
        <f t="shared" si="19"/>
        <v>0.614119578862991</v>
      </c>
      <c r="AI20" s="5">
        <f t="shared" si="20"/>
        <v>0.614119578862991</v>
      </c>
      <c r="AJ20" s="5">
        <f t="shared" si="21"/>
        <v>1.43268116952814</v>
      </c>
      <c r="AL20" s="216">
        <f t="shared" si="22"/>
        <v>75</v>
      </c>
      <c r="AM20" s="220">
        <f t="shared" si="23"/>
        <v>350</v>
      </c>
      <c r="AO20">
        <f t="shared" si="53"/>
        <v>75</v>
      </c>
      <c r="AP20" s="220">
        <f t="shared" si="24"/>
        <v>350</v>
      </c>
      <c r="AQ20" s="220"/>
      <c r="AR20" s="192">
        <f t="shared" si="54"/>
        <v>2.85714285714286</v>
      </c>
      <c r="AS20" s="192">
        <f t="shared" si="25"/>
        <v>1.2794157892979</v>
      </c>
      <c r="AT20" s="192">
        <f t="shared" si="55"/>
        <v>1.57772706784496</v>
      </c>
      <c r="AU20" s="5">
        <f t="shared" si="56"/>
        <v>0.447795526254264</v>
      </c>
      <c r="AW20" s="192">
        <f t="shared" si="26"/>
        <v>20.1076373742966</v>
      </c>
      <c r="AX20" s="192">
        <f t="shared" si="27"/>
        <v>3.9266332439046</v>
      </c>
      <c r="AY20" s="192">
        <f t="shared" si="28"/>
        <v>14.3647440975709</v>
      </c>
      <c r="AZ20" s="192">
        <f t="shared" si="29"/>
        <v>1.73603371097672</v>
      </c>
      <c r="BA20" s="192">
        <f t="shared" si="30"/>
        <v>0.401736058942004</v>
      </c>
      <c r="BB20" s="220">
        <f t="shared" si="31"/>
        <v>2.86874968698535</v>
      </c>
      <c r="BC20" s="192"/>
      <c r="BD20" s="5">
        <f t="shared" si="57"/>
        <v>0.237264187624486</v>
      </c>
      <c r="BE20" s="5">
        <f t="shared" si="32"/>
        <v>0.143786441156706</v>
      </c>
      <c r="BF20" s="5">
        <f t="shared" si="33"/>
        <v>0.108875329929357</v>
      </c>
      <c r="BG20" s="5"/>
      <c r="BH20" s="217">
        <f t="shared" si="34"/>
        <v>0.0197030031551876</v>
      </c>
      <c r="BI20" s="217">
        <f t="shared" si="35"/>
        <v>0.0260862029991948</v>
      </c>
      <c r="BJ20" s="217">
        <f t="shared" si="36"/>
        <v>0.004375</v>
      </c>
      <c r="BK20" s="217">
        <f t="shared" si="37"/>
        <v>0.0103104543472</v>
      </c>
      <c r="BL20">
        <f t="shared" si="38"/>
        <v>0.00348</v>
      </c>
      <c r="BM20">
        <f t="shared" si="39"/>
        <v>6.125e-6</v>
      </c>
      <c r="BN20">
        <f t="shared" si="40"/>
        <v>0.0731950354839096</v>
      </c>
      <c r="BO20" s="220">
        <f t="shared" si="58"/>
        <v>73.1950354839096</v>
      </c>
      <c r="BP20" s="5">
        <f t="shared" si="41"/>
        <v>0.0626396547761271</v>
      </c>
      <c r="BQ20" s="5">
        <f t="shared" si="42"/>
        <v>0.0471383525648285</v>
      </c>
      <c r="BR20" s="217"/>
      <c r="BT20" s="220">
        <f t="shared" si="59"/>
        <v>109.778007340956</v>
      </c>
      <c r="BU20" s="217">
        <f t="shared" si="43"/>
        <v>0.00230806608389341</v>
      </c>
      <c r="BV20" s="217">
        <f t="shared" si="60"/>
        <v>0.00206745406605108</v>
      </c>
      <c r="BW20" s="217">
        <f t="shared" si="44"/>
        <v>0.000829768622705849</v>
      </c>
      <c r="BX20" s="217">
        <f t="shared" si="45"/>
        <v>0</v>
      </c>
      <c r="BY20" s="217">
        <f t="shared" si="46"/>
        <v>0.00718629104386447</v>
      </c>
      <c r="BZ20" s="217">
        <f t="shared" si="61"/>
        <v>0.00520528877265033</v>
      </c>
      <c r="CA20" s="225">
        <f t="shared" si="47"/>
        <v>0.00528</v>
      </c>
      <c r="CB20" s="220">
        <f t="shared" si="62"/>
        <v>12.4662910438645</v>
      </c>
      <c r="CC20" s="5">
        <f t="shared" si="63"/>
        <v>0.19543933386873</v>
      </c>
      <c r="CD20" s="192">
        <f t="shared" si="64"/>
        <v>1.65</v>
      </c>
      <c r="CE20" s="5">
        <f t="shared" si="65"/>
        <v>0.894096039744089</v>
      </c>
      <c r="CF20" s="192">
        <f t="shared" si="66"/>
        <v>89.4096039744089</v>
      </c>
      <c r="CG20">
        <f t="shared" si="67"/>
        <v>15</v>
      </c>
      <c r="CI20" s="227">
        <f t="shared" si="48"/>
        <v>-50</v>
      </c>
      <c r="CJ20">
        <f t="shared" si="49"/>
        <v>-50</v>
      </c>
    </row>
    <row r="21" s="2" customFormat="1" spans="5:88">
      <c r="E21" s="37">
        <v>16</v>
      </c>
      <c r="F21" s="181">
        <f t="shared" si="68"/>
        <v>0.08</v>
      </c>
      <c r="G21" s="25">
        <f t="shared" si="50"/>
        <v>0.064</v>
      </c>
      <c r="H21" s="25">
        <f t="shared" si="0"/>
        <v>1.44</v>
      </c>
      <c r="I21" s="25">
        <f t="shared" si="69"/>
        <v>0.32</v>
      </c>
      <c r="J21" s="212">
        <f t="shared" si="1"/>
        <v>12</v>
      </c>
      <c r="K21" s="131">
        <f t="shared" si="2"/>
        <v>12.2728</v>
      </c>
      <c r="L21" s="194">
        <f t="shared" si="3"/>
        <v>24.2728</v>
      </c>
      <c r="M21" s="194"/>
      <c r="N21" s="181">
        <f t="shared" si="4"/>
        <v>0.505619458818101</v>
      </c>
      <c r="O21" s="27">
        <f t="shared" si="51"/>
        <v>3.3508780498036</v>
      </c>
      <c r="P21" s="27">
        <f t="shared" si="5"/>
        <v>0.744639566623021</v>
      </c>
      <c r="Q21" s="181">
        <f t="shared" si="6"/>
        <v>0.186159891655755</v>
      </c>
      <c r="R21" s="25">
        <f t="shared" si="7"/>
        <v>0.670175609960719</v>
      </c>
      <c r="S21" s="131">
        <f t="shared" si="8"/>
        <v>18</v>
      </c>
      <c r="T21" s="25">
        <f t="shared" si="9"/>
        <v>0.644607165016526</v>
      </c>
      <c r="U21" s="181">
        <f t="shared" si="10"/>
        <v>1.34293159378443</v>
      </c>
      <c r="V21" s="25">
        <f t="shared" si="11"/>
        <v>1.31308088825803</v>
      </c>
      <c r="W21" s="201">
        <f t="shared" si="12"/>
        <v>350</v>
      </c>
      <c r="X21" s="194">
        <f t="shared" si="52"/>
        <v>350</v>
      </c>
      <c r="Z21" s="181">
        <f t="shared" si="13"/>
        <v>0.693420972093396</v>
      </c>
      <c r="AA21" s="5">
        <f t="shared" si="14"/>
        <v>1.41251583194828</v>
      </c>
      <c r="AB21" s="5">
        <f t="shared" si="15"/>
        <v>0.0935414297367646</v>
      </c>
      <c r="AC21" s="202"/>
      <c r="AD21" s="5">
        <f t="shared" si="16"/>
        <v>0.611107489733394</v>
      </c>
      <c r="AE21" s="216">
        <f t="shared" si="17"/>
        <v>1599.20987654321</v>
      </c>
      <c r="AF21" s="217">
        <f t="shared" si="18"/>
        <v>0.0175086462450593</v>
      </c>
      <c r="AG21"/>
      <c r="AH21" s="5">
        <f t="shared" si="19"/>
        <v>0.634259973737674</v>
      </c>
      <c r="AI21" s="5">
        <f t="shared" si="20"/>
        <v>0.634259973737674</v>
      </c>
      <c r="AJ21" s="5">
        <f t="shared" si="21"/>
        <v>1.44759998054642</v>
      </c>
      <c r="AL21" s="216">
        <f t="shared" si="22"/>
        <v>80</v>
      </c>
      <c r="AM21" s="220">
        <f t="shared" si="23"/>
        <v>350</v>
      </c>
      <c r="AO21">
        <f t="shared" si="53"/>
        <v>80</v>
      </c>
      <c r="AP21" s="220">
        <f t="shared" si="24"/>
        <v>350</v>
      </c>
      <c r="AQ21" s="220"/>
      <c r="AR21" s="192">
        <f t="shared" si="54"/>
        <v>2.85714285714286</v>
      </c>
      <c r="AS21" s="192">
        <f t="shared" si="25"/>
        <v>1.32137494528682</v>
      </c>
      <c r="AT21" s="192">
        <f t="shared" si="55"/>
        <v>1.53576791185604</v>
      </c>
      <c r="AU21" s="5">
        <f t="shared" si="56"/>
        <v>0.462481230850387</v>
      </c>
      <c r="AW21" s="192">
        <f t="shared" si="26"/>
        <v>20.1076373742966</v>
      </c>
      <c r="AX21" s="192">
        <f t="shared" si="27"/>
        <v>4.45163604639813</v>
      </c>
      <c r="AY21" s="192">
        <f t="shared" si="28"/>
        <v>14.3647440975709</v>
      </c>
      <c r="AZ21" s="192">
        <f t="shared" si="29"/>
        <v>1.96668724448907</v>
      </c>
      <c r="BA21" s="192">
        <f t="shared" si="30"/>
        <v>0.417122148899171</v>
      </c>
      <c r="BB21" s="220">
        <f t="shared" si="31"/>
        <v>2.99162178228391</v>
      </c>
      <c r="BC21" s="192"/>
      <c r="BD21" s="5">
        <f t="shared" si="57"/>
        <v>0.249031184323292</v>
      </c>
      <c r="BE21" s="5">
        <f t="shared" si="32"/>
        <v>0.146514009316465</v>
      </c>
      <c r="BF21" s="5">
        <f t="shared" si="33"/>
        <v>0.110940649029751</v>
      </c>
      <c r="BG21" s="5"/>
      <c r="BH21" s="217">
        <f t="shared" si="34"/>
        <v>0.0217057857679115</v>
      </c>
      <c r="BI21" s="217">
        <f t="shared" si="35"/>
        <v>0.0269417146084447</v>
      </c>
      <c r="BJ21" s="217">
        <f t="shared" si="36"/>
        <v>0.004375</v>
      </c>
      <c r="BK21" s="217">
        <f t="shared" si="37"/>
        <v>0.0103104543472</v>
      </c>
      <c r="BL21">
        <f t="shared" si="38"/>
        <v>0.00348</v>
      </c>
      <c r="BM21">
        <f t="shared" si="39"/>
        <v>6.125e-6</v>
      </c>
      <c r="BN21">
        <f t="shared" si="40"/>
        <v>0.0770389100579383</v>
      </c>
      <c r="BO21" s="220">
        <f t="shared" si="58"/>
        <v>77.0389100579383</v>
      </c>
      <c r="BP21" s="5">
        <f t="shared" si="41"/>
        <v>0.0664434755182838</v>
      </c>
      <c r="BQ21" s="5">
        <f t="shared" si="42"/>
        <v>0.0500675320081122</v>
      </c>
      <c r="BR21" s="217"/>
      <c r="BT21" s="220">
        <f t="shared" si="59"/>
        <v>116.511007526396</v>
      </c>
      <c r="BU21" s="217">
        <f t="shared" si="43"/>
        <v>0.00254267776138392</v>
      </c>
      <c r="BV21" s="217">
        <f t="shared" si="60"/>
        <v>0.00214663549259851</v>
      </c>
      <c r="BW21" s="217">
        <f t="shared" si="44"/>
        <v>0.000861547932499968</v>
      </c>
      <c r="BX21" s="217">
        <f t="shared" si="45"/>
        <v>0</v>
      </c>
      <c r="BY21" s="217">
        <f t="shared" si="46"/>
        <v>0.00766359159999863</v>
      </c>
      <c r="BZ21" s="217">
        <f t="shared" si="61"/>
        <v>0.0055508611864824</v>
      </c>
      <c r="CA21" s="225">
        <f t="shared" si="47"/>
        <v>0.005632</v>
      </c>
      <c r="CB21" s="220">
        <f t="shared" si="62"/>
        <v>13.2955915999986</v>
      </c>
      <c r="CC21" s="5">
        <f t="shared" si="63"/>
        <v>0.206845509184333</v>
      </c>
      <c r="CD21" s="192">
        <f t="shared" si="64"/>
        <v>1.76</v>
      </c>
      <c r="CE21" s="5">
        <f t="shared" si="65"/>
        <v>0.894833880841961</v>
      </c>
      <c r="CF21" s="192">
        <f t="shared" si="66"/>
        <v>89.4833880841961</v>
      </c>
      <c r="CG21">
        <f t="shared" si="67"/>
        <v>16</v>
      </c>
      <c r="CI21" s="227">
        <f t="shared" si="48"/>
        <v>-50</v>
      </c>
      <c r="CJ21">
        <f t="shared" si="49"/>
        <v>-50</v>
      </c>
    </row>
    <row r="22" spans="5:88">
      <c r="E22" s="22">
        <v>17</v>
      </c>
      <c r="F22" s="25">
        <f t="shared" si="68"/>
        <v>0.085</v>
      </c>
      <c r="G22" s="25">
        <f t="shared" si="50"/>
        <v>0.068</v>
      </c>
      <c r="H22" s="25">
        <f t="shared" si="0"/>
        <v>1.53</v>
      </c>
      <c r="I22" s="25">
        <f t="shared" si="69"/>
        <v>0.34</v>
      </c>
      <c r="J22" s="212">
        <f t="shared" si="1"/>
        <v>12</v>
      </c>
      <c r="K22" s="131">
        <f t="shared" si="2"/>
        <v>12.2728</v>
      </c>
      <c r="L22" s="131">
        <f t="shared" si="3"/>
        <v>24.2728</v>
      </c>
      <c r="M22" s="131"/>
      <c r="N22" s="25">
        <f t="shared" si="4"/>
        <v>0.505619458818101</v>
      </c>
      <c r="O22" s="27">
        <f t="shared" si="51"/>
        <v>3.3508780498036</v>
      </c>
      <c r="P22" s="27">
        <f t="shared" si="5"/>
        <v>0.744639566623021</v>
      </c>
      <c r="Q22" s="25">
        <f t="shared" si="6"/>
        <v>0.186159891655755</v>
      </c>
      <c r="R22" s="25">
        <f t="shared" si="7"/>
        <v>0.670175609960719</v>
      </c>
      <c r="S22" s="131">
        <f t="shared" si="8"/>
        <v>18</v>
      </c>
      <c r="T22" s="25">
        <f t="shared" si="9"/>
        <v>0.684895112830058</v>
      </c>
      <c r="U22" s="25">
        <f t="shared" si="10"/>
        <v>1.42686481839595</v>
      </c>
      <c r="V22" s="25">
        <f t="shared" si="11"/>
        <v>1.39514844377416</v>
      </c>
      <c r="W22" s="24">
        <f t="shared" si="12"/>
        <v>350</v>
      </c>
      <c r="X22" s="131">
        <f t="shared" si="52"/>
        <v>350</v>
      </c>
      <c r="Z22" s="25">
        <f t="shared" si="13"/>
        <v>0.693420972093396</v>
      </c>
      <c r="AA22" s="5">
        <f t="shared" si="14"/>
        <v>1.41251583194828</v>
      </c>
      <c r="AB22" s="5">
        <f t="shared" si="15"/>
        <v>0.0935414297367646</v>
      </c>
      <c r="AC22" s="5"/>
      <c r="AD22" s="5">
        <f t="shared" si="16"/>
        <v>0.611107489733394</v>
      </c>
      <c r="AE22" s="216">
        <f t="shared" si="17"/>
        <v>1699.16049382716</v>
      </c>
      <c r="AF22" s="217">
        <f t="shared" si="18"/>
        <v>0.0175086462450593</v>
      </c>
      <c r="AH22" s="5">
        <f t="shared" si="19"/>
        <v>0.653780216455478</v>
      </c>
      <c r="AI22" s="5">
        <f t="shared" si="20"/>
        <v>0.653780216455478</v>
      </c>
      <c r="AJ22" s="5">
        <f t="shared" si="21"/>
        <v>1.46205941959665</v>
      </c>
      <c r="AL22" s="216">
        <f t="shared" si="22"/>
        <v>85</v>
      </c>
      <c r="AM22" s="220">
        <f t="shared" si="23"/>
        <v>350</v>
      </c>
      <c r="AO22">
        <f t="shared" si="53"/>
        <v>85</v>
      </c>
      <c r="AP22" s="220">
        <f t="shared" si="24"/>
        <v>350</v>
      </c>
      <c r="AQ22" s="220"/>
      <c r="AR22" s="192">
        <f t="shared" si="54"/>
        <v>2.85714285714286</v>
      </c>
      <c r="AS22" s="192">
        <f t="shared" si="25"/>
        <v>1.36204211761558</v>
      </c>
      <c r="AT22" s="192">
        <f t="shared" si="55"/>
        <v>1.49510073952728</v>
      </c>
      <c r="AU22" s="5">
        <f t="shared" si="56"/>
        <v>0.476714741165452</v>
      </c>
      <c r="AW22" s="192">
        <f t="shared" si="26"/>
        <v>20.1076373742966</v>
      </c>
      <c r="AX22" s="192">
        <f t="shared" si="27"/>
        <v>5.00954225550414</v>
      </c>
      <c r="AY22" s="192">
        <f t="shared" si="28"/>
        <v>14.3647440975709</v>
      </c>
      <c r="AZ22" s="192">
        <f t="shared" si="29"/>
        <v>2.21170552209899</v>
      </c>
      <c r="BA22" s="192">
        <f t="shared" si="30"/>
        <v>0.431456540573459</v>
      </c>
      <c r="BB22" s="220">
        <f t="shared" si="31"/>
        <v>3.1081836878852</v>
      </c>
      <c r="BC22" s="192"/>
      <c r="BD22" s="5">
        <f t="shared" si="57"/>
        <v>0.260615617845702</v>
      </c>
      <c r="BE22" s="5">
        <f t="shared" si="32"/>
        <v>0.149010219945922</v>
      </c>
      <c r="BF22" s="5">
        <f t="shared" si="33"/>
        <v>0.112830783827365</v>
      </c>
      <c r="BG22" s="5"/>
      <c r="BH22" s="217">
        <f t="shared" si="34"/>
        <v>0.0237721750927839</v>
      </c>
      <c r="BI22" s="217">
        <f t="shared" si="35"/>
        <v>0.0277708837664659</v>
      </c>
      <c r="BJ22" s="217">
        <f t="shared" si="36"/>
        <v>0.004375</v>
      </c>
      <c r="BK22" s="217">
        <f t="shared" si="37"/>
        <v>0.0103104543472</v>
      </c>
      <c r="BL22">
        <f t="shared" si="38"/>
        <v>0.00348</v>
      </c>
      <c r="BM22">
        <f t="shared" si="39"/>
        <v>6.125e-6</v>
      </c>
      <c r="BN22">
        <f t="shared" si="40"/>
        <v>0.0809598255800228</v>
      </c>
      <c r="BO22" s="220">
        <f t="shared" si="58"/>
        <v>80.9598255800228</v>
      </c>
      <c r="BP22" s="5">
        <f t="shared" si="41"/>
        <v>0.0702129521661491</v>
      </c>
      <c r="BQ22" s="5">
        <f t="shared" si="42"/>
        <v>0.0529770201161263</v>
      </c>
      <c r="BR22" s="217"/>
      <c r="BT22" s="220">
        <f t="shared" si="59"/>
        <v>123.189972282275</v>
      </c>
      <c r="BU22" s="217">
        <f t="shared" si="43"/>
        <v>0.00278474051086897</v>
      </c>
      <c r="BV22" s="217">
        <f t="shared" si="60"/>
        <v>0.00222040456483321</v>
      </c>
      <c r="BW22" s="217">
        <f t="shared" si="44"/>
        <v>0.000891155004536828</v>
      </c>
      <c r="BX22" s="217">
        <f t="shared" si="45"/>
        <v>0</v>
      </c>
      <c r="BY22" s="217">
        <f t="shared" si="46"/>
        <v>0.00814073412763303</v>
      </c>
      <c r="BZ22" s="217">
        <f t="shared" si="61"/>
        <v>0.00589630008023901</v>
      </c>
      <c r="CA22" s="225">
        <f t="shared" si="47"/>
        <v>0.005984</v>
      </c>
      <c r="CB22" s="220">
        <f t="shared" si="62"/>
        <v>14.124734127633</v>
      </c>
      <c r="CC22" s="5">
        <f t="shared" si="63"/>
        <v>0.218274531989931</v>
      </c>
      <c r="CD22" s="192">
        <f t="shared" si="64"/>
        <v>1.87</v>
      </c>
      <c r="CE22" s="5">
        <f t="shared" si="65"/>
        <v>0.895476131779505</v>
      </c>
      <c r="CF22" s="192">
        <f t="shared" si="66"/>
        <v>89.5476131779505</v>
      </c>
      <c r="CG22">
        <f t="shared" si="67"/>
        <v>17</v>
      </c>
      <c r="CI22" s="227">
        <f t="shared" si="48"/>
        <v>-50</v>
      </c>
      <c r="CJ22">
        <f t="shared" si="49"/>
        <v>-50</v>
      </c>
    </row>
    <row r="23" spans="5:88">
      <c r="E23" s="22">
        <v>18</v>
      </c>
      <c r="F23" s="25">
        <f t="shared" si="68"/>
        <v>0.09</v>
      </c>
      <c r="G23" s="25">
        <f t="shared" si="50"/>
        <v>0.072</v>
      </c>
      <c r="H23" s="25">
        <f t="shared" si="0"/>
        <v>1.62</v>
      </c>
      <c r="I23" s="25">
        <f t="shared" si="69"/>
        <v>0.36</v>
      </c>
      <c r="J23" s="212">
        <f t="shared" si="1"/>
        <v>12</v>
      </c>
      <c r="K23" s="131">
        <f t="shared" si="2"/>
        <v>12.2728</v>
      </c>
      <c r="L23" s="131">
        <f t="shared" si="3"/>
        <v>24.2728</v>
      </c>
      <c r="M23" s="131"/>
      <c r="N23" s="25">
        <f t="shared" si="4"/>
        <v>0.505619458818101</v>
      </c>
      <c r="O23" s="27">
        <f t="shared" si="51"/>
        <v>3.3508780498036</v>
      </c>
      <c r="P23" s="27">
        <f t="shared" si="5"/>
        <v>0.744639566623021</v>
      </c>
      <c r="Q23" s="25">
        <f t="shared" si="6"/>
        <v>0.186159891655755</v>
      </c>
      <c r="R23" s="25">
        <f t="shared" si="7"/>
        <v>0.670175609960719</v>
      </c>
      <c r="S23" s="131">
        <f t="shared" si="8"/>
        <v>18</v>
      </c>
      <c r="T23" s="25">
        <f t="shared" si="9"/>
        <v>0.725183060643591</v>
      </c>
      <c r="U23" s="25">
        <f t="shared" si="10"/>
        <v>1.51079804300748</v>
      </c>
      <c r="V23" s="25">
        <f t="shared" si="11"/>
        <v>1.47721599929028</v>
      </c>
      <c r="W23" s="24">
        <f t="shared" si="12"/>
        <v>350</v>
      </c>
      <c r="X23" s="131">
        <f t="shared" si="52"/>
        <v>334.670448613758</v>
      </c>
      <c r="Z23" s="25">
        <f t="shared" si="13"/>
        <v>0.693420972093396</v>
      </c>
      <c r="AA23" s="5">
        <f t="shared" si="14"/>
        <v>1.41251583194828</v>
      </c>
      <c r="AB23" s="5">
        <f t="shared" si="15"/>
        <v>0.0935414297367646</v>
      </c>
      <c r="AC23" s="5"/>
      <c r="AD23" s="5">
        <f t="shared" si="16"/>
        <v>0.611107489733394</v>
      </c>
      <c r="AE23" s="216">
        <f t="shared" si="17"/>
        <v>1799.11111111111</v>
      </c>
      <c r="AF23" s="217">
        <f t="shared" si="18"/>
        <v>0.0175086462450593</v>
      </c>
      <c r="AH23" s="5">
        <f t="shared" si="19"/>
        <v>0.672734292697666</v>
      </c>
      <c r="AI23" s="5">
        <f t="shared" si="20"/>
        <v>0.672734292697666</v>
      </c>
      <c r="AJ23" s="5">
        <f t="shared" si="21"/>
        <v>1.47609947607234</v>
      </c>
      <c r="AL23" s="216">
        <f t="shared" si="22"/>
        <v>90</v>
      </c>
      <c r="AM23" s="220">
        <f t="shared" si="23"/>
        <v>334.670448613758</v>
      </c>
      <c r="AO23">
        <f t="shared" si="53"/>
        <v>90</v>
      </c>
      <c r="AP23" s="220">
        <f t="shared" si="24"/>
        <v>334.670448613758</v>
      </c>
      <c r="AQ23" s="220"/>
      <c r="AR23" s="192">
        <f t="shared" si="54"/>
        <v>2.98801404229776</v>
      </c>
      <c r="AS23" s="192">
        <f t="shared" si="25"/>
        <v>1.40152977645347</v>
      </c>
      <c r="AT23" s="192">
        <f t="shared" si="55"/>
        <v>1.58648426584429</v>
      </c>
      <c r="AU23" s="5">
        <f t="shared" si="56"/>
        <v>0.469050599031222</v>
      </c>
      <c r="AW23" s="192">
        <f t="shared" si="26"/>
        <v>20.1076373742966</v>
      </c>
      <c r="AX23" s="192">
        <f t="shared" si="27"/>
        <v>5.60035187122263</v>
      </c>
      <c r="AY23" s="192">
        <f t="shared" si="28"/>
        <v>14.3647440975709</v>
      </c>
      <c r="AZ23" s="192">
        <f t="shared" si="29"/>
        <v>2.47108854380648</v>
      </c>
      <c r="BA23" s="192">
        <f t="shared" si="30"/>
        <v>0.484759081230201</v>
      </c>
      <c r="BB23" s="220">
        <f t="shared" si="31"/>
        <v>3.4585544873812</v>
      </c>
      <c r="BC23" s="192"/>
      <c r="BD23" s="5">
        <f t="shared" si="57"/>
        <v>0.266006829283162</v>
      </c>
      <c r="BE23" s="5">
        <f t="shared" si="32"/>
        <v>0.154449022801672</v>
      </c>
      <c r="BF23" s="5">
        <f t="shared" si="33"/>
        <v>0.1169490543025</v>
      </c>
      <c r="BG23" s="5"/>
      <c r="BH23" s="217">
        <f t="shared" si="34"/>
        <v>0.0247658716288485</v>
      </c>
      <c r="BI23" s="217">
        <f t="shared" si="35"/>
        <v>0.0273244113123961</v>
      </c>
      <c r="BJ23" s="217">
        <f t="shared" si="36"/>
        <v>0.00418338060767197</v>
      </c>
      <c r="BK23" s="217">
        <f t="shared" si="37"/>
        <v>0.00985886966225455</v>
      </c>
      <c r="BL23">
        <f t="shared" si="38"/>
        <v>0.00348</v>
      </c>
      <c r="BM23">
        <f t="shared" si="39"/>
        <v>5.85673285074076e-6</v>
      </c>
      <c r="BN23">
        <f t="shared" si="40"/>
        <v>0.0813389164699497</v>
      </c>
      <c r="BO23" s="220">
        <f t="shared" si="58"/>
        <v>81.3389164699497</v>
      </c>
      <c r="BP23" s="5">
        <f t="shared" si="41"/>
        <v>0.0745616233838985</v>
      </c>
      <c r="BQ23" s="5">
        <f t="shared" si="42"/>
        <v>0.0562185919403422</v>
      </c>
      <c r="BR23" s="217"/>
      <c r="BT23" s="220">
        <f t="shared" si="59"/>
        <v>130.780215324241</v>
      </c>
      <c r="BU23" s="217">
        <f t="shared" si="43"/>
        <v>0.00290114496223654</v>
      </c>
      <c r="BV23" s="217">
        <f t="shared" si="60"/>
        <v>0.00238545006443912</v>
      </c>
      <c r="BW23" s="217">
        <f t="shared" si="44"/>
        <v>0.00095739569115744</v>
      </c>
      <c r="BX23" s="217">
        <f t="shared" si="45"/>
        <v>0</v>
      </c>
      <c r="BY23" s="217">
        <f t="shared" si="46"/>
        <v>0.0086210135528979</v>
      </c>
      <c r="BZ23" s="217">
        <f t="shared" si="61"/>
        <v>0.00624399071783311</v>
      </c>
      <c r="CA23" s="225">
        <f t="shared" si="47"/>
        <v>0.00605849132119077</v>
      </c>
      <c r="CB23" s="220">
        <f t="shared" si="62"/>
        <v>14.6795048740887</v>
      </c>
      <c r="CC23" s="5">
        <f t="shared" si="63"/>
        <v>0.226798636668279</v>
      </c>
      <c r="CD23" s="192">
        <f t="shared" si="64"/>
        <v>1.98</v>
      </c>
      <c r="CE23" s="5">
        <f t="shared" si="65"/>
        <v>0.897227307965584</v>
      </c>
      <c r="CF23" s="192">
        <f t="shared" si="66"/>
        <v>89.7227307965584</v>
      </c>
      <c r="CG23">
        <f t="shared" si="67"/>
        <v>18</v>
      </c>
      <c r="CI23" s="227">
        <f t="shared" si="48"/>
        <v>-50</v>
      </c>
      <c r="CJ23">
        <f t="shared" si="49"/>
        <v>-50</v>
      </c>
    </row>
    <row r="24" spans="5:88">
      <c r="E24" s="22">
        <v>19</v>
      </c>
      <c r="F24" s="25">
        <f t="shared" si="68"/>
        <v>0.095</v>
      </c>
      <c r="G24" s="25">
        <f t="shared" si="50"/>
        <v>0.076</v>
      </c>
      <c r="H24" s="25">
        <f t="shared" si="0"/>
        <v>1.71</v>
      </c>
      <c r="I24" s="25">
        <f t="shared" si="69"/>
        <v>0.38</v>
      </c>
      <c r="J24" s="212">
        <f t="shared" si="1"/>
        <v>12</v>
      </c>
      <c r="K24" s="131">
        <f t="shared" si="2"/>
        <v>12.2728</v>
      </c>
      <c r="L24" s="131">
        <f t="shared" si="3"/>
        <v>24.2728</v>
      </c>
      <c r="M24" s="131"/>
      <c r="N24" s="25">
        <f t="shared" si="4"/>
        <v>0.505619458818101</v>
      </c>
      <c r="O24" s="27">
        <f t="shared" si="51"/>
        <v>3.3508780498036</v>
      </c>
      <c r="P24" s="27">
        <f t="shared" si="5"/>
        <v>0.744639566623021</v>
      </c>
      <c r="Q24" s="25">
        <f t="shared" si="6"/>
        <v>0.186159891655755</v>
      </c>
      <c r="R24" s="25">
        <f t="shared" si="7"/>
        <v>0.670175609960719</v>
      </c>
      <c r="S24" s="131">
        <f t="shared" si="8"/>
        <v>18</v>
      </c>
      <c r="T24" s="25">
        <f t="shared" si="9"/>
        <v>0.765471008457124</v>
      </c>
      <c r="U24" s="25">
        <f t="shared" si="10"/>
        <v>1.59473126761901</v>
      </c>
      <c r="V24" s="25">
        <f t="shared" si="11"/>
        <v>1.55928355480641</v>
      </c>
      <c r="W24" s="24">
        <f t="shared" si="12"/>
        <v>350</v>
      </c>
      <c r="X24" s="131">
        <f t="shared" si="52"/>
        <v>317.056214476191</v>
      </c>
      <c r="Z24" s="25">
        <f t="shared" si="13"/>
        <v>0.693420972093396</v>
      </c>
      <c r="AA24" s="5">
        <f t="shared" si="14"/>
        <v>1.41251583194828</v>
      </c>
      <c r="AB24" s="5">
        <f t="shared" si="15"/>
        <v>0.0935414297367646</v>
      </c>
      <c r="AC24" s="5"/>
      <c r="AD24" s="5">
        <f t="shared" si="16"/>
        <v>0.611107489733394</v>
      </c>
      <c r="AE24" s="216">
        <f t="shared" si="17"/>
        <v>1899.06172839506</v>
      </c>
      <c r="AF24" s="217">
        <f t="shared" si="18"/>
        <v>0.0175086462450593</v>
      </c>
      <c r="AH24" s="5">
        <f t="shared" si="19"/>
        <v>0.69116878236382</v>
      </c>
      <c r="AI24" s="5">
        <f t="shared" si="20"/>
        <v>0.765471008457124</v>
      </c>
      <c r="AJ24" s="5">
        <f t="shared" si="21"/>
        <v>1.54479333959787</v>
      </c>
      <c r="AL24" s="216">
        <f t="shared" si="22"/>
        <v>95</v>
      </c>
      <c r="AM24" s="220">
        <f t="shared" si="23"/>
        <v>317.056214476191</v>
      </c>
      <c r="AO24">
        <f t="shared" si="53"/>
        <v>95</v>
      </c>
      <c r="AP24" s="220">
        <f t="shared" si="24"/>
        <v>317.056214476191</v>
      </c>
      <c r="AQ24" s="220"/>
      <c r="AR24" s="192">
        <f t="shared" si="54"/>
        <v>3.15401482242542</v>
      </c>
      <c r="AS24" s="192">
        <f t="shared" si="25"/>
        <v>1.59473126761901</v>
      </c>
      <c r="AT24" s="192">
        <f t="shared" si="55"/>
        <v>1.55928355480641</v>
      </c>
      <c r="AU24" s="5">
        <f t="shared" si="56"/>
        <v>0.505619458818101</v>
      </c>
      <c r="AW24" s="192">
        <f t="shared" si="26"/>
        <v>20.1076373742966</v>
      </c>
      <c r="AX24" s="192">
        <f t="shared" si="27"/>
        <v>6.22406489355361</v>
      </c>
      <c r="AY24" s="192">
        <f t="shared" si="28"/>
        <v>14.3647440975709</v>
      </c>
      <c r="AZ24" s="192">
        <f t="shared" si="29"/>
        <v>2.74483630961154</v>
      </c>
      <c r="BA24" s="192">
        <f t="shared" si="30"/>
        <v>0.502917072460709</v>
      </c>
      <c r="BB24" s="220">
        <f t="shared" si="31"/>
        <v>3.59805799031981</v>
      </c>
      <c r="BC24" s="192"/>
      <c r="BD24" s="5">
        <f t="shared" si="57"/>
        <v>0.314253417404382</v>
      </c>
      <c r="BE24" s="5">
        <f t="shared" si="32"/>
        <v>0.169579934020108</v>
      </c>
      <c r="BF24" s="5">
        <f t="shared" si="33"/>
        <v>0.12840620518395</v>
      </c>
      <c r="BG24" s="5"/>
      <c r="BH24" s="217">
        <f t="shared" si="34"/>
        <v>0.0345643236226164</v>
      </c>
      <c r="BI24" s="217">
        <f t="shared" si="35"/>
        <v>0.02945472</v>
      </c>
      <c r="BJ24" s="217">
        <f t="shared" si="36"/>
        <v>0.00396320268095239</v>
      </c>
      <c r="BK24" s="217">
        <f t="shared" si="37"/>
        <v>0.00933998178529378</v>
      </c>
      <c r="BL24">
        <f t="shared" si="38"/>
        <v>0.00348</v>
      </c>
      <c r="BM24">
        <f t="shared" si="39"/>
        <v>5.54848375333335e-6</v>
      </c>
      <c r="BN24">
        <f t="shared" si="40"/>
        <v>0.0974792587853053</v>
      </c>
      <c r="BO24" s="220">
        <f t="shared" si="58"/>
        <v>97.4792587853052</v>
      </c>
      <c r="BP24" s="5">
        <f t="shared" si="41"/>
        <v>0.0809741039948278</v>
      </c>
      <c r="BQ24" s="5">
        <f t="shared" si="42"/>
        <v>0.0606434578222982</v>
      </c>
      <c r="BR24" s="217"/>
      <c r="BT24" s="220">
        <f t="shared" si="59"/>
        <v>141.617561817126</v>
      </c>
      <c r="BU24" s="217">
        <f t="shared" si="43"/>
        <v>0.00404896362436364</v>
      </c>
      <c r="BV24" s="217">
        <f t="shared" si="60"/>
        <v>0.00287573540222642</v>
      </c>
      <c r="BW24" s="217">
        <f t="shared" si="44"/>
        <v>0.00115417074708199</v>
      </c>
      <c r="BX24" s="217">
        <f t="shared" si="45"/>
        <v>0</v>
      </c>
      <c r="BY24" s="217">
        <f t="shared" si="46"/>
        <v>0.011156050550034</v>
      </c>
      <c r="BZ24" s="217">
        <f t="shared" si="61"/>
        <v>0.00807886977367205</v>
      </c>
      <c r="CA24" s="225">
        <f t="shared" si="47"/>
        <v>0.00743111111111111</v>
      </c>
      <c r="CB24" s="220">
        <f t="shared" si="62"/>
        <v>18.5871616611451</v>
      </c>
      <c r="CC24" s="5">
        <f t="shared" si="63"/>
        <v>0.257683982263576</v>
      </c>
      <c r="CD24" s="192">
        <f t="shared" si="64"/>
        <v>2.09</v>
      </c>
      <c r="CE24" s="5">
        <f t="shared" si="65"/>
        <v>0.890239067859924</v>
      </c>
      <c r="CF24" s="192">
        <f t="shared" si="66"/>
        <v>89.0239067859924</v>
      </c>
      <c r="CG24">
        <f t="shared" si="67"/>
        <v>19</v>
      </c>
      <c r="CI24" s="227">
        <f t="shared" si="48"/>
        <v>-50</v>
      </c>
      <c r="CJ24">
        <f t="shared" si="49"/>
        <v>-50</v>
      </c>
    </row>
    <row r="25" spans="5:88">
      <c r="E25" s="22">
        <v>20</v>
      </c>
      <c r="F25" s="25">
        <f t="shared" si="68"/>
        <v>0.1</v>
      </c>
      <c r="G25" s="25">
        <f t="shared" si="50"/>
        <v>0.08</v>
      </c>
      <c r="H25" s="25">
        <f t="shared" si="0"/>
        <v>1.8</v>
      </c>
      <c r="I25" s="25">
        <f t="shared" si="69"/>
        <v>0.4</v>
      </c>
      <c r="J25" s="212">
        <f t="shared" si="1"/>
        <v>12</v>
      </c>
      <c r="K25" s="131">
        <f t="shared" si="2"/>
        <v>12.2728</v>
      </c>
      <c r="L25" s="131">
        <f t="shared" si="3"/>
        <v>24.2728</v>
      </c>
      <c r="M25" s="131"/>
      <c r="N25" s="25">
        <f t="shared" si="4"/>
        <v>0.505619458818101</v>
      </c>
      <c r="O25" s="27">
        <f t="shared" si="51"/>
        <v>3.3508780498036</v>
      </c>
      <c r="P25" s="27">
        <f t="shared" si="5"/>
        <v>0.744639566623021</v>
      </c>
      <c r="Q25" s="25">
        <f t="shared" si="6"/>
        <v>0.186159891655755</v>
      </c>
      <c r="R25" s="25">
        <f t="shared" si="7"/>
        <v>0.670175609960719</v>
      </c>
      <c r="S25" s="131">
        <f t="shared" si="8"/>
        <v>18</v>
      </c>
      <c r="T25" s="25">
        <f t="shared" si="9"/>
        <v>0.805758956270657</v>
      </c>
      <c r="U25" s="25">
        <f t="shared" si="10"/>
        <v>1.67866449223054</v>
      </c>
      <c r="V25" s="25">
        <f t="shared" si="11"/>
        <v>1.64135111032254</v>
      </c>
      <c r="W25" s="24">
        <f t="shared" si="12"/>
        <v>350</v>
      </c>
      <c r="X25" s="131">
        <f t="shared" si="52"/>
        <v>301.203403752382</v>
      </c>
      <c r="Z25" s="25">
        <f t="shared" si="13"/>
        <v>0.693420972093396</v>
      </c>
      <c r="AA25" s="5">
        <f t="shared" si="14"/>
        <v>1.41251583194828</v>
      </c>
      <c r="AB25" s="5">
        <f t="shared" si="15"/>
        <v>0.0935414297367646</v>
      </c>
      <c r="AC25" s="5"/>
      <c r="AD25" s="5">
        <f t="shared" si="16"/>
        <v>0.611107489733394</v>
      </c>
      <c r="AE25" s="216">
        <f t="shared" si="17"/>
        <v>1999.01234567901</v>
      </c>
      <c r="AF25" s="217">
        <f t="shared" si="18"/>
        <v>0.0175086462450593</v>
      </c>
      <c r="AH25" s="5">
        <f t="shared" si="19"/>
        <v>0.709124208342335</v>
      </c>
      <c r="AI25" s="5">
        <f t="shared" si="20"/>
        <v>0.805758956270657</v>
      </c>
      <c r="AJ25" s="5">
        <f t="shared" si="21"/>
        <v>1.57463626390419</v>
      </c>
      <c r="AL25" s="216">
        <f t="shared" si="22"/>
        <v>100</v>
      </c>
      <c r="AM25" s="220">
        <f t="shared" si="23"/>
        <v>301.203403752382</v>
      </c>
      <c r="AO25">
        <f t="shared" si="53"/>
        <v>100</v>
      </c>
      <c r="AP25" s="220">
        <f t="shared" si="24"/>
        <v>301.203403752382</v>
      </c>
      <c r="AQ25" s="220"/>
      <c r="AR25" s="192">
        <f t="shared" si="54"/>
        <v>3.32001560255307</v>
      </c>
      <c r="AS25" s="192">
        <f t="shared" si="25"/>
        <v>1.67866449223054</v>
      </c>
      <c r="AT25" s="192">
        <f t="shared" si="55"/>
        <v>1.64135111032254</v>
      </c>
      <c r="AU25" s="5">
        <f t="shared" si="56"/>
        <v>0.505619458818101</v>
      </c>
      <c r="AW25" s="192">
        <f t="shared" si="26"/>
        <v>20.1076373742966</v>
      </c>
      <c r="AX25" s="192">
        <f t="shared" si="27"/>
        <v>6.88068132249708</v>
      </c>
      <c r="AY25" s="192">
        <f t="shared" si="28"/>
        <v>14.3647440975709</v>
      </c>
      <c r="AZ25" s="192">
        <f t="shared" si="29"/>
        <v>3.03294881951417</v>
      </c>
      <c r="BA25" s="192">
        <f t="shared" si="30"/>
        <v>0.557248833751479</v>
      </c>
      <c r="BB25" s="220">
        <f t="shared" si="31"/>
        <v>3.95460411361998</v>
      </c>
      <c r="BC25" s="192"/>
      <c r="BD25" s="5">
        <f t="shared" si="57"/>
        <v>0.330793070951981</v>
      </c>
      <c r="BE25" s="5">
        <f t="shared" si="32"/>
        <v>0.178505193705377</v>
      </c>
      <c r="BF25" s="5">
        <f t="shared" si="33"/>
        <v>0.135164426509421</v>
      </c>
      <c r="BG25" s="5"/>
      <c r="BH25" s="217">
        <f t="shared" si="34"/>
        <v>0.0382984195264448</v>
      </c>
      <c r="BI25" s="217">
        <f t="shared" si="35"/>
        <v>0.02945472</v>
      </c>
      <c r="BJ25" s="217">
        <f t="shared" si="36"/>
        <v>0.00376504254690477</v>
      </c>
      <c r="BK25" s="217">
        <f t="shared" si="37"/>
        <v>0.00887298269602909</v>
      </c>
      <c r="BL25">
        <f t="shared" si="38"/>
        <v>0.00348</v>
      </c>
      <c r="BM25">
        <f t="shared" si="39"/>
        <v>5.27105956566668e-6</v>
      </c>
      <c r="BN25">
        <f t="shared" si="40"/>
        <v>0.102456210066879</v>
      </c>
      <c r="BO25" s="220">
        <f t="shared" si="58"/>
        <v>102.456210066879</v>
      </c>
      <c r="BP25" s="5">
        <f t="shared" si="41"/>
        <v>0.0862468673072884</v>
      </c>
      <c r="BQ25" s="5">
        <f t="shared" si="42"/>
        <v>0.064414861852962</v>
      </c>
      <c r="BR25" s="217"/>
      <c r="BT25" s="220">
        <f t="shared" si="59"/>
        <v>150.66172916025</v>
      </c>
      <c r="BU25" s="217">
        <f t="shared" si="43"/>
        <v>0.00448638628738353</v>
      </c>
      <c r="BV25" s="217">
        <f t="shared" si="60"/>
        <v>0.00318641041797942</v>
      </c>
      <c r="BW25" s="217">
        <f t="shared" si="44"/>
        <v>0.00127885955355345</v>
      </c>
      <c r="BX25" s="217">
        <f t="shared" si="45"/>
        <v>0</v>
      </c>
      <c r="BY25" s="217">
        <f t="shared" si="46"/>
        <v>0.0123621385665104</v>
      </c>
      <c r="BZ25" s="217">
        <f t="shared" si="61"/>
        <v>0.0089516562589164</v>
      </c>
      <c r="CA25" s="225">
        <f t="shared" si="47"/>
        <v>0.00782222222222222</v>
      </c>
      <c r="CB25" s="220">
        <f t="shared" si="62"/>
        <v>20.1843607887327</v>
      </c>
      <c r="CC25" s="5">
        <f t="shared" si="63"/>
        <v>0.273302300015862</v>
      </c>
      <c r="CD25" s="192">
        <f t="shared" si="64"/>
        <v>2.2</v>
      </c>
      <c r="CE25" s="5">
        <f t="shared" si="65"/>
        <v>0.889499031309634</v>
      </c>
      <c r="CF25" s="192">
        <f t="shared" si="66"/>
        <v>88.9499031309634</v>
      </c>
      <c r="CG25">
        <f t="shared" si="67"/>
        <v>20</v>
      </c>
      <c r="CI25" s="227">
        <f t="shared" si="48"/>
        <v>-50</v>
      </c>
      <c r="CJ25">
        <f t="shared" si="49"/>
        <v>-50</v>
      </c>
    </row>
    <row r="26" spans="5:88">
      <c r="E26" s="22">
        <v>21</v>
      </c>
      <c r="F26" s="25">
        <f t="shared" si="68"/>
        <v>0.105</v>
      </c>
      <c r="G26" s="25">
        <f t="shared" si="50"/>
        <v>0.084</v>
      </c>
      <c r="H26" s="25">
        <f t="shared" si="0"/>
        <v>1.89</v>
      </c>
      <c r="I26" s="25">
        <f t="shared" si="69"/>
        <v>0.42</v>
      </c>
      <c r="J26" s="212">
        <f t="shared" si="1"/>
        <v>12</v>
      </c>
      <c r="K26" s="131">
        <f t="shared" si="2"/>
        <v>12.2728</v>
      </c>
      <c r="L26" s="131">
        <f t="shared" si="3"/>
        <v>24.2728</v>
      </c>
      <c r="M26" s="131"/>
      <c r="N26" s="25">
        <f t="shared" si="4"/>
        <v>0.505619458818101</v>
      </c>
      <c r="O26" s="27">
        <f t="shared" si="51"/>
        <v>3.3508780498036</v>
      </c>
      <c r="P26" s="27">
        <f t="shared" si="5"/>
        <v>0.744639566623021</v>
      </c>
      <c r="Q26" s="25">
        <f t="shared" si="6"/>
        <v>0.186159891655755</v>
      </c>
      <c r="R26" s="25">
        <f t="shared" si="7"/>
        <v>0.670175609960719</v>
      </c>
      <c r="S26" s="131">
        <f t="shared" si="8"/>
        <v>18</v>
      </c>
      <c r="T26" s="25">
        <f t="shared" si="9"/>
        <v>0.84604690408419</v>
      </c>
      <c r="U26" s="25">
        <f t="shared" si="10"/>
        <v>1.76259771684206</v>
      </c>
      <c r="V26" s="25">
        <f t="shared" si="11"/>
        <v>1.72341866583866</v>
      </c>
      <c r="W26" s="24">
        <f t="shared" si="12"/>
        <v>350</v>
      </c>
      <c r="X26" s="131">
        <f t="shared" si="52"/>
        <v>286.860384526078</v>
      </c>
      <c r="Z26" s="25">
        <f t="shared" si="13"/>
        <v>0.693420972093396</v>
      </c>
      <c r="AA26" s="5">
        <f t="shared" si="14"/>
        <v>1.41251583194828</v>
      </c>
      <c r="AB26" s="5">
        <f t="shared" si="15"/>
        <v>0.0935414297367646</v>
      </c>
      <c r="AC26" s="5"/>
      <c r="AD26" s="5">
        <f t="shared" si="16"/>
        <v>0.611107489733394</v>
      </c>
      <c r="AE26" s="216">
        <f t="shared" si="17"/>
        <v>2098.96296296296</v>
      </c>
      <c r="AF26" s="217">
        <f t="shared" si="18"/>
        <v>0.0175086462450593</v>
      </c>
      <c r="AH26" s="5">
        <f t="shared" si="19"/>
        <v>0.726636084983398</v>
      </c>
      <c r="AI26" s="5">
        <f t="shared" si="20"/>
        <v>0.84604690408419</v>
      </c>
      <c r="AJ26" s="5">
        <f t="shared" si="21"/>
        <v>1.60447918821051</v>
      </c>
      <c r="AL26" s="216">
        <f t="shared" si="22"/>
        <v>105</v>
      </c>
      <c r="AM26" s="220">
        <f t="shared" si="23"/>
        <v>286.860384526078</v>
      </c>
      <c r="AO26">
        <f t="shared" si="53"/>
        <v>105</v>
      </c>
      <c r="AP26" s="220">
        <f t="shared" si="24"/>
        <v>286.860384526078</v>
      </c>
      <c r="AQ26" s="220"/>
      <c r="AR26" s="192">
        <f t="shared" si="54"/>
        <v>3.48601638268073</v>
      </c>
      <c r="AS26" s="192">
        <f t="shared" si="25"/>
        <v>1.76259771684206</v>
      </c>
      <c r="AT26" s="192">
        <f t="shared" si="55"/>
        <v>1.72341866583866</v>
      </c>
      <c r="AU26" s="5">
        <f t="shared" si="56"/>
        <v>0.505619458818101</v>
      </c>
      <c r="AW26" s="192">
        <f t="shared" si="26"/>
        <v>20.1076373742966</v>
      </c>
      <c r="AX26" s="192">
        <f t="shared" si="27"/>
        <v>7.57020115805302</v>
      </c>
      <c r="AY26" s="192">
        <f t="shared" si="28"/>
        <v>14.3647440975709</v>
      </c>
      <c r="AZ26" s="192">
        <f t="shared" si="29"/>
        <v>3.33542607351438</v>
      </c>
      <c r="BA26" s="192">
        <f t="shared" si="30"/>
        <v>0.614366839211005</v>
      </c>
      <c r="BB26" s="220">
        <f t="shared" si="31"/>
        <v>4.3278677019327</v>
      </c>
      <c r="BC26" s="192"/>
      <c r="BD26" s="5">
        <f t="shared" si="57"/>
        <v>0.34733272449958</v>
      </c>
      <c r="BE26" s="5">
        <f t="shared" si="32"/>
        <v>0.187430453390646</v>
      </c>
      <c r="BF26" s="5">
        <f t="shared" si="33"/>
        <v>0.141922647834892</v>
      </c>
      <c r="BG26" s="5"/>
      <c r="BH26" s="217">
        <f t="shared" si="34"/>
        <v>0.0422240075279054</v>
      </c>
      <c r="BI26" s="217">
        <f t="shared" si="35"/>
        <v>0.02945472</v>
      </c>
      <c r="BJ26" s="217">
        <f t="shared" si="36"/>
        <v>0.00358575480657597</v>
      </c>
      <c r="BK26" s="217">
        <f t="shared" si="37"/>
        <v>0.00845045971050389</v>
      </c>
      <c r="BL26">
        <f t="shared" si="38"/>
        <v>0.00348</v>
      </c>
      <c r="BM26">
        <f t="shared" si="39"/>
        <v>5.02005672920636e-6</v>
      </c>
      <c r="BN26">
        <f t="shared" si="40"/>
        <v>0.107811353226908</v>
      </c>
      <c r="BO26" s="220">
        <f t="shared" si="58"/>
        <v>107.811353226908</v>
      </c>
      <c r="BP26" s="5">
        <f t="shared" si="41"/>
        <v>0.0916207274562855</v>
      </c>
      <c r="BQ26" s="5">
        <f t="shared" si="42"/>
        <v>0.0682442301928907</v>
      </c>
      <c r="BR26" s="217"/>
      <c r="BT26" s="220">
        <f t="shared" si="59"/>
        <v>159.864957649176</v>
      </c>
      <c r="BU26" s="217">
        <f t="shared" si="43"/>
        <v>0.00494624088184035</v>
      </c>
      <c r="BV26" s="217">
        <f t="shared" si="60"/>
        <v>0.00351301748582231</v>
      </c>
      <c r="BW26" s="217">
        <f t="shared" si="44"/>
        <v>0.00140994265779268</v>
      </c>
      <c r="BX26" s="217">
        <f t="shared" si="45"/>
        <v>0</v>
      </c>
      <c r="BY26" s="217">
        <f t="shared" si="46"/>
        <v>0.0136302589964135</v>
      </c>
      <c r="BZ26" s="217">
        <f t="shared" si="61"/>
        <v>0.00986920102545534</v>
      </c>
      <c r="CA26" s="225">
        <f t="shared" si="47"/>
        <v>0.00821333333333333</v>
      </c>
      <c r="CB26" s="220">
        <f t="shared" si="62"/>
        <v>21.8435923297469</v>
      </c>
      <c r="CC26" s="5">
        <f t="shared" si="63"/>
        <v>0.289519903205831</v>
      </c>
      <c r="CD26" s="192">
        <f t="shared" si="64"/>
        <v>2.31</v>
      </c>
      <c r="CE26" s="5">
        <f t="shared" si="65"/>
        <v>0.888625625505393</v>
      </c>
      <c r="CF26" s="192">
        <f t="shared" si="66"/>
        <v>88.8625625505393</v>
      </c>
      <c r="CG26">
        <f t="shared" si="67"/>
        <v>21</v>
      </c>
      <c r="CI26" s="227">
        <f t="shared" si="48"/>
        <v>-50</v>
      </c>
      <c r="CJ26">
        <f t="shared" si="49"/>
        <v>-50</v>
      </c>
    </row>
    <row r="27" spans="5:88">
      <c r="E27" s="22">
        <v>22</v>
      </c>
      <c r="F27" s="25">
        <f t="shared" si="68"/>
        <v>0.11</v>
      </c>
      <c r="G27" s="25">
        <f t="shared" si="50"/>
        <v>0.088</v>
      </c>
      <c r="H27" s="25">
        <f t="shared" si="0"/>
        <v>1.98</v>
      </c>
      <c r="I27" s="25">
        <f t="shared" si="69"/>
        <v>0.44</v>
      </c>
      <c r="J27" s="212">
        <f t="shared" si="1"/>
        <v>12</v>
      </c>
      <c r="K27" s="131">
        <f t="shared" si="2"/>
        <v>12.2728</v>
      </c>
      <c r="L27" s="131">
        <f t="shared" si="3"/>
        <v>24.2728</v>
      </c>
      <c r="M27" s="131"/>
      <c r="N27" s="25">
        <f t="shared" si="4"/>
        <v>0.505619458818101</v>
      </c>
      <c r="O27" s="27">
        <f t="shared" si="51"/>
        <v>3.3508780498036</v>
      </c>
      <c r="P27" s="27">
        <f t="shared" si="5"/>
        <v>0.744639566623021</v>
      </c>
      <c r="Q27" s="25">
        <f t="shared" si="6"/>
        <v>0.186159891655755</v>
      </c>
      <c r="R27" s="25">
        <f t="shared" si="7"/>
        <v>0.670175609960719</v>
      </c>
      <c r="S27" s="131">
        <f t="shared" si="8"/>
        <v>18</v>
      </c>
      <c r="T27" s="25">
        <f t="shared" si="9"/>
        <v>0.886334851897723</v>
      </c>
      <c r="U27" s="25">
        <f t="shared" si="10"/>
        <v>1.84653094145359</v>
      </c>
      <c r="V27" s="25">
        <f t="shared" si="11"/>
        <v>1.80548622135479</v>
      </c>
      <c r="W27" s="24">
        <f t="shared" si="12"/>
        <v>350</v>
      </c>
      <c r="X27" s="131">
        <f t="shared" si="52"/>
        <v>273.821276138529</v>
      </c>
      <c r="Z27" s="25">
        <f t="shared" si="13"/>
        <v>0.693420972093396</v>
      </c>
      <c r="AA27" s="5">
        <f t="shared" si="14"/>
        <v>1.41251583194828</v>
      </c>
      <c r="AB27" s="5">
        <f t="shared" si="15"/>
        <v>0.0935414297367646</v>
      </c>
      <c r="AC27" s="5"/>
      <c r="AD27" s="5">
        <f t="shared" si="16"/>
        <v>0.611107489733394</v>
      </c>
      <c r="AE27" s="216">
        <f t="shared" si="17"/>
        <v>2198.91358024691</v>
      </c>
      <c r="AF27" s="217">
        <f t="shared" si="18"/>
        <v>0.0175086462450593</v>
      </c>
      <c r="AH27" s="5">
        <f t="shared" si="19"/>
        <v>0.743735744161095</v>
      </c>
      <c r="AI27" s="5">
        <f t="shared" si="20"/>
        <v>0.886334851897723</v>
      </c>
      <c r="AJ27" s="5">
        <f t="shared" si="21"/>
        <v>1.63432211251683</v>
      </c>
      <c r="AL27" s="216">
        <f t="shared" si="22"/>
        <v>110</v>
      </c>
      <c r="AM27" s="220">
        <f t="shared" si="23"/>
        <v>273.821276138529</v>
      </c>
      <c r="AO27">
        <f t="shared" si="53"/>
        <v>110</v>
      </c>
      <c r="AP27" s="220">
        <f t="shared" si="24"/>
        <v>273.821276138529</v>
      </c>
      <c r="AQ27" s="220"/>
      <c r="AR27" s="192">
        <f t="shared" si="54"/>
        <v>3.65201716280838</v>
      </c>
      <c r="AS27" s="192">
        <f t="shared" si="25"/>
        <v>1.84653094145359</v>
      </c>
      <c r="AT27" s="192">
        <f t="shared" si="55"/>
        <v>1.80548622135479</v>
      </c>
      <c r="AU27" s="5">
        <f t="shared" si="56"/>
        <v>0.505619458818101</v>
      </c>
      <c r="AW27" s="192">
        <f t="shared" si="26"/>
        <v>20.1076373742966</v>
      </c>
      <c r="AX27" s="192">
        <f t="shared" si="27"/>
        <v>8.29262440022146</v>
      </c>
      <c r="AY27" s="192">
        <f t="shared" si="28"/>
        <v>14.3647440975709</v>
      </c>
      <c r="AZ27" s="192">
        <f t="shared" si="29"/>
        <v>3.65226807161215</v>
      </c>
      <c r="BA27" s="192">
        <f t="shared" si="30"/>
        <v>0.674271088839289</v>
      </c>
      <c r="BB27" s="220">
        <f t="shared" si="31"/>
        <v>4.71784875525796</v>
      </c>
      <c r="BC27" s="192"/>
      <c r="BD27" s="5">
        <f t="shared" si="57"/>
        <v>0.363872378047179</v>
      </c>
      <c r="BE27" s="5">
        <f t="shared" si="32"/>
        <v>0.196355713075915</v>
      </c>
      <c r="BF27" s="5">
        <f t="shared" si="33"/>
        <v>0.148680869160363</v>
      </c>
      <c r="BG27" s="5"/>
      <c r="BH27" s="217">
        <f t="shared" si="34"/>
        <v>0.0463410876269982</v>
      </c>
      <c r="BI27" s="217">
        <f t="shared" si="35"/>
        <v>0.02945472</v>
      </c>
      <c r="BJ27" s="217">
        <f t="shared" si="36"/>
        <v>0.00342276595173161</v>
      </c>
      <c r="BK27" s="217">
        <f t="shared" si="37"/>
        <v>0.00806634790548099</v>
      </c>
      <c r="BL27">
        <f t="shared" si="38"/>
        <v>0.00348</v>
      </c>
      <c r="BM27">
        <f t="shared" si="39"/>
        <v>4.79187233242425e-6</v>
      </c>
      <c r="BN27">
        <f t="shared" si="40"/>
        <v>0.113540164081841</v>
      </c>
      <c r="BO27" s="220">
        <f t="shared" si="58"/>
        <v>113.540164081841</v>
      </c>
      <c r="BP27" s="5">
        <f t="shared" si="41"/>
        <v>0.097095684441819</v>
      </c>
      <c r="BQ27" s="5">
        <f t="shared" si="42"/>
        <v>0.0721315628420841</v>
      </c>
      <c r="BR27" s="217"/>
      <c r="BT27" s="220">
        <f t="shared" si="59"/>
        <v>169.227247283903</v>
      </c>
      <c r="BU27" s="217">
        <f t="shared" si="43"/>
        <v>0.00542852740773408</v>
      </c>
      <c r="BV27" s="217">
        <f t="shared" si="60"/>
        <v>0.0038555566057551</v>
      </c>
      <c r="BW27" s="217">
        <f t="shared" si="44"/>
        <v>0.00154742005979968</v>
      </c>
      <c r="BX27" s="217">
        <f t="shared" si="45"/>
        <v>0</v>
      </c>
      <c r="BY27" s="217">
        <f t="shared" si="46"/>
        <v>0.0149604391457422</v>
      </c>
      <c r="BZ27" s="217">
        <f t="shared" si="61"/>
        <v>0.0108315040732889</v>
      </c>
      <c r="CA27" s="225">
        <f t="shared" si="47"/>
        <v>0.00860444444444445</v>
      </c>
      <c r="CB27" s="220">
        <f t="shared" si="62"/>
        <v>23.5648835901867</v>
      </c>
      <c r="CC27" s="5">
        <f t="shared" si="63"/>
        <v>0.306332294955931</v>
      </c>
      <c r="CD27" s="192">
        <f t="shared" si="64"/>
        <v>2.42</v>
      </c>
      <c r="CE27" s="5">
        <f t="shared" si="65"/>
        <v>0.887639413756465</v>
      </c>
      <c r="CF27" s="192">
        <f t="shared" si="66"/>
        <v>88.7639413756465</v>
      </c>
      <c r="CG27">
        <f t="shared" si="67"/>
        <v>22</v>
      </c>
      <c r="CI27" s="227">
        <f t="shared" si="48"/>
        <v>-50</v>
      </c>
      <c r="CJ27">
        <f t="shared" si="49"/>
        <v>-50</v>
      </c>
    </row>
    <row r="28" spans="5:88">
      <c r="E28" s="22">
        <v>23</v>
      </c>
      <c r="F28" s="25">
        <f t="shared" si="68"/>
        <v>0.115</v>
      </c>
      <c r="G28" s="25">
        <f t="shared" si="50"/>
        <v>0.092</v>
      </c>
      <c r="H28" s="25">
        <f t="shared" si="0"/>
        <v>2.07</v>
      </c>
      <c r="I28" s="25">
        <f t="shared" si="69"/>
        <v>0.46</v>
      </c>
      <c r="J28" s="212">
        <f t="shared" si="1"/>
        <v>12</v>
      </c>
      <c r="K28" s="131">
        <f t="shared" si="2"/>
        <v>12.2728</v>
      </c>
      <c r="L28" s="131">
        <f t="shared" si="3"/>
        <v>24.2728</v>
      </c>
      <c r="M28" s="131"/>
      <c r="N28" s="25">
        <f t="shared" si="4"/>
        <v>0.505619458818101</v>
      </c>
      <c r="O28" s="27">
        <f t="shared" si="51"/>
        <v>3.3508780498036</v>
      </c>
      <c r="P28" s="27">
        <f t="shared" si="5"/>
        <v>0.744639566623021</v>
      </c>
      <c r="Q28" s="25">
        <f t="shared" si="6"/>
        <v>0.186159891655755</v>
      </c>
      <c r="R28" s="25">
        <f t="shared" si="7"/>
        <v>0.670175609960719</v>
      </c>
      <c r="S28" s="131">
        <f t="shared" si="8"/>
        <v>18</v>
      </c>
      <c r="T28" s="25">
        <f t="shared" si="9"/>
        <v>0.926622799711256</v>
      </c>
      <c r="U28" s="25">
        <f t="shared" si="10"/>
        <v>1.93046416606512</v>
      </c>
      <c r="V28" s="25">
        <f t="shared" si="11"/>
        <v>1.88755377687092</v>
      </c>
      <c r="W28" s="24">
        <f t="shared" si="12"/>
        <v>350</v>
      </c>
      <c r="X28" s="131">
        <f t="shared" si="52"/>
        <v>261.916003262941</v>
      </c>
      <c r="Z28" s="25">
        <f t="shared" si="13"/>
        <v>0.693420972093396</v>
      </c>
      <c r="AA28" s="5">
        <f t="shared" si="14"/>
        <v>1.41251583194828</v>
      </c>
      <c r="AB28" s="5">
        <f t="shared" si="15"/>
        <v>0.0935414297367646</v>
      </c>
      <c r="AC28" s="5"/>
      <c r="AD28" s="5">
        <f t="shared" si="16"/>
        <v>0.611107489733394</v>
      </c>
      <c r="AE28" s="216">
        <f t="shared" si="17"/>
        <v>2298.86419753086</v>
      </c>
      <c r="AF28" s="217">
        <f t="shared" si="18"/>
        <v>0.0175086462450593</v>
      </c>
      <c r="AH28" s="5">
        <f t="shared" si="19"/>
        <v>0.760450994006658</v>
      </c>
      <c r="AI28" s="5">
        <f t="shared" si="20"/>
        <v>0.926622799711256</v>
      </c>
      <c r="AJ28" s="5">
        <f t="shared" si="21"/>
        <v>1.66416503682315</v>
      </c>
      <c r="AL28" s="216">
        <f t="shared" si="22"/>
        <v>115</v>
      </c>
      <c r="AM28" s="220">
        <f t="shared" si="23"/>
        <v>261.916003262941</v>
      </c>
      <c r="AO28">
        <f t="shared" si="53"/>
        <v>115</v>
      </c>
      <c r="AP28" s="220">
        <f t="shared" si="24"/>
        <v>261.916003262941</v>
      </c>
      <c r="AQ28" s="220"/>
      <c r="AR28" s="192">
        <f t="shared" si="54"/>
        <v>3.81801794293603</v>
      </c>
      <c r="AS28" s="192">
        <f t="shared" si="25"/>
        <v>1.93046416606512</v>
      </c>
      <c r="AT28" s="192">
        <f t="shared" si="55"/>
        <v>1.88755377687092</v>
      </c>
      <c r="AU28" s="5">
        <f t="shared" si="56"/>
        <v>0.505619458818101</v>
      </c>
      <c r="AW28" s="192">
        <f t="shared" si="26"/>
        <v>20.1076373742966</v>
      </c>
      <c r="AX28" s="192">
        <f t="shared" si="27"/>
        <v>9.04795104900238</v>
      </c>
      <c r="AY28" s="192">
        <f t="shared" si="28"/>
        <v>14.3647440975709</v>
      </c>
      <c r="AZ28" s="192">
        <f t="shared" si="29"/>
        <v>3.98347481380749</v>
      </c>
      <c r="BA28" s="192">
        <f t="shared" si="30"/>
        <v>0.73696158263633</v>
      </c>
      <c r="BB28" s="220">
        <f t="shared" si="31"/>
        <v>5.12454727359576</v>
      </c>
      <c r="BC28" s="192"/>
      <c r="BD28" s="5">
        <f t="shared" si="57"/>
        <v>0.380412031594778</v>
      </c>
      <c r="BE28" s="5">
        <f t="shared" si="32"/>
        <v>0.205280972761184</v>
      </c>
      <c r="BF28" s="5">
        <f t="shared" si="33"/>
        <v>0.155439090485835</v>
      </c>
      <c r="BG28" s="5"/>
      <c r="BH28" s="217">
        <f t="shared" si="34"/>
        <v>0.0506496598237233</v>
      </c>
      <c r="BI28" s="217">
        <f t="shared" si="35"/>
        <v>0.02945472</v>
      </c>
      <c r="BJ28" s="217">
        <f t="shared" si="36"/>
        <v>0.00327395004078676</v>
      </c>
      <c r="BK28" s="217">
        <f t="shared" si="37"/>
        <v>0.00771563712698181</v>
      </c>
      <c r="BL28">
        <f t="shared" si="38"/>
        <v>0.00348</v>
      </c>
      <c r="BM28">
        <f t="shared" si="39"/>
        <v>4.58353005710146e-6</v>
      </c>
      <c r="BN28">
        <f t="shared" si="40"/>
        <v>0.119639871929391</v>
      </c>
      <c r="BO28" s="220">
        <f t="shared" si="58"/>
        <v>119.639871929391</v>
      </c>
      <c r="BP28" s="5">
        <f t="shared" si="41"/>
        <v>0.102671738263889</v>
      </c>
      <c r="BQ28" s="5">
        <f t="shared" si="42"/>
        <v>0.0760768598005423</v>
      </c>
      <c r="BR28" s="217"/>
      <c r="BT28" s="220">
        <f t="shared" si="59"/>
        <v>178.748598064431</v>
      </c>
      <c r="BU28" s="217">
        <f t="shared" si="43"/>
        <v>0.00593324586506473</v>
      </c>
      <c r="BV28" s="217">
        <f t="shared" si="60"/>
        <v>0.00421402777777778</v>
      </c>
      <c r="BW28" s="217">
        <f t="shared" si="44"/>
        <v>0.00169129175957444</v>
      </c>
      <c r="BX28" s="217">
        <f t="shared" si="45"/>
        <v>0</v>
      </c>
      <c r="BY28" s="217">
        <f t="shared" si="46"/>
        <v>0.0163527076632697</v>
      </c>
      <c r="BZ28" s="217">
        <f t="shared" si="61"/>
        <v>0.011838565402417</v>
      </c>
      <c r="CA28" s="225">
        <f t="shared" si="47"/>
        <v>0.00899555555555556</v>
      </c>
      <c r="CB28" s="220">
        <f t="shared" si="62"/>
        <v>25.3482632188252</v>
      </c>
      <c r="CC28" s="5">
        <f t="shared" si="63"/>
        <v>0.323736733212647</v>
      </c>
      <c r="CD28" s="192">
        <f t="shared" si="64"/>
        <v>2.53</v>
      </c>
      <c r="CE28" s="5">
        <f t="shared" si="65"/>
        <v>0.886556902938908</v>
      </c>
      <c r="CF28" s="192">
        <f t="shared" si="66"/>
        <v>88.6556902938908</v>
      </c>
      <c r="CG28">
        <f t="shared" si="67"/>
        <v>23</v>
      </c>
      <c r="CI28" s="227">
        <f t="shared" si="48"/>
        <v>-50</v>
      </c>
      <c r="CJ28">
        <f t="shared" si="49"/>
        <v>-50</v>
      </c>
    </row>
    <row r="29" spans="5:88">
      <c r="E29" s="22">
        <v>24</v>
      </c>
      <c r="F29" s="25">
        <f t="shared" si="68"/>
        <v>0.12</v>
      </c>
      <c r="G29" s="25">
        <f t="shared" si="50"/>
        <v>0.096</v>
      </c>
      <c r="H29" s="25">
        <f t="shared" si="0"/>
        <v>2.16</v>
      </c>
      <c r="I29" s="25">
        <f t="shared" si="69"/>
        <v>0.48</v>
      </c>
      <c r="J29" s="212">
        <f t="shared" si="1"/>
        <v>12</v>
      </c>
      <c r="K29" s="131">
        <f t="shared" si="2"/>
        <v>12.2728</v>
      </c>
      <c r="L29" s="131">
        <f t="shared" si="3"/>
        <v>24.2728</v>
      </c>
      <c r="M29" s="131"/>
      <c r="N29" s="25">
        <f t="shared" si="4"/>
        <v>0.505619458818101</v>
      </c>
      <c r="O29" s="27">
        <f t="shared" si="51"/>
        <v>3.3508780498036</v>
      </c>
      <c r="P29" s="27">
        <f t="shared" si="5"/>
        <v>0.744639566623021</v>
      </c>
      <c r="Q29" s="25">
        <f t="shared" si="6"/>
        <v>0.186159891655755</v>
      </c>
      <c r="R29" s="25">
        <f t="shared" si="7"/>
        <v>0.670175609960719</v>
      </c>
      <c r="S29" s="131">
        <f t="shared" si="8"/>
        <v>18</v>
      </c>
      <c r="T29" s="25">
        <f t="shared" si="9"/>
        <v>0.966910747524788</v>
      </c>
      <c r="U29" s="25">
        <f t="shared" si="10"/>
        <v>2.01439739067664</v>
      </c>
      <c r="V29" s="25">
        <f t="shared" si="11"/>
        <v>1.96962133238704</v>
      </c>
      <c r="W29" s="24">
        <f t="shared" si="12"/>
        <v>350</v>
      </c>
      <c r="X29" s="131">
        <f t="shared" si="52"/>
        <v>251.002836460318</v>
      </c>
      <c r="Z29" s="25">
        <f t="shared" si="13"/>
        <v>0.693420972093396</v>
      </c>
      <c r="AA29" s="5">
        <f t="shared" si="14"/>
        <v>1.41251583194828</v>
      </c>
      <c r="AB29" s="5">
        <f t="shared" si="15"/>
        <v>0.0935414297367646</v>
      </c>
      <c r="AC29" s="5"/>
      <c r="AD29" s="5">
        <f t="shared" si="16"/>
        <v>0.611107489733394</v>
      </c>
      <c r="AE29" s="216">
        <f t="shared" si="17"/>
        <v>2398.81481481482</v>
      </c>
      <c r="AF29" s="217">
        <f t="shared" si="18"/>
        <v>0.0175086462450593</v>
      </c>
      <c r="AH29" s="5">
        <f t="shared" si="19"/>
        <v>0.77680664996418</v>
      </c>
      <c r="AI29" s="5">
        <f t="shared" si="20"/>
        <v>0.966910747524788</v>
      </c>
      <c r="AJ29" s="5">
        <f t="shared" si="21"/>
        <v>1.69400796112947</v>
      </c>
      <c r="AL29" s="216">
        <f t="shared" si="22"/>
        <v>120</v>
      </c>
      <c r="AM29" s="220">
        <f t="shared" si="23"/>
        <v>251.002836460318</v>
      </c>
      <c r="AO29">
        <f t="shared" si="53"/>
        <v>120</v>
      </c>
      <c r="AP29" s="220">
        <f t="shared" si="24"/>
        <v>251.002836460318</v>
      </c>
      <c r="AQ29" s="220"/>
      <c r="AR29" s="192">
        <f t="shared" si="54"/>
        <v>3.98401872306368</v>
      </c>
      <c r="AS29" s="192">
        <f t="shared" si="25"/>
        <v>2.01439739067664</v>
      </c>
      <c r="AT29" s="192">
        <f t="shared" si="55"/>
        <v>1.96962133238704</v>
      </c>
      <c r="AU29" s="5">
        <f t="shared" si="56"/>
        <v>0.505619458818101</v>
      </c>
      <c r="AW29" s="192">
        <f t="shared" si="26"/>
        <v>20.1076373742966</v>
      </c>
      <c r="AX29" s="192">
        <f t="shared" si="27"/>
        <v>9.83618110439579</v>
      </c>
      <c r="AY29" s="192">
        <f t="shared" si="28"/>
        <v>14.3647440975709</v>
      </c>
      <c r="AZ29" s="192">
        <f t="shared" si="29"/>
        <v>4.32904630010041</v>
      </c>
      <c r="BA29" s="192">
        <f t="shared" si="30"/>
        <v>0.802438320602129</v>
      </c>
      <c r="BB29" s="220">
        <f t="shared" si="31"/>
        <v>5.54796325694611</v>
      </c>
      <c r="BC29" s="192"/>
      <c r="BD29" s="5">
        <f t="shared" si="57"/>
        <v>0.396951685142377</v>
      </c>
      <c r="BE29" s="5">
        <f t="shared" si="32"/>
        <v>0.214206232446452</v>
      </c>
      <c r="BF29" s="5">
        <f t="shared" si="33"/>
        <v>0.162197311811305</v>
      </c>
      <c r="BG29" s="5"/>
      <c r="BH29" s="217">
        <f t="shared" si="34"/>
        <v>0.0551497241180805</v>
      </c>
      <c r="BI29" s="217">
        <f t="shared" si="35"/>
        <v>0.02945472</v>
      </c>
      <c r="BJ29" s="217">
        <f t="shared" si="36"/>
        <v>0.00313753545575398</v>
      </c>
      <c r="BK29" s="217">
        <f t="shared" si="37"/>
        <v>0.00739415224669091</v>
      </c>
      <c r="BL29">
        <f t="shared" si="38"/>
        <v>0.00348</v>
      </c>
      <c r="BM29">
        <f t="shared" si="39"/>
        <v>4.39254963805557e-6</v>
      </c>
      <c r="BN29">
        <f t="shared" si="40"/>
        <v>0.126109154281035</v>
      </c>
      <c r="BO29" s="220">
        <f t="shared" si="58"/>
        <v>126.109154281035</v>
      </c>
      <c r="BP29" s="5">
        <f t="shared" si="41"/>
        <v>0.108348888922495</v>
      </c>
      <c r="BQ29" s="5">
        <f t="shared" si="42"/>
        <v>0.0800801210682653</v>
      </c>
      <c r="BR29" s="217"/>
      <c r="BT29" s="220">
        <f t="shared" si="59"/>
        <v>188.429009990761</v>
      </c>
      <c r="BU29" s="217">
        <f t="shared" si="43"/>
        <v>0.00646039625383228</v>
      </c>
      <c r="BV29" s="217">
        <f t="shared" si="60"/>
        <v>0.00458843100189036</v>
      </c>
      <c r="BW29" s="217">
        <f t="shared" si="44"/>
        <v>0.00184155775711697</v>
      </c>
      <c r="BX29" s="217">
        <f t="shared" si="45"/>
        <v>0</v>
      </c>
      <c r="BY29" s="217">
        <f t="shared" si="46"/>
        <v>0.0178070945420873</v>
      </c>
      <c r="BZ29" s="217">
        <f t="shared" si="61"/>
        <v>0.0128903850128396</v>
      </c>
      <c r="CA29" s="225">
        <f t="shared" si="47"/>
        <v>0.00938666666666666</v>
      </c>
      <c r="CB29" s="220">
        <f t="shared" si="62"/>
        <v>27.1937612087539</v>
      </c>
      <c r="CC29" s="5">
        <f t="shared" si="63"/>
        <v>0.341731925480549</v>
      </c>
      <c r="CD29" s="192">
        <f t="shared" si="64"/>
        <v>2.64</v>
      </c>
      <c r="CE29" s="5">
        <f t="shared" si="65"/>
        <v>0.885391465758454</v>
      </c>
      <c r="CF29" s="192">
        <f t="shared" si="66"/>
        <v>88.5391465758454</v>
      </c>
      <c r="CG29">
        <f t="shared" si="67"/>
        <v>24</v>
      </c>
      <c r="CI29" s="227">
        <f t="shared" si="48"/>
        <v>-50</v>
      </c>
      <c r="CJ29">
        <f t="shared" si="49"/>
        <v>-50</v>
      </c>
    </row>
    <row r="30" spans="5:88">
      <c r="E30" s="22">
        <v>25</v>
      </c>
      <c r="F30" s="25">
        <f t="shared" si="68"/>
        <v>0.125</v>
      </c>
      <c r="G30" s="25">
        <f t="shared" si="50"/>
        <v>0.1</v>
      </c>
      <c r="H30" s="25">
        <f t="shared" si="0"/>
        <v>2.25</v>
      </c>
      <c r="I30" s="25">
        <f t="shared" si="69"/>
        <v>0.5</v>
      </c>
      <c r="J30" s="212">
        <f t="shared" si="1"/>
        <v>12</v>
      </c>
      <c r="K30" s="131">
        <f t="shared" si="2"/>
        <v>12.2728</v>
      </c>
      <c r="L30" s="131">
        <f t="shared" si="3"/>
        <v>24.2728</v>
      </c>
      <c r="M30" s="131"/>
      <c r="N30" s="25">
        <f t="shared" si="4"/>
        <v>0.505619458818101</v>
      </c>
      <c r="O30" s="27">
        <f t="shared" si="51"/>
        <v>3.3508780498036</v>
      </c>
      <c r="P30" s="27">
        <f t="shared" si="5"/>
        <v>0.744639566623021</v>
      </c>
      <c r="Q30" s="25">
        <f t="shared" si="6"/>
        <v>0.186159891655755</v>
      </c>
      <c r="R30" s="25">
        <f t="shared" si="7"/>
        <v>0.670175609960719</v>
      </c>
      <c r="S30" s="131">
        <f t="shared" si="8"/>
        <v>18</v>
      </c>
      <c r="T30" s="25">
        <f t="shared" si="9"/>
        <v>1.00719869533832</v>
      </c>
      <c r="U30" s="25">
        <f t="shared" si="10"/>
        <v>2.09833061528817</v>
      </c>
      <c r="V30" s="25">
        <f t="shared" si="11"/>
        <v>2.05168888790317</v>
      </c>
      <c r="W30" s="24">
        <f t="shared" si="12"/>
        <v>350</v>
      </c>
      <c r="X30" s="131">
        <f t="shared" si="52"/>
        <v>240.962723001906</v>
      </c>
      <c r="Z30" s="25">
        <f t="shared" si="13"/>
        <v>0.693420972093396</v>
      </c>
      <c r="AA30" s="5">
        <f t="shared" si="14"/>
        <v>1.41251583194828</v>
      </c>
      <c r="AB30" s="5">
        <f t="shared" si="15"/>
        <v>0.0935414297367646</v>
      </c>
      <c r="AC30" s="5"/>
      <c r="AD30" s="5">
        <f t="shared" si="16"/>
        <v>0.611107489733394</v>
      </c>
      <c r="AE30" s="216">
        <f t="shared" si="17"/>
        <v>2498.76543209877</v>
      </c>
      <c r="AF30" s="217">
        <f t="shared" si="18"/>
        <v>0.0175086462450593</v>
      </c>
      <c r="AH30" s="5">
        <f t="shared" si="19"/>
        <v>0.792824967172092</v>
      </c>
      <c r="AI30" s="5">
        <f t="shared" si="20"/>
        <v>1.00719869533832</v>
      </c>
      <c r="AJ30" s="5">
        <f t="shared" si="21"/>
        <v>1.72385088543579</v>
      </c>
      <c r="AL30" s="216">
        <f t="shared" si="22"/>
        <v>125</v>
      </c>
      <c r="AM30" s="220">
        <f t="shared" si="23"/>
        <v>240.962723001906</v>
      </c>
      <c r="AO30">
        <f t="shared" si="53"/>
        <v>125</v>
      </c>
      <c r="AP30" s="220">
        <f t="shared" si="24"/>
        <v>240.962723001906</v>
      </c>
      <c r="AQ30" s="220"/>
      <c r="AR30" s="192">
        <f t="shared" si="54"/>
        <v>4.15001950319134</v>
      </c>
      <c r="AS30" s="192">
        <f t="shared" si="25"/>
        <v>2.09833061528817</v>
      </c>
      <c r="AT30" s="192">
        <f t="shared" si="55"/>
        <v>2.05168888790317</v>
      </c>
      <c r="AU30" s="5">
        <f t="shared" si="56"/>
        <v>0.505619458818101</v>
      </c>
      <c r="AW30" s="192">
        <f t="shared" si="26"/>
        <v>20.1076373742966</v>
      </c>
      <c r="AX30" s="192">
        <f t="shared" si="27"/>
        <v>10.6573145664017</v>
      </c>
      <c r="AY30" s="192">
        <f t="shared" si="28"/>
        <v>14.3647440975709</v>
      </c>
      <c r="AZ30" s="192">
        <f t="shared" si="29"/>
        <v>4.6889825304909</v>
      </c>
      <c r="BA30" s="192">
        <f t="shared" si="30"/>
        <v>0.870701302736684</v>
      </c>
      <c r="BB30" s="220">
        <f t="shared" si="31"/>
        <v>5.98809670530899</v>
      </c>
      <c r="BC30" s="192"/>
      <c r="BD30" s="5">
        <f t="shared" si="57"/>
        <v>0.413491338689976</v>
      </c>
      <c r="BE30" s="5">
        <f t="shared" si="32"/>
        <v>0.223131492131721</v>
      </c>
      <c r="BF30" s="5">
        <f t="shared" si="33"/>
        <v>0.168955533136776</v>
      </c>
      <c r="BG30" s="5"/>
      <c r="BH30" s="217">
        <f t="shared" si="34"/>
        <v>0.0598412805100699</v>
      </c>
      <c r="BI30" s="217">
        <f t="shared" si="35"/>
        <v>0.02945472</v>
      </c>
      <c r="BJ30" s="217">
        <f t="shared" si="36"/>
        <v>0.00301203403752382</v>
      </c>
      <c r="BK30" s="217">
        <f t="shared" si="37"/>
        <v>0.00709838615682328</v>
      </c>
      <c r="BL30">
        <f t="shared" si="38"/>
        <v>0.00348</v>
      </c>
      <c r="BM30">
        <f t="shared" si="39"/>
        <v>4.21684765253335e-6</v>
      </c>
      <c r="BN30">
        <f t="shared" si="40"/>
        <v>0.132947907290149</v>
      </c>
      <c r="BO30" s="220">
        <f t="shared" si="58"/>
        <v>132.947907290149</v>
      </c>
      <c r="BP30" s="5">
        <f t="shared" si="41"/>
        <v>0.114127136417638</v>
      </c>
      <c r="BQ30" s="5">
        <f t="shared" si="42"/>
        <v>0.0841413466452531</v>
      </c>
      <c r="BR30" s="217"/>
      <c r="BT30" s="220">
        <f t="shared" si="59"/>
        <v>198.268483062891</v>
      </c>
      <c r="BU30" s="217">
        <f t="shared" si="43"/>
        <v>0.00700997857403676</v>
      </c>
      <c r="BV30" s="217">
        <f t="shared" si="60"/>
        <v>0.00497876627809283</v>
      </c>
      <c r="BW30" s="217">
        <f t="shared" si="44"/>
        <v>0.00199821805242726</v>
      </c>
      <c r="BX30" s="217">
        <f t="shared" si="45"/>
        <v>0</v>
      </c>
      <c r="BY30" s="217">
        <f t="shared" si="46"/>
        <v>0.0193236311212224</v>
      </c>
      <c r="BZ30" s="217">
        <f t="shared" si="61"/>
        <v>0.0139869629045568</v>
      </c>
      <c r="CA30" s="225">
        <f t="shared" si="47"/>
        <v>0.00977777777777777</v>
      </c>
      <c r="CB30" s="220">
        <f t="shared" si="62"/>
        <v>29.1014088990001</v>
      </c>
      <c r="CC30" s="5">
        <f t="shared" si="63"/>
        <v>0.36031779925204</v>
      </c>
      <c r="CD30" s="192">
        <f t="shared" si="64"/>
        <v>2.75</v>
      </c>
      <c r="CE30" s="5">
        <f t="shared" si="65"/>
        <v>0.884154024602024</v>
      </c>
      <c r="CF30" s="192">
        <f t="shared" si="66"/>
        <v>88.4154024602024</v>
      </c>
      <c r="CG30">
        <f t="shared" si="67"/>
        <v>25</v>
      </c>
      <c r="CI30" s="227">
        <f t="shared" si="48"/>
        <v>-50</v>
      </c>
      <c r="CJ30">
        <f t="shared" si="49"/>
        <v>-50</v>
      </c>
    </row>
    <row r="31" spans="5:88">
      <c r="E31" s="22">
        <v>26</v>
      </c>
      <c r="F31" s="25">
        <f t="shared" si="68"/>
        <v>0.13</v>
      </c>
      <c r="G31" s="25">
        <f t="shared" si="50"/>
        <v>0.104</v>
      </c>
      <c r="H31" s="25">
        <f t="shared" si="0"/>
        <v>2.34</v>
      </c>
      <c r="I31" s="25">
        <f t="shared" si="69"/>
        <v>0.52</v>
      </c>
      <c r="J31" s="212">
        <f t="shared" si="1"/>
        <v>12</v>
      </c>
      <c r="K31" s="131">
        <f t="shared" si="2"/>
        <v>12.2728</v>
      </c>
      <c r="L31" s="131">
        <f t="shared" si="3"/>
        <v>24.2728</v>
      </c>
      <c r="M31" s="131"/>
      <c r="N31" s="25">
        <f t="shared" si="4"/>
        <v>0.505619458818101</v>
      </c>
      <c r="O31" s="27">
        <f t="shared" si="51"/>
        <v>3.3508780498036</v>
      </c>
      <c r="P31" s="27">
        <f t="shared" si="5"/>
        <v>0.744639566623021</v>
      </c>
      <c r="Q31" s="25">
        <f t="shared" si="6"/>
        <v>0.186159891655755</v>
      </c>
      <c r="R31" s="25">
        <f t="shared" si="7"/>
        <v>0.670175609960719</v>
      </c>
      <c r="S31" s="131">
        <f t="shared" si="8"/>
        <v>18</v>
      </c>
      <c r="T31" s="25">
        <f t="shared" si="9"/>
        <v>1.04748664315185</v>
      </c>
      <c r="U31" s="25">
        <f t="shared" si="10"/>
        <v>2.18226383989969</v>
      </c>
      <c r="V31" s="25">
        <f t="shared" si="11"/>
        <v>2.13375644341929</v>
      </c>
      <c r="W31" s="24">
        <f t="shared" si="12"/>
        <v>350</v>
      </c>
      <c r="X31" s="131">
        <f t="shared" si="52"/>
        <v>231.694925963372</v>
      </c>
      <c r="Z31" s="25">
        <f t="shared" si="13"/>
        <v>0.693420972093396</v>
      </c>
      <c r="AA31" s="5">
        <f t="shared" si="14"/>
        <v>1.41251583194828</v>
      </c>
      <c r="AB31" s="5">
        <f t="shared" si="15"/>
        <v>0.0935414297367646</v>
      </c>
      <c r="AC31" s="5"/>
      <c r="AD31" s="5">
        <f t="shared" si="16"/>
        <v>0.611107489733394</v>
      </c>
      <c r="AE31" s="216">
        <f t="shared" si="17"/>
        <v>2598.71604938272</v>
      </c>
      <c r="AF31" s="217">
        <f t="shared" si="18"/>
        <v>0.0175086462450593</v>
      </c>
      <c r="AH31" s="5">
        <f t="shared" si="19"/>
        <v>0.808525995694811</v>
      </c>
      <c r="AI31" s="5">
        <f t="shared" si="20"/>
        <v>1.04748664315185</v>
      </c>
      <c r="AJ31" s="5">
        <f t="shared" si="21"/>
        <v>1.75369380974211</v>
      </c>
      <c r="AL31" s="216">
        <f t="shared" si="22"/>
        <v>130</v>
      </c>
      <c r="AM31" s="220">
        <f t="shared" si="23"/>
        <v>231.694925963372</v>
      </c>
      <c r="AO31">
        <f t="shared" si="53"/>
        <v>130</v>
      </c>
      <c r="AP31" s="220">
        <f t="shared" si="24"/>
        <v>231.694925963372</v>
      </c>
      <c r="AQ31" s="220"/>
      <c r="AR31" s="192">
        <f t="shared" si="54"/>
        <v>4.31602028331898</v>
      </c>
      <c r="AS31" s="192">
        <f t="shared" si="25"/>
        <v>2.18226383989969</v>
      </c>
      <c r="AT31" s="192">
        <f t="shared" si="55"/>
        <v>2.13375644341929</v>
      </c>
      <c r="AU31" s="5">
        <f t="shared" si="56"/>
        <v>0.505619458818101</v>
      </c>
      <c r="AW31" s="192">
        <f t="shared" si="26"/>
        <v>20.1076373742966</v>
      </c>
      <c r="AX31" s="192">
        <f t="shared" si="27"/>
        <v>11.5113514350201</v>
      </c>
      <c r="AY31" s="192">
        <f t="shared" si="28"/>
        <v>14.3647440975709</v>
      </c>
      <c r="AZ31" s="192">
        <f t="shared" si="29"/>
        <v>5.06328350497895</v>
      </c>
      <c r="BA31" s="192">
        <f t="shared" si="30"/>
        <v>0.941750529039995</v>
      </c>
      <c r="BB31" s="220">
        <f t="shared" si="31"/>
        <v>6.44494761868441</v>
      </c>
      <c r="BC31" s="192"/>
      <c r="BD31" s="5">
        <f t="shared" si="57"/>
        <v>0.430030992237574</v>
      </c>
      <c r="BE31" s="5">
        <f t="shared" si="32"/>
        <v>0.232056751816989</v>
      </c>
      <c r="BF31" s="5">
        <f t="shared" si="33"/>
        <v>0.175713754462247</v>
      </c>
      <c r="BG31" s="5"/>
      <c r="BH31" s="217">
        <f t="shared" si="34"/>
        <v>0.0647243289996912</v>
      </c>
      <c r="BI31" s="217">
        <f t="shared" si="35"/>
        <v>0.02945472</v>
      </c>
      <c r="BJ31" s="217">
        <f t="shared" si="36"/>
        <v>0.00289618657454214</v>
      </c>
      <c r="BK31" s="217">
        <f t="shared" si="37"/>
        <v>0.00682537130463779</v>
      </c>
      <c r="BL31">
        <f t="shared" si="38"/>
        <v>0.00348</v>
      </c>
      <c r="BM31">
        <f t="shared" si="39"/>
        <v>4.054661204359e-6</v>
      </c>
      <c r="BN31">
        <f t="shared" si="40"/>
        <v>0.1401570716729</v>
      </c>
      <c r="BO31" s="220">
        <f t="shared" si="58"/>
        <v>140.1570716729</v>
      </c>
      <c r="BP31" s="5">
        <f t="shared" si="41"/>
        <v>0.120006480749317</v>
      </c>
      <c r="BQ31" s="5">
        <f t="shared" si="42"/>
        <v>0.0882605365315057</v>
      </c>
      <c r="BR31" s="217"/>
      <c r="BT31" s="220">
        <f t="shared" si="59"/>
        <v>208.267017280823</v>
      </c>
      <c r="BU31" s="217">
        <f t="shared" si="43"/>
        <v>0.00758199282567811</v>
      </c>
      <c r="BV31" s="217">
        <f t="shared" si="60"/>
        <v>0.00538503360638517</v>
      </c>
      <c r="BW31" s="217">
        <f t="shared" si="44"/>
        <v>0.00216127264550532</v>
      </c>
      <c r="BX31" s="217">
        <f t="shared" si="45"/>
        <v>0</v>
      </c>
      <c r="BY31" s="217">
        <f t="shared" si="46"/>
        <v>0.0209023500873283</v>
      </c>
      <c r="BZ31" s="217">
        <f t="shared" si="61"/>
        <v>0.0151282990775686</v>
      </c>
      <c r="CA31" s="225">
        <f t="shared" si="47"/>
        <v>0.0101688888888888</v>
      </c>
      <c r="CB31" s="220">
        <f t="shared" si="62"/>
        <v>31.0712389762171</v>
      </c>
      <c r="CC31" s="5">
        <f t="shared" si="63"/>
        <v>0.37949532792994</v>
      </c>
      <c r="CD31" s="192">
        <f t="shared" si="64"/>
        <v>2.86</v>
      </c>
      <c r="CE31" s="5">
        <f t="shared" si="65"/>
        <v>0.882853565288998</v>
      </c>
      <c r="CF31" s="192">
        <f t="shared" si="66"/>
        <v>88.2853565288998</v>
      </c>
      <c r="CG31">
        <f t="shared" si="67"/>
        <v>26</v>
      </c>
      <c r="CI31" s="227">
        <f t="shared" si="48"/>
        <v>-50</v>
      </c>
      <c r="CJ31">
        <f t="shared" si="49"/>
        <v>-50</v>
      </c>
    </row>
    <row r="32" spans="5:88">
      <c r="E32" s="22">
        <v>27</v>
      </c>
      <c r="F32" s="25">
        <f t="shared" si="68"/>
        <v>0.135</v>
      </c>
      <c r="G32" s="25">
        <f t="shared" si="50"/>
        <v>0.108</v>
      </c>
      <c r="H32" s="25">
        <f t="shared" si="0"/>
        <v>2.43</v>
      </c>
      <c r="I32" s="25">
        <f t="shared" si="69"/>
        <v>0.54</v>
      </c>
      <c r="J32" s="212">
        <f t="shared" si="1"/>
        <v>12</v>
      </c>
      <c r="K32" s="131">
        <f t="shared" si="2"/>
        <v>12.2728</v>
      </c>
      <c r="L32" s="131">
        <f t="shared" si="3"/>
        <v>24.2728</v>
      </c>
      <c r="M32" s="131"/>
      <c r="N32" s="25">
        <f t="shared" si="4"/>
        <v>0.505619458818101</v>
      </c>
      <c r="O32" s="27">
        <f t="shared" si="51"/>
        <v>3.3508780498036</v>
      </c>
      <c r="P32" s="27">
        <f t="shared" si="5"/>
        <v>0.744639566623021</v>
      </c>
      <c r="Q32" s="25">
        <f t="shared" si="6"/>
        <v>0.186159891655755</v>
      </c>
      <c r="R32" s="25">
        <f t="shared" si="7"/>
        <v>0.670175609960719</v>
      </c>
      <c r="S32" s="131">
        <f t="shared" si="8"/>
        <v>18</v>
      </c>
      <c r="T32" s="25">
        <f t="shared" si="9"/>
        <v>1.08777459096539</v>
      </c>
      <c r="U32" s="25">
        <f t="shared" si="10"/>
        <v>2.26619706451123</v>
      </c>
      <c r="V32" s="25">
        <f t="shared" si="11"/>
        <v>2.21582399893543</v>
      </c>
      <c r="W32" s="24">
        <f t="shared" si="12"/>
        <v>350</v>
      </c>
      <c r="X32" s="131">
        <f t="shared" si="52"/>
        <v>223.113632409171</v>
      </c>
      <c r="Z32" s="25">
        <f t="shared" si="13"/>
        <v>0.693420972093396</v>
      </c>
      <c r="AA32" s="5">
        <f t="shared" si="14"/>
        <v>1.41251583194828</v>
      </c>
      <c r="AB32" s="5">
        <f t="shared" si="15"/>
        <v>0.0935414297367646</v>
      </c>
      <c r="AC32" s="5"/>
      <c r="AD32" s="5">
        <f t="shared" si="16"/>
        <v>0.611107489733394</v>
      </c>
      <c r="AE32" s="216">
        <f t="shared" si="17"/>
        <v>2698.66666666667</v>
      </c>
      <c r="AF32" s="217">
        <f t="shared" si="18"/>
        <v>0.0175086462450593</v>
      </c>
      <c r="AH32" s="5">
        <f t="shared" si="19"/>
        <v>0.823927874790714</v>
      </c>
      <c r="AI32" s="5">
        <f t="shared" si="20"/>
        <v>1.08777459096539</v>
      </c>
      <c r="AJ32" s="5">
        <f t="shared" si="21"/>
        <v>1.78353673404844</v>
      </c>
      <c r="AL32" s="216">
        <f t="shared" si="22"/>
        <v>135</v>
      </c>
      <c r="AM32" s="220">
        <f t="shared" si="23"/>
        <v>223.113632409171</v>
      </c>
      <c r="AO32">
        <f t="shared" si="53"/>
        <v>135</v>
      </c>
      <c r="AP32" s="220">
        <f t="shared" si="24"/>
        <v>223.113632409171</v>
      </c>
      <c r="AQ32" s="220"/>
      <c r="AR32" s="192">
        <f t="shared" si="54"/>
        <v>4.48202106344666</v>
      </c>
      <c r="AS32" s="192">
        <f t="shared" si="25"/>
        <v>2.26619706451123</v>
      </c>
      <c r="AT32" s="192">
        <f t="shared" si="55"/>
        <v>2.21582399893543</v>
      </c>
      <c r="AU32" s="5">
        <f t="shared" si="56"/>
        <v>0.505619458818101</v>
      </c>
      <c r="AW32" s="192">
        <f t="shared" si="26"/>
        <v>20.1076373742966</v>
      </c>
      <c r="AX32" s="192">
        <f t="shared" si="27"/>
        <v>12.3982917102509</v>
      </c>
      <c r="AY32" s="192">
        <f t="shared" si="28"/>
        <v>14.3647440975709</v>
      </c>
      <c r="AZ32" s="192">
        <f t="shared" si="29"/>
        <v>5.45194922356458</v>
      </c>
      <c r="BA32" s="192">
        <f t="shared" si="30"/>
        <v>1.01558599951207</v>
      </c>
      <c r="BB32" s="220">
        <f t="shared" si="31"/>
        <v>6.91851599707243</v>
      </c>
      <c r="BC32" s="192"/>
      <c r="BD32" s="5">
        <f t="shared" si="57"/>
        <v>0.446570645785176</v>
      </c>
      <c r="BE32" s="5">
        <f t="shared" si="32"/>
        <v>0.24098201150226</v>
      </c>
      <c r="BF32" s="5">
        <f t="shared" si="33"/>
        <v>0.182471975787719</v>
      </c>
      <c r="BG32" s="5"/>
      <c r="BH32" s="217">
        <f t="shared" si="34"/>
        <v>0.0697988695869461</v>
      </c>
      <c r="BI32" s="217">
        <f t="shared" si="35"/>
        <v>0.02945472</v>
      </c>
      <c r="BJ32" s="217">
        <f t="shared" si="36"/>
        <v>0.00278892040511464</v>
      </c>
      <c r="BK32" s="217">
        <f t="shared" si="37"/>
        <v>0.00657257977483635</v>
      </c>
      <c r="BL32">
        <f t="shared" si="38"/>
        <v>0.00348</v>
      </c>
      <c r="BM32">
        <f t="shared" si="39"/>
        <v>3.90448856716049e-6</v>
      </c>
      <c r="BN32">
        <f t="shared" si="40"/>
        <v>0.147738499916235</v>
      </c>
      <c r="BO32" s="220">
        <f t="shared" si="58"/>
        <v>147.738499916235</v>
      </c>
      <c r="BP32" s="5">
        <f t="shared" si="41"/>
        <v>0.125986921917533</v>
      </c>
      <c r="BQ32" s="5">
        <f t="shared" si="42"/>
        <v>0.0924376907270234</v>
      </c>
      <c r="BR32" s="217"/>
      <c r="BT32" s="220">
        <f t="shared" si="59"/>
        <v>218.424612644557</v>
      </c>
      <c r="BU32" s="217">
        <f t="shared" si="43"/>
        <v>0.00817643900875654</v>
      </c>
      <c r="BV32" s="217">
        <f t="shared" si="60"/>
        <v>0.00580723298676752</v>
      </c>
      <c r="BW32" s="217">
        <f t="shared" si="44"/>
        <v>0.00233072153635118</v>
      </c>
      <c r="BX32" s="217">
        <f t="shared" si="45"/>
        <v>0</v>
      </c>
      <c r="BY32" s="217">
        <f t="shared" si="46"/>
        <v>0.022543285476449</v>
      </c>
      <c r="BZ32" s="217">
        <f t="shared" si="61"/>
        <v>0.0163143935318752</v>
      </c>
      <c r="CA32" s="225">
        <f t="shared" si="47"/>
        <v>0.01056</v>
      </c>
      <c r="CB32" s="220">
        <f t="shared" si="62"/>
        <v>33.103285476449</v>
      </c>
      <c r="CC32" s="5">
        <f t="shared" si="63"/>
        <v>0.399266398037241</v>
      </c>
      <c r="CD32" s="192">
        <f t="shared" si="64"/>
        <v>2.97</v>
      </c>
      <c r="CE32" s="5">
        <f t="shared" si="65"/>
        <v>0.881497527690351</v>
      </c>
      <c r="CF32" s="192">
        <f t="shared" si="66"/>
        <v>88.1497527690351</v>
      </c>
      <c r="CG32">
        <f t="shared" si="67"/>
        <v>27</v>
      </c>
      <c r="CI32" s="227">
        <f t="shared" si="48"/>
        <v>-50</v>
      </c>
      <c r="CJ32">
        <f t="shared" si="49"/>
        <v>-50</v>
      </c>
    </row>
    <row r="33" spans="5:88">
      <c r="E33" s="22">
        <v>28</v>
      </c>
      <c r="F33" s="25">
        <f t="shared" si="68"/>
        <v>0.14</v>
      </c>
      <c r="G33" s="25">
        <f t="shared" si="50"/>
        <v>0.112</v>
      </c>
      <c r="H33" s="25">
        <f t="shared" si="0"/>
        <v>2.52</v>
      </c>
      <c r="I33" s="25">
        <f t="shared" si="69"/>
        <v>0.56</v>
      </c>
      <c r="J33" s="212">
        <f t="shared" si="1"/>
        <v>12</v>
      </c>
      <c r="K33" s="131">
        <f t="shared" si="2"/>
        <v>12.2728</v>
      </c>
      <c r="L33" s="131">
        <f t="shared" si="3"/>
        <v>24.2728</v>
      </c>
      <c r="M33" s="131"/>
      <c r="N33" s="25">
        <f t="shared" si="4"/>
        <v>0.505619458818101</v>
      </c>
      <c r="O33" s="27">
        <f t="shared" si="51"/>
        <v>3.3508780498036</v>
      </c>
      <c r="P33" s="27">
        <f t="shared" si="5"/>
        <v>0.744639566623021</v>
      </c>
      <c r="Q33" s="25">
        <f t="shared" si="6"/>
        <v>0.186159891655755</v>
      </c>
      <c r="R33" s="25">
        <f t="shared" si="7"/>
        <v>0.670175609960719</v>
      </c>
      <c r="S33" s="131">
        <f t="shared" si="8"/>
        <v>18</v>
      </c>
      <c r="T33" s="25">
        <f t="shared" si="9"/>
        <v>1.12806253877892</v>
      </c>
      <c r="U33" s="25">
        <f t="shared" si="10"/>
        <v>2.35013028912275</v>
      </c>
      <c r="V33" s="25">
        <f t="shared" si="11"/>
        <v>2.29789155445155</v>
      </c>
      <c r="W33" s="24">
        <f t="shared" si="12"/>
        <v>350</v>
      </c>
      <c r="X33" s="131">
        <f t="shared" si="52"/>
        <v>215.145288394558</v>
      </c>
      <c r="Z33" s="25">
        <f t="shared" si="13"/>
        <v>0.693420972093396</v>
      </c>
      <c r="AA33" s="5">
        <f t="shared" si="14"/>
        <v>1.41251583194828</v>
      </c>
      <c r="AB33" s="5">
        <f t="shared" si="15"/>
        <v>0.0935414297367646</v>
      </c>
      <c r="AC33" s="5"/>
      <c r="AD33" s="5">
        <f t="shared" si="16"/>
        <v>0.611107489733394</v>
      </c>
      <c r="AE33" s="216">
        <f t="shared" si="17"/>
        <v>2798.61728395062</v>
      </c>
      <c r="AF33" s="217">
        <f t="shared" si="18"/>
        <v>0.0175086462450593</v>
      </c>
      <c r="AH33" s="5">
        <f t="shared" si="19"/>
        <v>0.839047078536121</v>
      </c>
      <c r="AI33" s="5">
        <f t="shared" si="20"/>
        <v>1.12806253877892</v>
      </c>
      <c r="AJ33" s="5">
        <f t="shared" si="21"/>
        <v>1.81337965835476</v>
      </c>
      <c r="AL33" s="216">
        <f t="shared" si="22"/>
        <v>140</v>
      </c>
      <c r="AM33" s="220">
        <f t="shared" si="23"/>
        <v>215.145288394558</v>
      </c>
      <c r="AO33">
        <f t="shared" si="53"/>
        <v>140</v>
      </c>
      <c r="AP33" s="220">
        <f t="shared" si="24"/>
        <v>215.145288394558</v>
      </c>
      <c r="AQ33" s="220"/>
      <c r="AR33" s="192">
        <f t="shared" si="54"/>
        <v>4.6480218435743</v>
      </c>
      <c r="AS33" s="192">
        <f t="shared" si="25"/>
        <v>2.35013028912275</v>
      </c>
      <c r="AT33" s="192">
        <f t="shared" si="55"/>
        <v>2.29789155445155</v>
      </c>
      <c r="AU33" s="5">
        <f t="shared" si="56"/>
        <v>0.505619458818101</v>
      </c>
      <c r="AW33" s="192">
        <f t="shared" si="26"/>
        <v>20.1076373742966</v>
      </c>
      <c r="AX33" s="192">
        <f t="shared" si="27"/>
        <v>13.3181353920943</v>
      </c>
      <c r="AY33" s="192">
        <f t="shared" si="28"/>
        <v>14.3647440975709</v>
      </c>
      <c r="AZ33" s="192">
        <f t="shared" si="29"/>
        <v>5.85497968624778</v>
      </c>
      <c r="BA33" s="192">
        <f t="shared" si="30"/>
        <v>1.0922077141529</v>
      </c>
      <c r="BB33" s="220">
        <f t="shared" si="31"/>
        <v>7.40880184047294</v>
      </c>
      <c r="BC33" s="192"/>
      <c r="BD33" s="5">
        <f t="shared" si="57"/>
        <v>0.463110299332773</v>
      </c>
      <c r="BE33" s="5">
        <f t="shared" si="32"/>
        <v>0.249907271187528</v>
      </c>
      <c r="BF33" s="5">
        <f t="shared" si="33"/>
        <v>0.18923019711319</v>
      </c>
      <c r="BG33" s="5"/>
      <c r="BH33" s="217">
        <f t="shared" si="34"/>
        <v>0.0750649022718319</v>
      </c>
      <c r="BI33" s="217">
        <f t="shared" si="35"/>
        <v>0.02945472</v>
      </c>
      <c r="BJ33" s="217">
        <f t="shared" si="36"/>
        <v>0.00268931610493198</v>
      </c>
      <c r="BK33" s="217">
        <f t="shared" si="37"/>
        <v>0.00633784478287792</v>
      </c>
      <c r="BL33">
        <f t="shared" si="38"/>
        <v>0.00348</v>
      </c>
      <c r="BM33">
        <f t="shared" si="39"/>
        <v>3.76504254690477e-6</v>
      </c>
      <c r="BN33">
        <f t="shared" si="40"/>
        <v>0.155694854637674</v>
      </c>
      <c r="BO33" s="220">
        <f t="shared" si="58"/>
        <v>155.694854637674</v>
      </c>
      <c r="BP33" s="5">
        <f t="shared" si="41"/>
        <v>0.132068459922285</v>
      </c>
      <c r="BQ33" s="5">
        <f t="shared" si="42"/>
        <v>0.0966728092318056</v>
      </c>
      <c r="BR33" s="217"/>
      <c r="BT33" s="220">
        <f t="shared" si="59"/>
        <v>228.741269154091</v>
      </c>
      <c r="BU33" s="217">
        <f t="shared" si="43"/>
        <v>0.00879331712327173</v>
      </c>
      <c r="BV33" s="217">
        <f t="shared" si="60"/>
        <v>0.00624536441923966</v>
      </c>
      <c r="BW33" s="217">
        <f t="shared" si="44"/>
        <v>0.00250656472496477</v>
      </c>
      <c r="BX33" s="217">
        <f t="shared" si="45"/>
        <v>0</v>
      </c>
      <c r="BY33" s="217">
        <f t="shared" si="46"/>
        <v>0.0242464726758543</v>
      </c>
      <c r="BZ33" s="217">
        <f t="shared" si="61"/>
        <v>0.0175452462674762</v>
      </c>
      <c r="CA33" s="225">
        <f t="shared" si="47"/>
        <v>0.0109511111111111</v>
      </c>
      <c r="CB33" s="220">
        <f t="shared" si="62"/>
        <v>35.1975837869655</v>
      </c>
      <c r="CC33" s="5">
        <f t="shared" si="63"/>
        <v>0.41963370757873</v>
      </c>
      <c r="CD33" s="192">
        <f t="shared" si="64"/>
        <v>3.08</v>
      </c>
      <c r="CE33" s="5">
        <f t="shared" si="65"/>
        <v>0.880092106019558</v>
      </c>
      <c r="CF33" s="192">
        <f t="shared" si="66"/>
        <v>88.0092106019558</v>
      </c>
      <c r="CG33">
        <f t="shared" si="67"/>
        <v>28</v>
      </c>
      <c r="CI33" s="227">
        <f t="shared" si="48"/>
        <v>-50</v>
      </c>
      <c r="CJ33">
        <f t="shared" si="49"/>
        <v>-50</v>
      </c>
    </row>
    <row r="34" spans="5:88">
      <c r="E34" s="22">
        <v>29</v>
      </c>
      <c r="F34" s="25">
        <f t="shared" si="68"/>
        <v>0.145</v>
      </c>
      <c r="G34" s="25">
        <f t="shared" si="50"/>
        <v>0.116</v>
      </c>
      <c r="H34" s="25">
        <f t="shared" si="0"/>
        <v>2.61</v>
      </c>
      <c r="I34" s="25">
        <f t="shared" si="69"/>
        <v>0.58</v>
      </c>
      <c r="J34" s="212">
        <f t="shared" si="1"/>
        <v>12</v>
      </c>
      <c r="K34" s="131">
        <f t="shared" si="2"/>
        <v>12.2728</v>
      </c>
      <c r="L34" s="131">
        <f t="shared" si="3"/>
        <v>24.2728</v>
      </c>
      <c r="M34" s="131"/>
      <c r="N34" s="25">
        <f t="shared" si="4"/>
        <v>0.505619458818101</v>
      </c>
      <c r="O34" s="27">
        <f t="shared" si="51"/>
        <v>3.3508780498036</v>
      </c>
      <c r="P34" s="27">
        <f t="shared" si="5"/>
        <v>0.744639566623021</v>
      </c>
      <c r="Q34" s="25">
        <f t="shared" si="6"/>
        <v>0.186159891655755</v>
      </c>
      <c r="R34" s="25">
        <f t="shared" si="7"/>
        <v>0.670175609960719</v>
      </c>
      <c r="S34" s="131">
        <f t="shared" si="8"/>
        <v>18</v>
      </c>
      <c r="T34" s="25">
        <f t="shared" si="9"/>
        <v>1.16835048659245</v>
      </c>
      <c r="U34" s="25">
        <f t="shared" si="10"/>
        <v>2.43406351373427</v>
      </c>
      <c r="V34" s="25">
        <f t="shared" si="11"/>
        <v>2.37995910996767</v>
      </c>
      <c r="W34" s="24">
        <f t="shared" si="12"/>
        <v>350</v>
      </c>
      <c r="X34" s="131">
        <f t="shared" si="52"/>
        <v>207.726485346471</v>
      </c>
      <c r="Z34" s="25">
        <f t="shared" si="13"/>
        <v>0.693420972093396</v>
      </c>
      <c r="AA34" s="5">
        <f t="shared" si="14"/>
        <v>1.41251583194828</v>
      </c>
      <c r="AB34" s="5">
        <f t="shared" si="15"/>
        <v>0.0935414297367646</v>
      </c>
      <c r="AC34" s="5"/>
      <c r="AD34" s="5">
        <f t="shared" si="16"/>
        <v>0.611107489733394</v>
      </c>
      <c r="AE34" s="216">
        <f t="shared" si="17"/>
        <v>2898.56790123457</v>
      </c>
      <c r="AF34" s="217">
        <f t="shared" si="18"/>
        <v>0.0175086462450593</v>
      </c>
      <c r="AH34" s="5">
        <f t="shared" si="19"/>
        <v>0.853898622286543</v>
      </c>
      <c r="AI34" s="5">
        <f t="shared" si="20"/>
        <v>1.16835048659245</v>
      </c>
      <c r="AJ34" s="5">
        <f t="shared" si="21"/>
        <v>1.84322258266107</v>
      </c>
      <c r="AL34" s="216">
        <f t="shared" si="22"/>
        <v>145</v>
      </c>
      <c r="AM34" s="220">
        <f t="shared" si="23"/>
        <v>207.726485346471</v>
      </c>
      <c r="AO34">
        <f t="shared" si="53"/>
        <v>145</v>
      </c>
      <c r="AP34" s="220">
        <f t="shared" si="24"/>
        <v>207.726485346471</v>
      </c>
      <c r="AQ34" s="220"/>
      <c r="AR34" s="192">
        <f t="shared" si="54"/>
        <v>4.81402262370194</v>
      </c>
      <c r="AS34" s="192">
        <f t="shared" si="25"/>
        <v>2.43406351373427</v>
      </c>
      <c r="AT34" s="192">
        <f t="shared" si="55"/>
        <v>2.37995910996767</v>
      </c>
      <c r="AU34" s="5">
        <f t="shared" si="56"/>
        <v>0.505619458818101</v>
      </c>
      <c r="AW34" s="192">
        <f t="shared" si="26"/>
        <v>20.1076373742966</v>
      </c>
      <c r="AX34" s="192">
        <f t="shared" si="27"/>
        <v>14.2708824805501</v>
      </c>
      <c r="AY34" s="192">
        <f t="shared" si="28"/>
        <v>14.3647440975709</v>
      </c>
      <c r="AZ34" s="192">
        <f t="shared" si="29"/>
        <v>6.27237489302855</v>
      </c>
      <c r="BA34" s="192">
        <f t="shared" si="30"/>
        <v>1.17161567296248</v>
      </c>
      <c r="BB34" s="220">
        <f t="shared" si="31"/>
        <v>7.91580514888599</v>
      </c>
      <c r="BC34" s="192"/>
      <c r="BD34" s="5">
        <f t="shared" si="57"/>
        <v>0.479649952880371</v>
      </c>
      <c r="BE34" s="5">
        <f t="shared" si="32"/>
        <v>0.258832530872796</v>
      </c>
      <c r="BF34" s="5">
        <f t="shared" si="33"/>
        <v>0.19598841843866</v>
      </c>
      <c r="BG34" s="5"/>
      <c r="BH34" s="217">
        <f t="shared" si="34"/>
        <v>0.0805224270543499</v>
      </c>
      <c r="BI34" s="217">
        <f t="shared" si="35"/>
        <v>0.02945472</v>
      </c>
      <c r="BJ34" s="217">
        <f t="shared" si="36"/>
        <v>0.00259658106683088</v>
      </c>
      <c r="BK34" s="217">
        <f t="shared" si="37"/>
        <v>0.00611929841105456</v>
      </c>
      <c r="BL34">
        <f t="shared" si="38"/>
        <v>0.00348</v>
      </c>
      <c r="BM34">
        <f t="shared" si="39"/>
        <v>3.63521349356324e-6</v>
      </c>
      <c r="BN34">
        <f t="shared" si="40"/>
        <v>0.164029530769941</v>
      </c>
      <c r="BO34" s="220">
        <f t="shared" si="58"/>
        <v>164.029530769941</v>
      </c>
      <c r="BP34" s="5">
        <f t="shared" si="41"/>
        <v>0.138251094763574</v>
      </c>
      <c r="BQ34" s="5">
        <f t="shared" si="42"/>
        <v>0.100965892045853</v>
      </c>
      <c r="BR34" s="217"/>
      <c r="BT34" s="220">
        <f t="shared" si="59"/>
        <v>239.216986809426</v>
      </c>
      <c r="BU34" s="217">
        <f t="shared" si="43"/>
        <v>0.00943262716922384</v>
      </c>
      <c r="BV34" s="217">
        <f t="shared" si="60"/>
        <v>0.0066994279038017</v>
      </c>
      <c r="BW34" s="217">
        <f t="shared" si="44"/>
        <v>0.00268880221134612</v>
      </c>
      <c r="BX34" s="217">
        <f t="shared" si="45"/>
        <v>0</v>
      </c>
      <c r="BY34" s="217">
        <f t="shared" si="46"/>
        <v>0.0260119484259539</v>
      </c>
      <c r="BZ34" s="217">
        <f t="shared" si="61"/>
        <v>0.0188208572843717</v>
      </c>
      <c r="CA34" s="225">
        <f t="shared" si="47"/>
        <v>0.0113422222222222</v>
      </c>
      <c r="CB34" s="220">
        <f t="shared" si="62"/>
        <v>37.3541706481761</v>
      </c>
      <c r="CC34" s="5">
        <f t="shared" si="63"/>
        <v>0.440600688227543</v>
      </c>
      <c r="CD34" s="192">
        <f t="shared" si="64"/>
        <v>3.19</v>
      </c>
      <c r="CE34" s="5">
        <f t="shared" si="65"/>
        <v>0.878642482039895</v>
      </c>
      <c r="CF34" s="192">
        <f t="shared" si="66"/>
        <v>87.8642482039895</v>
      </c>
      <c r="CG34">
        <f t="shared" si="67"/>
        <v>29</v>
      </c>
      <c r="CI34" s="227">
        <f t="shared" si="48"/>
        <v>-50</v>
      </c>
      <c r="CJ34">
        <f t="shared" si="49"/>
        <v>-50</v>
      </c>
    </row>
    <row r="35" spans="5:88">
      <c r="E35" s="22">
        <v>30</v>
      </c>
      <c r="F35" s="25">
        <f t="shared" si="68"/>
        <v>0.15</v>
      </c>
      <c r="G35" s="25">
        <f t="shared" si="50"/>
        <v>0.12</v>
      </c>
      <c r="H35" s="25">
        <f t="shared" si="0"/>
        <v>2.7</v>
      </c>
      <c r="I35" s="25">
        <f t="shared" si="69"/>
        <v>0.6</v>
      </c>
      <c r="J35" s="212">
        <f t="shared" si="1"/>
        <v>12</v>
      </c>
      <c r="K35" s="131">
        <f t="shared" si="2"/>
        <v>12.2728</v>
      </c>
      <c r="L35" s="131">
        <f t="shared" si="3"/>
        <v>24.2728</v>
      </c>
      <c r="M35" s="131"/>
      <c r="N35" s="25">
        <f t="shared" si="4"/>
        <v>0.505619458818101</v>
      </c>
      <c r="O35" s="27">
        <f t="shared" si="51"/>
        <v>3.3508780498036</v>
      </c>
      <c r="P35" s="27">
        <f t="shared" si="5"/>
        <v>0.744639566623021</v>
      </c>
      <c r="Q35" s="25">
        <f t="shared" si="6"/>
        <v>0.186159891655755</v>
      </c>
      <c r="R35" s="25">
        <f t="shared" si="7"/>
        <v>0.670175609960719</v>
      </c>
      <c r="S35" s="131">
        <f t="shared" si="8"/>
        <v>18</v>
      </c>
      <c r="T35" s="25">
        <f t="shared" si="9"/>
        <v>1.20863843440599</v>
      </c>
      <c r="U35" s="25">
        <f t="shared" si="10"/>
        <v>2.51799673834581</v>
      </c>
      <c r="V35" s="25">
        <f t="shared" si="11"/>
        <v>2.46202666548381</v>
      </c>
      <c r="W35" s="24">
        <f t="shared" si="12"/>
        <v>350</v>
      </c>
      <c r="X35" s="131">
        <f t="shared" si="52"/>
        <v>200.802269168254</v>
      </c>
      <c r="Z35" s="25">
        <f t="shared" si="13"/>
        <v>0.693420972093396</v>
      </c>
      <c r="AA35" s="5">
        <f t="shared" si="14"/>
        <v>1.41251583194828</v>
      </c>
      <c r="AB35" s="5">
        <f t="shared" si="15"/>
        <v>0.0935414297367646</v>
      </c>
      <c r="AC35" s="5"/>
      <c r="AD35" s="5">
        <f t="shared" si="16"/>
        <v>0.611107489733394</v>
      </c>
      <c r="AE35" s="216">
        <f t="shared" si="17"/>
        <v>2998.51851851852</v>
      </c>
      <c r="AF35" s="217">
        <f t="shared" si="18"/>
        <v>0.0175086462450593</v>
      </c>
      <c r="AH35" s="5">
        <f t="shared" si="19"/>
        <v>0.868496237346895</v>
      </c>
      <c r="AI35" s="5">
        <f t="shared" si="20"/>
        <v>1.20863843440599</v>
      </c>
      <c r="AJ35" s="5">
        <f t="shared" si="21"/>
        <v>1.8730655069674</v>
      </c>
      <c r="AL35" s="216">
        <f t="shared" si="22"/>
        <v>150</v>
      </c>
      <c r="AM35" s="220">
        <f t="shared" si="23"/>
        <v>200.802269168254</v>
      </c>
      <c r="AO35">
        <f t="shared" si="53"/>
        <v>150</v>
      </c>
      <c r="AP35" s="220">
        <f t="shared" si="24"/>
        <v>200.802269168254</v>
      </c>
      <c r="AQ35" s="220"/>
      <c r="AR35" s="192">
        <f t="shared" si="54"/>
        <v>4.98002340382963</v>
      </c>
      <c r="AS35" s="192">
        <f t="shared" si="25"/>
        <v>2.51799673834581</v>
      </c>
      <c r="AT35" s="192">
        <f t="shared" si="55"/>
        <v>2.46202666548381</v>
      </c>
      <c r="AU35" s="5">
        <f t="shared" si="56"/>
        <v>0.505619458818101</v>
      </c>
      <c r="AW35" s="192">
        <f t="shared" si="26"/>
        <v>20.1076373742966</v>
      </c>
      <c r="AX35" s="192">
        <f t="shared" si="27"/>
        <v>15.2565329756184</v>
      </c>
      <c r="AY35" s="192">
        <f t="shared" si="28"/>
        <v>14.3647440975709</v>
      </c>
      <c r="AZ35" s="192">
        <f t="shared" si="29"/>
        <v>6.70413484390689</v>
      </c>
      <c r="BA35" s="192">
        <f t="shared" si="30"/>
        <v>1.25380987594083</v>
      </c>
      <c r="BB35" s="220">
        <f t="shared" si="31"/>
        <v>8.43952592231165</v>
      </c>
      <c r="BC35" s="192"/>
      <c r="BD35" s="5">
        <f t="shared" si="57"/>
        <v>0.496189606427973</v>
      </c>
      <c r="BE35" s="5">
        <f t="shared" si="32"/>
        <v>0.267757790558066</v>
      </c>
      <c r="BF35" s="5">
        <f t="shared" si="33"/>
        <v>0.202746639764133</v>
      </c>
      <c r="BG35" s="5"/>
      <c r="BH35" s="217">
        <f t="shared" si="34"/>
        <v>0.0861714439345014</v>
      </c>
      <c r="BI35" s="217">
        <f t="shared" si="35"/>
        <v>0.02945472</v>
      </c>
      <c r="BJ35" s="217">
        <f t="shared" si="36"/>
        <v>0.00251002836460317</v>
      </c>
      <c r="BK35" s="217">
        <f t="shared" si="37"/>
        <v>0.0059153217973527</v>
      </c>
      <c r="BL35">
        <f t="shared" si="38"/>
        <v>0.00348</v>
      </c>
      <c r="BM35">
        <f t="shared" si="39"/>
        <v>3.51403971044444e-6</v>
      </c>
      <c r="BN35">
        <f t="shared" si="40"/>
        <v>0.172746596210154</v>
      </c>
      <c r="BO35" s="220">
        <f t="shared" si="58"/>
        <v>172.746596210154</v>
      </c>
      <c r="BP35" s="5">
        <f t="shared" si="41"/>
        <v>0.144534826441399</v>
      </c>
      <c r="BQ35" s="5">
        <f t="shared" si="42"/>
        <v>0.105316939169165</v>
      </c>
      <c r="BR35" s="217"/>
      <c r="BT35" s="220">
        <f t="shared" si="59"/>
        <v>249.851765610564</v>
      </c>
      <c r="BU35" s="217">
        <f t="shared" si="43"/>
        <v>0.010094369146613</v>
      </c>
      <c r="BV35" s="217">
        <f t="shared" si="60"/>
        <v>0.00716942344045374</v>
      </c>
      <c r="BW35" s="217">
        <f t="shared" si="44"/>
        <v>0.00287743399549529</v>
      </c>
      <c r="BX35" s="217">
        <f t="shared" si="45"/>
        <v>0</v>
      </c>
      <c r="BY35" s="217">
        <f t="shared" si="46"/>
        <v>0.0278397508222807</v>
      </c>
      <c r="BZ35" s="217">
        <f t="shared" si="61"/>
        <v>0.0201412265825621</v>
      </c>
      <c r="CA35" s="225">
        <f t="shared" si="47"/>
        <v>0.0117333333333334</v>
      </c>
      <c r="CB35" s="220">
        <f t="shared" si="62"/>
        <v>39.5730841556141</v>
      </c>
      <c r="CC35" s="5">
        <f t="shared" si="63"/>
        <v>0.462171445976332</v>
      </c>
      <c r="CD35" s="192">
        <f t="shared" si="64"/>
        <v>3.3</v>
      </c>
      <c r="CE35" s="5">
        <f t="shared" si="65"/>
        <v>0.877153007880428</v>
      </c>
      <c r="CF35" s="192">
        <f t="shared" si="66"/>
        <v>87.7153007880428</v>
      </c>
      <c r="CG35">
        <f t="shared" si="67"/>
        <v>30</v>
      </c>
      <c r="CI35" s="227">
        <f t="shared" si="48"/>
        <v>-50</v>
      </c>
      <c r="CJ35">
        <f t="shared" si="49"/>
        <v>-50</v>
      </c>
    </row>
    <row r="36" spans="5:88">
      <c r="E36" s="22">
        <v>31</v>
      </c>
      <c r="F36" s="25">
        <f t="shared" si="68"/>
        <v>0.155</v>
      </c>
      <c r="G36" s="25">
        <f t="shared" si="50"/>
        <v>0.124</v>
      </c>
      <c r="H36" s="25">
        <f t="shared" si="0"/>
        <v>2.79</v>
      </c>
      <c r="I36" s="25">
        <f t="shared" si="69"/>
        <v>0.62</v>
      </c>
      <c r="J36" s="212">
        <f t="shared" si="1"/>
        <v>12</v>
      </c>
      <c r="K36" s="131">
        <f t="shared" si="2"/>
        <v>12.2728</v>
      </c>
      <c r="L36" s="131">
        <f t="shared" si="3"/>
        <v>24.2728</v>
      </c>
      <c r="M36" s="131"/>
      <c r="N36" s="25">
        <f t="shared" si="4"/>
        <v>0.505619458818101</v>
      </c>
      <c r="O36" s="27">
        <f t="shared" si="51"/>
        <v>3.3508780498036</v>
      </c>
      <c r="P36" s="27">
        <f t="shared" si="5"/>
        <v>0.744639566623021</v>
      </c>
      <c r="Q36" s="25">
        <f t="shared" si="6"/>
        <v>0.186159891655755</v>
      </c>
      <c r="R36" s="25">
        <f t="shared" si="7"/>
        <v>0.670175609960719</v>
      </c>
      <c r="S36" s="131">
        <f t="shared" si="8"/>
        <v>18</v>
      </c>
      <c r="T36" s="25">
        <f t="shared" si="9"/>
        <v>1.24892638221952</v>
      </c>
      <c r="U36" s="25">
        <f t="shared" si="10"/>
        <v>2.60192996295733</v>
      </c>
      <c r="V36" s="25">
        <f t="shared" si="11"/>
        <v>2.54409422099993</v>
      </c>
      <c r="W36" s="24">
        <f t="shared" si="12"/>
        <v>350</v>
      </c>
      <c r="X36" s="131">
        <f t="shared" si="52"/>
        <v>194.32477661444</v>
      </c>
      <c r="Z36" s="25">
        <f t="shared" si="13"/>
        <v>0.693420972093396</v>
      </c>
      <c r="AA36" s="5">
        <f t="shared" si="14"/>
        <v>1.41251583194828</v>
      </c>
      <c r="AB36" s="5">
        <f t="shared" si="15"/>
        <v>0.0935414297367646</v>
      </c>
      <c r="AC36" s="5"/>
      <c r="AD36" s="5">
        <f t="shared" si="16"/>
        <v>0.611107489733394</v>
      </c>
      <c r="AE36" s="216">
        <f t="shared" si="17"/>
        <v>3098.46913580247</v>
      </c>
      <c r="AF36" s="217">
        <f t="shared" si="18"/>
        <v>0.0175086462450593</v>
      </c>
      <c r="AH36" s="5">
        <f t="shared" si="19"/>
        <v>0.882852519636531</v>
      </c>
      <c r="AI36" s="5">
        <f t="shared" si="20"/>
        <v>1.24892638221952</v>
      </c>
      <c r="AJ36" s="5">
        <f t="shared" si="21"/>
        <v>1.90290843127372</v>
      </c>
      <c r="AL36" s="216">
        <f t="shared" si="22"/>
        <v>155</v>
      </c>
      <c r="AM36" s="220">
        <f t="shared" si="23"/>
        <v>194.32477661444</v>
      </c>
      <c r="AO36">
        <f t="shared" si="53"/>
        <v>155</v>
      </c>
      <c r="AP36" s="220">
        <f t="shared" si="24"/>
        <v>194.32477661444</v>
      </c>
      <c r="AQ36" s="220"/>
      <c r="AR36" s="192">
        <f t="shared" si="54"/>
        <v>5.14602418395727</v>
      </c>
      <c r="AS36" s="192">
        <f t="shared" si="25"/>
        <v>2.60192996295733</v>
      </c>
      <c r="AT36" s="192">
        <f t="shared" si="55"/>
        <v>2.54409422099993</v>
      </c>
      <c r="AU36" s="5">
        <f t="shared" si="56"/>
        <v>0.505619458818101</v>
      </c>
      <c r="AW36" s="192">
        <f t="shared" si="26"/>
        <v>20.1076373742966</v>
      </c>
      <c r="AX36" s="192">
        <f t="shared" si="27"/>
        <v>16.2750868772992</v>
      </c>
      <c r="AY36" s="192">
        <f t="shared" si="28"/>
        <v>14.3647440975709</v>
      </c>
      <c r="AZ36" s="192">
        <f t="shared" si="29"/>
        <v>7.1502595388828</v>
      </c>
      <c r="BA36" s="192">
        <f t="shared" si="30"/>
        <v>1.33879032308793</v>
      </c>
      <c r="BB36" s="220">
        <f t="shared" si="31"/>
        <v>8.97996416074979</v>
      </c>
      <c r="BC36" s="192"/>
      <c r="BD36" s="5">
        <f t="shared" si="57"/>
        <v>0.512729259975571</v>
      </c>
      <c r="BE36" s="5">
        <f t="shared" si="32"/>
        <v>0.276683050243335</v>
      </c>
      <c r="BF36" s="5">
        <f t="shared" si="33"/>
        <v>0.209504861089603</v>
      </c>
      <c r="BG36" s="5"/>
      <c r="BH36" s="217">
        <f t="shared" si="34"/>
        <v>0.0920119529122839</v>
      </c>
      <c r="BI36" s="217">
        <f t="shared" si="35"/>
        <v>0.02945472</v>
      </c>
      <c r="BJ36" s="217">
        <f t="shared" si="36"/>
        <v>0.0024290597076805</v>
      </c>
      <c r="BK36" s="217">
        <f t="shared" si="37"/>
        <v>0.00572450496518005</v>
      </c>
      <c r="BL36">
        <f t="shared" si="38"/>
        <v>0.00348</v>
      </c>
      <c r="BM36">
        <f t="shared" si="39"/>
        <v>3.40068359075269e-6</v>
      </c>
      <c r="BN36">
        <f t="shared" si="40"/>
        <v>0.181850746970342</v>
      </c>
      <c r="BO36" s="220">
        <f t="shared" si="58"/>
        <v>181.850746970342</v>
      </c>
      <c r="BP36" s="5">
        <f t="shared" si="41"/>
        <v>0.15091965495576</v>
      </c>
      <c r="BQ36" s="5">
        <f t="shared" si="42"/>
        <v>0.109725950601741</v>
      </c>
      <c r="BR36" s="217"/>
      <c r="BT36" s="220">
        <f t="shared" si="59"/>
        <v>260.645605557502</v>
      </c>
      <c r="BU36" s="217">
        <f t="shared" si="43"/>
        <v>0.010778543055439</v>
      </c>
      <c r="BV36" s="217">
        <f t="shared" si="60"/>
        <v>0.00765535102919557</v>
      </c>
      <c r="BW36" s="217">
        <f t="shared" si="44"/>
        <v>0.00307246007741218</v>
      </c>
      <c r="BX36" s="217">
        <f t="shared" si="45"/>
        <v>0</v>
      </c>
      <c r="BY36" s="217">
        <f t="shared" si="46"/>
        <v>0.0297299193175487</v>
      </c>
      <c r="BZ36" s="217">
        <f t="shared" si="61"/>
        <v>0.0215063541620467</v>
      </c>
      <c r="CA36" s="225">
        <f t="shared" si="47"/>
        <v>0.0121244444444445</v>
      </c>
      <c r="CB36" s="220">
        <f t="shared" si="62"/>
        <v>41.8543637619931</v>
      </c>
      <c r="CC36" s="5">
        <f t="shared" si="63"/>
        <v>0.484350716289837</v>
      </c>
      <c r="CD36" s="192">
        <f t="shared" si="64"/>
        <v>3.41</v>
      </c>
      <c r="CE36" s="5">
        <f t="shared" si="65"/>
        <v>0.875627350596897</v>
      </c>
      <c r="CF36" s="192">
        <f t="shared" si="66"/>
        <v>87.5627350596897</v>
      </c>
      <c r="CG36">
        <f t="shared" si="67"/>
        <v>31</v>
      </c>
      <c r="CI36" s="227">
        <f t="shared" si="48"/>
        <v>-50</v>
      </c>
      <c r="CJ36">
        <f t="shared" si="49"/>
        <v>-50</v>
      </c>
    </row>
    <row r="37" spans="5:88">
      <c r="E37" s="22">
        <v>32</v>
      </c>
      <c r="F37" s="25">
        <f t="shared" si="68"/>
        <v>0.16</v>
      </c>
      <c r="G37" s="25">
        <f t="shared" si="50"/>
        <v>0.128</v>
      </c>
      <c r="H37" s="25">
        <f t="shared" ref="H37:H68" si="70">F37*Vout</f>
        <v>2.88</v>
      </c>
      <c r="I37" s="25">
        <f t="shared" si="69"/>
        <v>0.64</v>
      </c>
      <c r="J37" s="212">
        <f t="shared" si="1"/>
        <v>12</v>
      </c>
      <c r="K37" s="131">
        <f t="shared" si="2"/>
        <v>12.2728</v>
      </c>
      <c r="L37" s="131">
        <f t="shared" si="3"/>
        <v>24.2728</v>
      </c>
      <c r="M37" s="131"/>
      <c r="N37" s="25">
        <f t="shared" si="4"/>
        <v>0.505619458818101</v>
      </c>
      <c r="O37" s="27">
        <f t="shared" si="51"/>
        <v>3.3508780498036</v>
      </c>
      <c r="P37" s="27">
        <f t="shared" ref="P37:P68" si="71">N37*J37*Isw_max*0.5*Efficiency*(Pout2/Pout_total)</f>
        <v>0.744639566623021</v>
      </c>
      <c r="Q37" s="25">
        <f t="shared" si="6"/>
        <v>0.186159891655755</v>
      </c>
      <c r="R37" s="25">
        <f t="shared" ref="R37:R68" si="72">O37/Vout2</f>
        <v>0.670175609960719</v>
      </c>
      <c r="S37" s="131">
        <f t="shared" ref="S37:S68" si="73">MIN(Vout,O37/F37)</f>
        <v>18</v>
      </c>
      <c r="T37" s="25">
        <f t="shared" ref="T37:T68" si="74">MIN(2*(Vout*F37+Vout2*G37)/(Efficiency*J37*N37),Isw_max)</f>
        <v>1.28921433003305</v>
      </c>
      <c r="U37" s="25">
        <f t="shared" si="10"/>
        <v>2.68586318756885</v>
      </c>
      <c r="V37" s="25">
        <f t="shared" si="11"/>
        <v>2.62616177651606</v>
      </c>
      <c r="W37" s="24">
        <f t="shared" si="12"/>
        <v>350</v>
      </c>
      <c r="X37" s="131">
        <f t="shared" si="52"/>
        <v>188.252127345239</v>
      </c>
      <c r="Z37" s="25">
        <f t="shared" si="13"/>
        <v>0.693420972093396</v>
      </c>
      <c r="AA37" s="5">
        <f t="shared" si="14"/>
        <v>1.41251583194828</v>
      </c>
      <c r="AB37" s="5">
        <f t="shared" ref="AB37:AB68" si="75">0.5*AA37*Z37*Nps*W37/1000*(Pout/Pout_total)</f>
        <v>0.0935414297367646</v>
      </c>
      <c r="AC37" s="5"/>
      <c r="AD37" s="5">
        <f t="shared" si="16"/>
        <v>0.611107489733394</v>
      </c>
      <c r="AE37" s="216">
        <f t="shared" ref="AE37:AE68" si="76">MAX(10,F37/(0.5*AD37/1000000*Isw_min*Nps)/1000*Pout_total/Pout)</f>
        <v>3198.41975308642</v>
      </c>
      <c r="AF37" s="217">
        <f t="shared" ref="AF37:AF68" si="77">0.5*AD37/1000000*Isw_min*Nps*W37*1000*(Pout/Pout_total)</f>
        <v>0.0175086462450593</v>
      </c>
      <c r="AH37" s="5">
        <f t="shared" ref="AH37:AH68" si="78">SQRT((H37+I37)/(0.5*L*Fsw_DCM))</f>
        <v>0.896979056930221</v>
      </c>
      <c r="AI37" s="5">
        <f t="shared" ref="AI37:AI68" si="79">MAX(IF(F37&gt;AB37,T37,AH37),Isw_min)</f>
        <v>1.28921433003305</v>
      </c>
      <c r="AJ37" s="5">
        <f t="shared" ref="AJ37:AJ68" si="80">IF(F37&gt;AF37,(AI37-Isw_min)/1.08*0.8+1.2,AE37*0.2/350+1)</f>
        <v>1.93275135558004</v>
      </c>
      <c r="AL37" s="216">
        <f t="shared" ref="AL37:AL68" si="81">F37*1000</f>
        <v>160</v>
      </c>
      <c r="AM37" s="220">
        <f t="shared" ref="AM37:AM68" si="82">IF(F37&gt;AF37,X37,AE37)</f>
        <v>188.252127345239</v>
      </c>
      <c r="AO37">
        <f t="shared" si="53"/>
        <v>160</v>
      </c>
      <c r="AP37" s="220">
        <f t="shared" si="24"/>
        <v>188.252127345239</v>
      </c>
      <c r="AQ37" s="220"/>
      <c r="AR37" s="192">
        <f t="shared" si="54"/>
        <v>5.31202496408491</v>
      </c>
      <c r="AS37" s="192">
        <f t="shared" si="25"/>
        <v>2.68586318756885</v>
      </c>
      <c r="AT37" s="192">
        <f t="shared" si="55"/>
        <v>2.62616177651606</v>
      </c>
      <c r="AU37" s="5">
        <f t="shared" si="56"/>
        <v>0.505619458818101</v>
      </c>
      <c r="AW37" s="192">
        <f t="shared" ref="AW37:AW68" si="83">L*Iout^2/(2*Vripple1_spec*Vout*Npri_sec1^2)*1000000000*((1+N37)/(1-N37))^2</f>
        <v>20.1076373742966</v>
      </c>
      <c r="AX37" s="192">
        <f t="shared" ref="AX37:AX68" si="84">L*F37^2/(2*Cout*Vout*Nps^2)*1000000000*((1+N37)/(1-N37))^2+F37*RCoutEsr</f>
        <v>17.3265441855925</v>
      </c>
      <c r="AY37" s="192">
        <f t="shared" ref="AY37:AY68" si="85">L*Iout2^2/(2*Vripple2_spec*Vout2*Npri_sec2^2)*1000000000*((1+N37)/(1-N37))^2</f>
        <v>14.3647440975709</v>
      </c>
      <c r="AZ37" s="192">
        <f t="shared" ref="AZ37:AZ68" si="86">L*G37^2/(2*Cout2*Vout2*Npri_sec2^2)*1000000000*((1+N37)/(1-N37))^2+G37*CoutEsr2</f>
        <v>7.61074897795628</v>
      </c>
      <c r="BA37" s="192">
        <f t="shared" ref="BA37:BA68" si="87">(H37+I37)/Efficiency/J37*AT37/Vinripple1</f>
        <v>1.42655701440378</v>
      </c>
      <c r="BB37" s="220">
        <f t="shared" ref="BB37:BB68" si="88">((CD37/J37/Efficiency)*AT37/Cin+(CD37/J37/Efficiency)*RCinEsr)*1000</f>
        <v>9.53711986420048</v>
      </c>
      <c r="BC37" s="192"/>
      <c r="BD37" s="5">
        <f t="shared" si="57"/>
        <v>0.529268913523169</v>
      </c>
      <c r="BE37" s="5">
        <f t="shared" ref="BE37:BE68" si="89">AI37*Npri_sec1*SQRT((1-AU37)/3)*(Pout/Pout_total)</f>
        <v>0.285608309928603</v>
      </c>
      <c r="BF37" s="5">
        <f t="shared" ref="BF37:BF68" si="90">AI37*Npri_sec2*SQRT((1-AU37)/3)*(Pout2/Pout_total)</f>
        <v>0.216263082415074</v>
      </c>
      <c r="BG37" s="5"/>
      <c r="BH37" s="217">
        <f t="shared" si="34"/>
        <v>0.0980439539876985</v>
      </c>
      <c r="BI37" s="217">
        <f t="shared" si="35"/>
        <v>0.02945472</v>
      </c>
      <c r="BJ37" s="217">
        <f t="shared" si="36"/>
        <v>0.00235315159181548</v>
      </c>
      <c r="BK37" s="217">
        <f t="shared" si="37"/>
        <v>0.00554561418501819</v>
      </c>
      <c r="BL37">
        <f t="shared" si="38"/>
        <v>0.00348</v>
      </c>
      <c r="BM37">
        <f t="shared" ref="BM37:BM68" si="91">(J37-Vdd)*Qg*AM37</f>
        <v>3.29441222854168e-6</v>
      </c>
      <c r="BN37">
        <f t="shared" ref="BN37:BN68" si="92">(BI37+BJ37+BK37+BL37+BM37+BH37*(1+RdsonTC*(Ta-25)))/(1-BH37*RdsonTC*ThetaJA)</f>
        <v>0.191347273871248</v>
      </c>
      <c r="BO37" s="220">
        <f t="shared" si="58"/>
        <v>191.347273871248</v>
      </c>
      <c r="BP37" s="5">
        <f t="shared" ref="BP37:BP68" si="93">(Vfwd2*F37+BE37^2*Rdiode)*(1+Diode_TC/1000*(Ta-25))</f>
        <v>0.157405580306658</v>
      </c>
      <c r="BQ37" s="5">
        <f t="shared" ref="BQ37:BQ68" si="94">(Vfwd2*G37+BF37^2*Rdiode)*(1+Diode_TC/1000*(Ta-25))</f>
        <v>0.114192926343583</v>
      </c>
      <c r="BR37" s="217"/>
      <c r="BT37" s="220">
        <f t="shared" si="59"/>
        <v>271.598506650241</v>
      </c>
      <c r="BU37" s="217">
        <f t="shared" si="43"/>
        <v>0.0114851488957018</v>
      </c>
      <c r="BV37" s="217">
        <f t="shared" si="60"/>
        <v>0.00815721067002729</v>
      </c>
      <c r="BW37" s="217">
        <f t="shared" ref="BW37:BW68" si="95">Rdcr_sec2*BF37^2</f>
        <v>0.00327388045709683</v>
      </c>
      <c r="BX37" s="217">
        <f t="shared" si="45"/>
        <v>0</v>
      </c>
      <c r="BY37" s="217">
        <f t="shared" ref="BY37:BY68" si="96">(BX37+(BU37+BV37+BW37)*(1+Ltc*(Ta-25)))/(1-(BU37+BV37+BW37)*Ltc*ThetaCa)</f>
        <v>0.0316824947237888</v>
      </c>
      <c r="BZ37" s="217">
        <f t="shared" si="61"/>
        <v>0.022916240022826</v>
      </c>
      <c r="CA37" s="225">
        <f t="shared" ref="CA37:CA68" si="97">0.5*Lleak*0.000000001*AI37^2*AM37*1000</f>
        <v>0.0125155555555555</v>
      </c>
      <c r="CB37" s="220">
        <f t="shared" si="62"/>
        <v>44.1980502793443</v>
      </c>
      <c r="CC37" s="5">
        <f t="shared" si="63"/>
        <v>0.507143830800833</v>
      </c>
      <c r="CD37" s="192">
        <f t="shared" si="64"/>
        <v>3.52</v>
      </c>
      <c r="CE37" s="5">
        <f t="shared" si="65"/>
        <v>0.874068607403083</v>
      </c>
      <c r="CF37" s="192">
        <f t="shared" si="66"/>
        <v>87.4068607403083</v>
      </c>
      <c r="CG37">
        <f t="shared" si="67"/>
        <v>32</v>
      </c>
      <c r="CI37" s="227">
        <f t="shared" ref="CI37:CI68" si="98">IF(ABS(F37-Ioutmax_Vinnom)&lt;Iout/200,AM37,-50)</f>
        <v>-50</v>
      </c>
      <c r="CJ37">
        <f t="shared" ref="CJ37:CJ68" si="99">IF(ABS(F37-Ioutmax_Vinnom)&lt;Iout/200,(O37+P37)*CE37,-50)</f>
        <v>-50</v>
      </c>
    </row>
    <row r="38" spans="5:88">
      <c r="E38" s="22">
        <v>33</v>
      </c>
      <c r="F38" s="25">
        <f t="shared" si="68"/>
        <v>0.165</v>
      </c>
      <c r="G38" s="25">
        <f t="shared" ref="G38:G69" si="100">IF(PLOT_TYPE=1,E38/100*Iout2,min_I*EXP(Q38*rr/100))</f>
        <v>0.132</v>
      </c>
      <c r="H38" s="25">
        <f t="shared" si="70"/>
        <v>2.97</v>
      </c>
      <c r="I38" s="25">
        <f t="shared" si="69"/>
        <v>0.66</v>
      </c>
      <c r="J38" s="212">
        <f t="shared" si="1"/>
        <v>12</v>
      </c>
      <c r="K38" s="131">
        <f t="shared" si="2"/>
        <v>12.2728</v>
      </c>
      <c r="L38" s="131">
        <f t="shared" si="3"/>
        <v>24.2728</v>
      </c>
      <c r="M38" s="131"/>
      <c r="N38" s="25">
        <f t="shared" si="4"/>
        <v>0.505619458818101</v>
      </c>
      <c r="O38" s="27">
        <f t="shared" ref="O38:O69" si="101">N38*J38*Isw_max*0.5*Efficiency*Pout/(Pout+Pout2)</f>
        <v>3.3508780498036</v>
      </c>
      <c r="P38" s="27">
        <f t="shared" si="71"/>
        <v>0.744639566623021</v>
      </c>
      <c r="Q38" s="25">
        <f t="shared" si="6"/>
        <v>0.186159891655755</v>
      </c>
      <c r="R38" s="25">
        <f t="shared" si="72"/>
        <v>0.670175609960719</v>
      </c>
      <c r="S38" s="131">
        <f t="shared" si="73"/>
        <v>18</v>
      </c>
      <c r="T38" s="25">
        <f t="shared" si="74"/>
        <v>1.32950227784658</v>
      </c>
      <c r="U38" s="25">
        <f t="shared" si="10"/>
        <v>2.76979641218037</v>
      </c>
      <c r="V38" s="25">
        <f t="shared" si="11"/>
        <v>2.70822933203218</v>
      </c>
      <c r="W38" s="24">
        <f t="shared" si="12"/>
        <v>350</v>
      </c>
      <c r="X38" s="131">
        <f t="shared" si="52"/>
        <v>182.547517425686</v>
      </c>
      <c r="Z38" s="25">
        <f t="shared" si="13"/>
        <v>0.693420972093396</v>
      </c>
      <c r="AA38" s="5">
        <f t="shared" si="14"/>
        <v>1.41251583194828</v>
      </c>
      <c r="AB38" s="5">
        <f t="shared" si="75"/>
        <v>0.0935414297367646</v>
      </c>
      <c r="AC38" s="5"/>
      <c r="AD38" s="5">
        <f t="shared" si="16"/>
        <v>0.611107489733394</v>
      </c>
      <c r="AE38" s="216">
        <f t="shared" si="76"/>
        <v>3298.37037037037</v>
      </c>
      <c r="AF38" s="217">
        <f t="shared" si="77"/>
        <v>0.0175086462450593</v>
      </c>
      <c r="AH38" s="5">
        <f t="shared" si="78"/>
        <v>0.910886538331908</v>
      </c>
      <c r="AI38" s="5">
        <f t="shared" si="79"/>
        <v>1.32950227784658</v>
      </c>
      <c r="AJ38" s="5">
        <f t="shared" si="80"/>
        <v>1.96259427988636</v>
      </c>
      <c r="AL38" s="216">
        <f t="shared" si="81"/>
        <v>165</v>
      </c>
      <c r="AM38" s="220">
        <f t="shared" si="82"/>
        <v>182.547517425686</v>
      </c>
      <c r="AO38">
        <f t="shared" si="53"/>
        <v>165</v>
      </c>
      <c r="AP38" s="220">
        <f t="shared" si="24"/>
        <v>182.547517425686</v>
      </c>
      <c r="AQ38" s="220"/>
      <c r="AR38" s="192">
        <f t="shared" si="54"/>
        <v>5.47802574421255</v>
      </c>
      <c r="AS38" s="192">
        <f t="shared" si="25"/>
        <v>2.76979641218037</v>
      </c>
      <c r="AT38" s="192">
        <f t="shared" si="55"/>
        <v>2.70822933203218</v>
      </c>
      <c r="AU38" s="5">
        <f t="shared" si="56"/>
        <v>0.505619458818101</v>
      </c>
      <c r="AW38" s="192">
        <f t="shared" si="83"/>
        <v>20.1076373742966</v>
      </c>
      <c r="AX38" s="192">
        <f t="shared" si="84"/>
        <v>18.4109049004983</v>
      </c>
      <c r="AY38" s="192">
        <f t="shared" si="85"/>
        <v>14.3647440975709</v>
      </c>
      <c r="AZ38" s="192">
        <f t="shared" si="86"/>
        <v>8.08560316112734</v>
      </c>
      <c r="BA38" s="192">
        <f t="shared" si="87"/>
        <v>1.5171099498884</v>
      </c>
      <c r="BB38" s="220">
        <f t="shared" si="88"/>
        <v>10.1109930326637</v>
      </c>
      <c r="BC38" s="192"/>
      <c r="BD38" s="5">
        <f t="shared" si="57"/>
        <v>0.545808567070767</v>
      </c>
      <c r="BE38" s="5">
        <f t="shared" si="89"/>
        <v>0.294533569613871</v>
      </c>
      <c r="BF38" s="5">
        <f t="shared" si="90"/>
        <v>0.223021303740544</v>
      </c>
      <c r="BG38" s="5"/>
      <c r="BH38" s="217">
        <f t="shared" si="34"/>
        <v>0.104267447160745</v>
      </c>
      <c r="BI38" s="217">
        <f t="shared" si="35"/>
        <v>0.02945472</v>
      </c>
      <c r="BJ38" s="217">
        <f t="shared" si="36"/>
        <v>0.00228184396782108</v>
      </c>
      <c r="BK38" s="217">
        <f t="shared" si="37"/>
        <v>0.00537756527032068</v>
      </c>
      <c r="BL38">
        <f t="shared" si="38"/>
        <v>0.00348</v>
      </c>
      <c r="BM38">
        <f t="shared" si="91"/>
        <v>3.19458155494951e-6</v>
      </c>
      <c r="BN38">
        <f t="shared" si="92"/>
        <v>0.201242038553709</v>
      </c>
      <c r="BO38" s="220">
        <f t="shared" si="58"/>
        <v>201.242038553709</v>
      </c>
      <c r="BP38" s="5">
        <f t="shared" si="93"/>
        <v>0.163992602494092</v>
      </c>
      <c r="BQ38" s="5">
        <f t="shared" si="94"/>
        <v>0.118717866394689</v>
      </c>
      <c r="BR38" s="217"/>
      <c r="BT38" s="220">
        <f t="shared" si="59"/>
        <v>282.710468888781</v>
      </c>
      <c r="BU38" s="217">
        <f t="shared" si="43"/>
        <v>0.0122141866674016</v>
      </c>
      <c r="BV38" s="217">
        <f t="shared" si="60"/>
        <v>0.00867500236294891</v>
      </c>
      <c r="BW38" s="217">
        <f t="shared" si="95"/>
        <v>0.00348169513454925</v>
      </c>
      <c r="BX38" s="217">
        <f t="shared" si="45"/>
        <v>0</v>
      </c>
      <c r="BY38" s="217">
        <f t="shared" si="96"/>
        <v>0.0336975192145555</v>
      </c>
      <c r="BZ38" s="217">
        <f t="shared" si="61"/>
        <v>0.0243708841648998</v>
      </c>
      <c r="CA38" s="225">
        <f t="shared" si="97"/>
        <v>0.0129066666666666</v>
      </c>
      <c r="CB38" s="220">
        <f t="shared" si="62"/>
        <v>46.6041858812221</v>
      </c>
      <c r="CC38" s="5">
        <f t="shared" si="63"/>
        <v>0.530556693323712</v>
      </c>
      <c r="CD38" s="192">
        <f t="shared" si="64"/>
        <v>3.63</v>
      </c>
      <c r="CE38" s="5">
        <f t="shared" si="65"/>
        <v>0.872479398207678</v>
      </c>
      <c r="CF38" s="192">
        <f t="shared" si="66"/>
        <v>87.2479398207678</v>
      </c>
      <c r="CG38">
        <f t="shared" ref="CG38:CG69" si="102">F38/Iout*100</f>
        <v>33</v>
      </c>
      <c r="CI38" s="227">
        <f t="shared" si="98"/>
        <v>-50</v>
      </c>
      <c r="CJ38">
        <f t="shared" si="99"/>
        <v>-50</v>
      </c>
    </row>
    <row r="39" spans="5:88">
      <c r="E39" s="22">
        <v>34</v>
      </c>
      <c r="F39" s="25">
        <f t="shared" si="68"/>
        <v>0.17</v>
      </c>
      <c r="G39" s="25">
        <f t="shared" si="100"/>
        <v>0.136</v>
      </c>
      <c r="H39" s="25">
        <f t="shared" si="70"/>
        <v>3.06</v>
      </c>
      <c r="I39" s="25">
        <f t="shared" si="69"/>
        <v>0.68</v>
      </c>
      <c r="J39" s="212">
        <f t="shared" si="1"/>
        <v>12</v>
      </c>
      <c r="K39" s="131">
        <f t="shared" si="2"/>
        <v>12.2728</v>
      </c>
      <c r="L39" s="131">
        <f t="shared" si="3"/>
        <v>24.2728</v>
      </c>
      <c r="M39" s="131"/>
      <c r="N39" s="25">
        <f t="shared" si="4"/>
        <v>0.505619458818101</v>
      </c>
      <c r="O39" s="27">
        <f t="shared" si="101"/>
        <v>3.3508780498036</v>
      </c>
      <c r="P39" s="27">
        <f t="shared" si="71"/>
        <v>0.744639566623021</v>
      </c>
      <c r="Q39" s="25">
        <f t="shared" si="6"/>
        <v>0.186159891655755</v>
      </c>
      <c r="R39" s="25">
        <f t="shared" si="72"/>
        <v>0.670175609960719</v>
      </c>
      <c r="S39" s="131">
        <f t="shared" si="73"/>
        <v>18</v>
      </c>
      <c r="T39" s="25">
        <f t="shared" si="74"/>
        <v>1.36979022566012</v>
      </c>
      <c r="U39" s="25">
        <f t="shared" si="10"/>
        <v>2.85372963679192</v>
      </c>
      <c r="V39" s="25">
        <f t="shared" si="11"/>
        <v>2.79029688754832</v>
      </c>
      <c r="W39" s="24">
        <f t="shared" si="12"/>
        <v>350</v>
      </c>
      <c r="X39" s="131">
        <f t="shared" si="52"/>
        <v>177.178472795518</v>
      </c>
      <c r="Z39" s="25">
        <f t="shared" si="13"/>
        <v>0.693420972093396</v>
      </c>
      <c r="AA39" s="5">
        <f t="shared" si="14"/>
        <v>1.41251583194828</v>
      </c>
      <c r="AB39" s="5">
        <f t="shared" si="75"/>
        <v>0.0935414297367646</v>
      </c>
      <c r="AC39" s="5"/>
      <c r="AD39" s="5">
        <f t="shared" si="16"/>
        <v>0.611107489733394</v>
      </c>
      <c r="AE39" s="216">
        <f t="shared" si="76"/>
        <v>3398.32098765432</v>
      </c>
      <c r="AF39" s="217">
        <f t="shared" si="77"/>
        <v>0.0175086462450593</v>
      </c>
      <c r="AH39" s="5">
        <f t="shared" si="78"/>
        <v>0.924584848922554</v>
      </c>
      <c r="AI39" s="5">
        <f t="shared" si="79"/>
        <v>1.36979022566012</v>
      </c>
      <c r="AJ39" s="5">
        <f t="shared" si="80"/>
        <v>1.99243720419268</v>
      </c>
      <c r="AL39" s="216">
        <f t="shared" si="81"/>
        <v>170</v>
      </c>
      <c r="AM39" s="220">
        <f t="shared" si="82"/>
        <v>177.178472795518</v>
      </c>
      <c r="AO39">
        <f t="shared" si="53"/>
        <v>170</v>
      </c>
      <c r="AP39" s="220">
        <f t="shared" si="24"/>
        <v>177.178472795518</v>
      </c>
      <c r="AQ39" s="220"/>
      <c r="AR39" s="192">
        <f t="shared" si="54"/>
        <v>5.64402652434023</v>
      </c>
      <c r="AS39" s="192">
        <f t="shared" si="25"/>
        <v>2.85372963679192</v>
      </c>
      <c r="AT39" s="192">
        <f t="shared" si="55"/>
        <v>2.79029688754832</v>
      </c>
      <c r="AU39" s="5">
        <f t="shared" si="56"/>
        <v>0.505619458818101</v>
      </c>
      <c r="AW39" s="192">
        <f t="shared" si="83"/>
        <v>20.1076373742966</v>
      </c>
      <c r="AX39" s="192">
        <f t="shared" si="84"/>
        <v>19.5281690220166</v>
      </c>
      <c r="AY39" s="192">
        <f t="shared" si="85"/>
        <v>14.3647440975709</v>
      </c>
      <c r="AZ39" s="192">
        <f t="shared" si="86"/>
        <v>8.57482208839596</v>
      </c>
      <c r="BA39" s="192">
        <f t="shared" si="87"/>
        <v>1.61044912954178</v>
      </c>
      <c r="BB39" s="220">
        <f t="shared" si="88"/>
        <v>10.7015836661395</v>
      </c>
      <c r="BC39" s="192"/>
      <c r="BD39" s="5">
        <f t="shared" si="57"/>
        <v>0.562348220618369</v>
      </c>
      <c r="BE39" s="5">
        <f t="shared" si="89"/>
        <v>0.303458829299142</v>
      </c>
      <c r="BF39" s="5">
        <f t="shared" si="90"/>
        <v>0.229779525066017</v>
      </c>
      <c r="BG39" s="5"/>
      <c r="BH39" s="217">
        <f t="shared" si="34"/>
        <v>0.110682432431426</v>
      </c>
      <c r="BI39" s="217">
        <f t="shared" si="35"/>
        <v>0.02945472</v>
      </c>
      <c r="BJ39" s="217">
        <f t="shared" si="36"/>
        <v>0.00221473090994398</v>
      </c>
      <c r="BK39" s="217">
        <f t="shared" si="37"/>
        <v>0.00521940158589945</v>
      </c>
      <c r="BL39">
        <f t="shared" si="38"/>
        <v>0.00348</v>
      </c>
      <c r="BM39">
        <f t="shared" si="91"/>
        <v>3.10062327392157e-6</v>
      </c>
      <c r="BN39">
        <f t="shared" si="92"/>
        <v>0.211541457121787</v>
      </c>
      <c r="BO39" s="220">
        <f t="shared" si="58"/>
        <v>211.541457121787</v>
      </c>
      <c r="BP39" s="5">
        <f t="shared" si="93"/>
        <v>0.170680721518064</v>
      </c>
      <c r="BQ39" s="5">
        <f t="shared" si="94"/>
        <v>0.12330077075506</v>
      </c>
      <c r="BR39" s="217"/>
      <c r="BT39" s="220">
        <f t="shared" si="59"/>
        <v>293.981492273124</v>
      </c>
      <c r="BU39" s="217">
        <f t="shared" si="43"/>
        <v>0.0129656563705385</v>
      </c>
      <c r="BV39" s="217">
        <f t="shared" si="60"/>
        <v>0.00920872610796056</v>
      </c>
      <c r="BW39" s="217">
        <f t="shared" si="95"/>
        <v>0.00369590410976949</v>
      </c>
      <c r="BX39" s="217">
        <f t="shared" si="45"/>
        <v>0</v>
      </c>
      <c r="BY39" s="217">
        <f t="shared" si="96"/>
        <v>0.0357750363272098</v>
      </c>
      <c r="BZ39" s="217">
        <f t="shared" si="61"/>
        <v>0.0258702865882685</v>
      </c>
      <c r="CA39" s="225">
        <f t="shared" si="97"/>
        <v>0.0132977777777778</v>
      </c>
      <c r="CB39" s="220">
        <f t="shared" si="62"/>
        <v>49.0728141049876</v>
      </c>
      <c r="CC39" s="5">
        <f t="shared" si="63"/>
        <v>0.554595763499899</v>
      </c>
      <c r="CD39" s="192">
        <f t="shared" si="64"/>
        <v>3.74</v>
      </c>
      <c r="CE39" s="5">
        <f t="shared" si="65"/>
        <v>0.870861940438387</v>
      </c>
      <c r="CF39" s="192">
        <f t="shared" si="66"/>
        <v>87.0861940438387</v>
      </c>
      <c r="CG39">
        <f t="shared" si="102"/>
        <v>34</v>
      </c>
      <c r="CI39" s="227">
        <f t="shared" si="98"/>
        <v>-50</v>
      </c>
      <c r="CJ39">
        <f t="shared" si="99"/>
        <v>-50</v>
      </c>
    </row>
    <row r="40" spans="5:88">
      <c r="E40" s="22">
        <v>35</v>
      </c>
      <c r="F40" s="25">
        <f t="shared" ref="F40:F71" si="103">IF(PLOT_TYPE=1,E40/100*Iout_max,min_I*EXP(O40*rr/100))</f>
        <v>0.175</v>
      </c>
      <c r="G40" s="25">
        <f t="shared" si="100"/>
        <v>0.14</v>
      </c>
      <c r="H40" s="25">
        <f t="shared" si="70"/>
        <v>3.15</v>
      </c>
      <c r="I40" s="25">
        <f t="shared" ref="I40:I71" si="104">Vout2*G40</f>
        <v>0.7</v>
      </c>
      <c r="J40" s="212">
        <f t="shared" si="1"/>
        <v>12</v>
      </c>
      <c r="K40" s="131">
        <f t="shared" si="2"/>
        <v>12.2728</v>
      </c>
      <c r="L40" s="131">
        <f t="shared" si="3"/>
        <v>24.2728</v>
      </c>
      <c r="M40" s="131"/>
      <c r="N40" s="25">
        <f t="shared" si="4"/>
        <v>0.505619458818101</v>
      </c>
      <c r="O40" s="27">
        <f t="shared" si="101"/>
        <v>3.3508780498036</v>
      </c>
      <c r="P40" s="27">
        <f t="shared" si="71"/>
        <v>0.744639566623021</v>
      </c>
      <c r="Q40" s="25">
        <f t="shared" si="6"/>
        <v>0.186159891655755</v>
      </c>
      <c r="R40" s="25">
        <f t="shared" si="72"/>
        <v>0.670175609960719</v>
      </c>
      <c r="S40" s="131">
        <f t="shared" si="73"/>
        <v>18</v>
      </c>
      <c r="T40" s="25">
        <f t="shared" si="74"/>
        <v>1.41007817347365</v>
      </c>
      <c r="U40" s="25">
        <f t="shared" si="10"/>
        <v>2.93766286140344</v>
      </c>
      <c r="V40" s="25">
        <f t="shared" si="11"/>
        <v>2.87236444306444</v>
      </c>
      <c r="W40" s="24">
        <f t="shared" si="12"/>
        <v>350</v>
      </c>
      <c r="X40" s="131">
        <f t="shared" si="52"/>
        <v>172.116230715647</v>
      </c>
      <c r="Z40" s="25">
        <f t="shared" si="13"/>
        <v>0.693420972093396</v>
      </c>
      <c r="AA40" s="5">
        <f t="shared" si="14"/>
        <v>1.41251583194828</v>
      </c>
      <c r="AB40" s="5">
        <f t="shared" si="75"/>
        <v>0.0935414297367646</v>
      </c>
      <c r="AC40" s="5"/>
      <c r="AD40" s="5">
        <f t="shared" si="16"/>
        <v>0.611107489733394</v>
      </c>
      <c r="AE40" s="216">
        <f t="shared" si="76"/>
        <v>3498.27160493827</v>
      </c>
      <c r="AF40" s="217">
        <f t="shared" si="77"/>
        <v>0.0175086462450593</v>
      </c>
      <c r="AH40" s="5">
        <f t="shared" si="78"/>
        <v>0.938083151964686</v>
      </c>
      <c r="AI40" s="5">
        <f t="shared" si="79"/>
        <v>1.41007817347365</v>
      </c>
      <c r="AJ40" s="5">
        <f t="shared" si="80"/>
        <v>2.022280128499</v>
      </c>
      <c r="AL40" s="216">
        <f t="shared" si="81"/>
        <v>175</v>
      </c>
      <c r="AM40" s="220">
        <f t="shared" si="82"/>
        <v>172.116230715647</v>
      </c>
      <c r="AO40">
        <f t="shared" si="53"/>
        <v>175</v>
      </c>
      <c r="AP40" s="220">
        <f t="shared" si="24"/>
        <v>172.116230715647</v>
      </c>
      <c r="AQ40" s="220"/>
      <c r="AR40" s="192">
        <f t="shared" si="54"/>
        <v>5.81002730446788</v>
      </c>
      <c r="AS40" s="192">
        <f t="shared" si="25"/>
        <v>2.93766286140344</v>
      </c>
      <c r="AT40" s="192">
        <f t="shared" si="55"/>
        <v>2.87236444306444</v>
      </c>
      <c r="AU40" s="5">
        <f t="shared" si="56"/>
        <v>0.505619458818101</v>
      </c>
      <c r="AW40" s="192">
        <f t="shared" si="83"/>
        <v>20.1076373742966</v>
      </c>
      <c r="AX40" s="192">
        <f t="shared" si="84"/>
        <v>20.6783365501473</v>
      </c>
      <c r="AY40" s="192">
        <f t="shared" si="85"/>
        <v>14.3647440975709</v>
      </c>
      <c r="AZ40" s="192">
        <f t="shared" si="86"/>
        <v>9.07840575976215</v>
      </c>
      <c r="BA40" s="192">
        <f t="shared" si="87"/>
        <v>1.7065745533639</v>
      </c>
      <c r="BB40" s="220">
        <f t="shared" si="88"/>
        <v>11.3088917646279</v>
      </c>
      <c r="BC40" s="192"/>
      <c r="BD40" s="5">
        <f t="shared" si="57"/>
        <v>0.578887874165967</v>
      </c>
      <c r="BE40" s="5">
        <f t="shared" si="89"/>
        <v>0.31238408898441</v>
      </c>
      <c r="BF40" s="5">
        <f t="shared" si="90"/>
        <v>0.236537746391487</v>
      </c>
      <c r="BG40" s="5"/>
      <c r="BH40" s="217">
        <f t="shared" si="34"/>
        <v>0.117288909799737</v>
      </c>
      <c r="BI40" s="217">
        <f t="shared" si="35"/>
        <v>0.02945472</v>
      </c>
      <c r="BJ40" s="217">
        <f t="shared" si="36"/>
        <v>0.00215145288394558</v>
      </c>
      <c r="BK40" s="217">
        <f t="shared" si="37"/>
        <v>0.00507027582630234</v>
      </c>
      <c r="BL40">
        <f t="shared" si="38"/>
        <v>0.00348</v>
      </c>
      <c r="BM40">
        <f t="shared" si="91"/>
        <v>3.01203403752382e-6</v>
      </c>
      <c r="BN40">
        <f t="shared" si="92"/>
        <v>0.222252490134228</v>
      </c>
      <c r="BO40" s="220">
        <f t="shared" si="58"/>
        <v>222.252490134228</v>
      </c>
      <c r="BP40" s="5">
        <f t="shared" si="93"/>
        <v>0.177469937378571</v>
      </c>
      <c r="BQ40" s="5">
        <f t="shared" si="94"/>
        <v>0.127941639424696</v>
      </c>
      <c r="BR40" s="217"/>
      <c r="BT40" s="220">
        <f t="shared" si="59"/>
        <v>305.411576803267</v>
      </c>
      <c r="BU40" s="217">
        <f t="shared" si="43"/>
        <v>0.0137395580051121</v>
      </c>
      <c r="BV40" s="217">
        <f t="shared" si="60"/>
        <v>0.00975838190506197</v>
      </c>
      <c r="BW40" s="217">
        <f t="shared" si="95"/>
        <v>0.00391650738275745</v>
      </c>
      <c r="BX40" s="217">
        <f t="shared" si="45"/>
        <v>0</v>
      </c>
      <c r="BY40" s="217">
        <f t="shared" si="96"/>
        <v>0.0379150909652754</v>
      </c>
      <c r="BZ40" s="217">
        <f t="shared" si="61"/>
        <v>0.0274144472929315</v>
      </c>
      <c r="CA40" s="225">
        <f t="shared" si="97"/>
        <v>0.0136888888888889</v>
      </c>
      <c r="CB40" s="220">
        <f t="shared" si="62"/>
        <v>51.6039798541643</v>
      </c>
      <c r="CC40" s="5">
        <f t="shared" si="63"/>
        <v>0.579268046791659</v>
      </c>
      <c r="CD40" s="192">
        <f t="shared" si="64"/>
        <v>3.85</v>
      </c>
      <c r="CE40" s="5">
        <f t="shared" si="65"/>
        <v>0.869218109928738</v>
      </c>
      <c r="CF40" s="192">
        <f t="shared" si="66"/>
        <v>86.9218109928738</v>
      </c>
      <c r="CG40">
        <f t="shared" si="102"/>
        <v>35</v>
      </c>
      <c r="CI40" s="227">
        <f t="shared" si="98"/>
        <v>-50</v>
      </c>
      <c r="CJ40">
        <f t="shared" si="99"/>
        <v>-50</v>
      </c>
    </row>
    <row r="41" spans="5:88">
      <c r="E41" s="22">
        <v>36</v>
      </c>
      <c r="F41" s="25">
        <f t="shared" si="103"/>
        <v>0.18</v>
      </c>
      <c r="G41" s="25">
        <f t="shared" si="100"/>
        <v>0.144</v>
      </c>
      <c r="H41" s="25">
        <f t="shared" si="70"/>
        <v>3.24</v>
      </c>
      <c r="I41" s="25">
        <f t="shared" si="104"/>
        <v>0.72</v>
      </c>
      <c r="J41" s="212">
        <f t="shared" si="1"/>
        <v>12</v>
      </c>
      <c r="K41" s="131">
        <f t="shared" si="2"/>
        <v>12.2728</v>
      </c>
      <c r="L41" s="131">
        <f t="shared" si="3"/>
        <v>24.2728</v>
      </c>
      <c r="M41" s="131"/>
      <c r="N41" s="25">
        <f t="shared" si="4"/>
        <v>0.505619458818101</v>
      </c>
      <c r="O41" s="27">
        <f t="shared" si="101"/>
        <v>3.3508780498036</v>
      </c>
      <c r="P41" s="27">
        <f t="shared" si="71"/>
        <v>0.744639566623021</v>
      </c>
      <c r="Q41" s="25">
        <f t="shared" si="6"/>
        <v>0.186159891655755</v>
      </c>
      <c r="R41" s="25">
        <f t="shared" si="72"/>
        <v>0.670175609960719</v>
      </c>
      <c r="S41" s="131">
        <f t="shared" si="73"/>
        <v>18</v>
      </c>
      <c r="T41" s="25">
        <f t="shared" si="74"/>
        <v>1.45036612128718</v>
      </c>
      <c r="U41" s="25">
        <f t="shared" si="10"/>
        <v>3.02159608601496</v>
      </c>
      <c r="V41" s="25">
        <f t="shared" si="11"/>
        <v>2.95443199858056</v>
      </c>
      <c r="W41" s="24">
        <f t="shared" si="12"/>
        <v>350</v>
      </c>
      <c r="X41" s="131">
        <f t="shared" si="52"/>
        <v>167.335224306879</v>
      </c>
      <c r="Z41" s="25">
        <f t="shared" si="13"/>
        <v>0.693420972093396</v>
      </c>
      <c r="AA41" s="5">
        <f t="shared" si="14"/>
        <v>1.41251583194828</v>
      </c>
      <c r="AB41" s="5">
        <f t="shared" si="75"/>
        <v>0.0935414297367646</v>
      </c>
      <c r="AC41" s="5"/>
      <c r="AD41" s="5">
        <f t="shared" si="16"/>
        <v>0.611107489733394</v>
      </c>
      <c r="AE41" s="216">
        <f t="shared" si="76"/>
        <v>3598.22222222222</v>
      </c>
      <c r="AF41" s="217">
        <f t="shared" si="77"/>
        <v>0.0175086462450593</v>
      </c>
      <c r="AH41" s="5">
        <f t="shared" si="78"/>
        <v>0.95138996060651</v>
      </c>
      <c r="AI41" s="5">
        <f t="shared" si="79"/>
        <v>1.45036612128718</v>
      </c>
      <c r="AJ41" s="5">
        <f t="shared" si="80"/>
        <v>2.05212305280532</v>
      </c>
      <c r="AL41" s="216">
        <f t="shared" si="81"/>
        <v>180</v>
      </c>
      <c r="AM41" s="220">
        <f t="shared" si="82"/>
        <v>167.335224306879</v>
      </c>
      <c r="AO41">
        <f t="shared" si="53"/>
        <v>180</v>
      </c>
      <c r="AP41" s="220">
        <f t="shared" si="24"/>
        <v>167.335224306879</v>
      </c>
      <c r="AQ41" s="220"/>
      <c r="AR41" s="192">
        <f t="shared" si="54"/>
        <v>5.97602808459552</v>
      </c>
      <c r="AS41" s="192">
        <f t="shared" si="25"/>
        <v>3.02159608601496</v>
      </c>
      <c r="AT41" s="192">
        <f t="shared" si="55"/>
        <v>2.95443199858056</v>
      </c>
      <c r="AU41" s="5">
        <f t="shared" si="56"/>
        <v>0.505619458818101</v>
      </c>
      <c r="AW41" s="192">
        <f t="shared" si="83"/>
        <v>20.1076373742966</v>
      </c>
      <c r="AX41" s="192">
        <f t="shared" si="84"/>
        <v>21.8614074848905</v>
      </c>
      <c r="AY41" s="192">
        <f t="shared" si="85"/>
        <v>14.3647440975709</v>
      </c>
      <c r="AZ41" s="192">
        <f t="shared" si="86"/>
        <v>9.59635417522592</v>
      </c>
      <c r="BA41" s="192">
        <f t="shared" si="87"/>
        <v>1.80548622135479</v>
      </c>
      <c r="BB41" s="220">
        <f t="shared" si="88"/>
        <v>11.9329173281287</v>
      </c>
      <c r="BC41" s="192"/>
      <c r="BD41" s="5">
        <f t="shared" si="57"/>
        <v>0.595427527713565</v>
      </c>
      <c r="BE41" s="5">
        <f t="shared" si="89"/>
        <v>0.321309348669678</v>
      </c>
      <c r="BF41" s="5">
        <f t="shared" si="90"/>
        <v>0.243295967716958</v>
      </c>
      <c r="BG41" s="5"/>
      <c r="BH41" s="217">
        <f t="shared" si="34"/>
        <v>0.124086879265681</v>
      </c>
      <c r="BI41" s="217">
        <f t="shared" si="35"/>
        <v>0.02945472</v>
      </c>
      <c r="BJ41" s="217">
        <f t="shared" si="36"/>
        <v>0.00209169030383599</v>
      </c>
      <c r="BK41" s="217">
        <f t="shared" si="37"/>
        <v>0.00492943483112728</v>
      </c>
      <c r="BL41">
        <f t="shared" si="38"/>
        <v>0.00348</v>
      </c>
      <c r="BM41">
        <f t="shared" si="91"/>
        <v>2.92836642537038e-6</v>
      </c>
      <c r="BN41">
        <f t="shared" si="92"/>
        <v>0.233382637964274</v>
      </c>
      <c r="BO41" s="220">
        <f t="shared" si="58"/>
        <v>233.382637964274</v>
      </c>
      <c r="BP41" s="5">
        <f t="shared" si="93"/>
        <v>0.184360250075614</v>
      </c>
      <c r="BQ41" s="5">
        <f t="shared" si="94"/>
        <v>0.132640472403597</v>
      </c>
      <c r="BR41" s="217"/>
      <c r="BT41" s="220">
        <f t="shared" si="59"/>
        <v>317.000722479211</v>
      </c>
      <c r="BU41" s="217">
        <f t="shared" si="43"/>
        <v>0.0145358915711226</v>
      </c>
      <c r="BV41" s="217">
        <f t="shared" si="60"/>
        <v>0.0103239697542533</v>
      </c>
      <c r="BW41" s="217">
        <f t="shared" si="95"/>
        <v>0.00414350495351317</v>
      </c>
      <c r="BX41" s="217">
        <f t="shared" si="45"/>
        <v>0</v>
      </c>
      <c r="BY41" s="217">
        <f t="shared" si="96"/>
        <v>0.0401177294008742</v>
      </c>
      <c r="BZ41" s="217">
        <f t="shared" si="61"/>
        <v>0.029003366278889</v>
      </c>
      <c r="CA41" s="225">
        <f t="shared" si="97"/>
        <v>0.01408</v>
      </c>
      <c r="CB41" s="220">
        <f t="shared" si="62"/>
        <v>54.1977294008741</v>
      </c>
      <c r="CC41" s="5">
        <f t="shared" si="63"/>
        <v>0.604581089844359</v>
      </c>
      <c r="CD41" s="192">
        <f t="shared" si="64"/>
        <v>3.96</v>
      </c>
      <c r="CE41" s="5">
        <f t="shared" si="65"/>
        <v>0.867549490754041</v>
      </c>
      <c r="CF41" s="192">
        <f t="shared" si="66"/>
        <v>86.7549490754041</v>
      </c>
      <c r="CG41">
        <f t="shared" si="102"/>
        <v>36</v>
      </c>
      <c r="CI41" s="227">
        <f t="shared" si="98"/>
        <v>-50</v>
      </c>
      <c r="CJ41">
        <f t="shared" si="99"/>
        <v>-50</v>
      </c>
    </row>
    <row r="42" spans="5:88">
      <c r="E42" s="22">
        <v>37</v>
      </c>
      <c r="F42" s="25">
        <f t="shared" si="103"/>
        <v>0.185</v>
      </c>
      <c r="G42" s="25">
        <f t="shared" si="100"/>
        <v>0.148</v>
      </c>
      <c r="H42" s="25">
        <f t="shared" si="70"/>
        <v>3.33</v>
      </c>
      <c r="I42" s="25">
        <f t="shared" si="104"/>
        <v>0.74</v>
      </c>
      <c r="J42" s="212">
        <f t="shared" si="1"/>
        <v>12</v>
      </c>
      <c r="K42" s="131">
        <f t="shared" si="2"/>
        <v>12.2728</v>
      </c>
      <c r="L42" s="131">
        <f t="shared" si="3"/>
        <v>24.2728</v>
      </c>
      <c r="M42" s="131"/>
      <c r="N42" s="25">
        <f t="shared" si="4"/>
        <v>0.505619458818101</v>
      </c>
      <c r="O42" s="27">
        <f t="shared" si="101"/>
        <v>3.3508780498036</v>
      </c>
      <c r="P42" s="27">
        <f t="shared" si="71"/>
        <v>0.744639566623021</v>
      </c>
      <c r="Q42" s="25">
        <f t="shared" si="6"/>
        <v>0.186159891655755</v>
      </c>
      <c r="R42" s="25">
        <f t="shared" si="72"/>
        <v>0.670175609960719</v>
      </c>
      <c r="S42" s="131">
        <f t="shared" si="73"/>
        <v>18</v>
      </c>
      <c r="T42" s="25">
        <f t="shared" si="74"/>
        <v>1.49065406910072</v>
      </c>
      <c r="U42" s="25">
        <f t="shared" si="10"/>
        <v>3.1055293106265</v>
      </c>
      <c r="V42" s="25">
        <f t="shared" si="11"/>
        <v>3.0364995540967</v>
      </c>
      <c r="W42" s="24">
        <f t="shared" si="12"/>
        <v>350</v>
      </c>
      <c r="X42" s="131">
        <f t="shared" si="52"/>
        <v>162.812650676963</v>
      </c>
      <c r="Z42" s="25">
        <f t="shared" si="13"/>
        <v>0.693420972093396</v>
      </c>
      <c r="AA42" s="5">
        <f t="shared" si="14"/>
        <v>1.41251583194828</v>
      </c>
      <c r="AB42" s="5">
        <f t="shared" si="75"/>
        <v>0.0935414297367646</v>
      </c>
      <c r="AC42" s="5"/>
      <c r="AD42" s="5">
        <f t="shared" si="16"/>
        <v>0.611107489733394</v>
      </c>
      <c r="AE42" s="216">
        <f t="shared" si="76"/>
        <v>3698.17283950617</v>
      </c>
      <c r="AF42" s="217">
        <f t="shared" si="77"/>
        <v>0.0175086462450593</v>
      </c>
      <c r="AH42" s="5">
        <f t="shared" si="78"/>
        <v>0.964513200679863</v>
      </c>
      <c r="AI42" s="5">
        <f t="shared" si="79"/>
        <v>1.49065406910072</v>
      </c>
      <c r="AJ42" s="5">
        <f t="shared" si="80"/>
        <v>2.08196597711164</v>
      </c>
      <c r="AL42" s="216">
        <f t="shared" si="81"/>
        <v>185</v>
      </c>
      <c r="AM42" s="220">
        <f t="shared" si="82"/>
        <v>162.812650676963</v>
      </c>
      <c r="AO42">
        <f t="shared" si="53"/>
        <v>185</v>
      </c>
      <c r="AP42" s="220">
        <f t="shared" si="24"/>
        <v>162.812650676963</v>
      </c>
      <c r="AQ42" s="220"/>
      <c r="AR42" s="192">
        <f t="shared" si="54"/>
        <v>6.1420288647232</v>
      </c>
      <c r="AS42" s="192">
        <f t="shared" si="25"/>
        <v>3.1055293106265</v>
      </c>
      <c r="AT42" s="192">
        <f t="shared" si="55"/>
        <v>3.0364995540967</v>
      </c>
      <c r="AU42" s="5">
        <f t="shared" si="56"/>
        <v>0.505619458818101</v>
      </c>
      <c r="AW42" s="192">
        <f t="shared" si="83"/>
        <v>20.1076373742966</v>
      </c>
      <c r="AX42" s="192">
        <f t="shared" si="84"/>
        <v>23.0773818262462</v>
      </c>
      <c r="AY42" s="192">
        <f t="shared" si="85"/>
        <v>14.3647440975709</v>
      </c>
      <c r="AZ42" s="192">
        <f t="shared" si="86"/>
        <v>10.1286673347873</v>
      </c>
      <c r="BA42" s="192">
        <f t="shared" si="87"/>
        <v>1.90718413351444</v>
      </c>
      <c r="BB42" s="220">
        <f t="shared" si="88"/>
        <v>12.5736603566422</v>
      </c>
      <c r="BC42" s="192"/>
      <c r="BD42" s="5">
        <f t="shared" si="57"/>
        <v>0.611967181261167</v>
      </c>
      <c r="BE42" s="5">
        <f t="shared" si="89"/>
        <v>0.330234608354948</v>
      </c>
      <c r="BF42" s="5">
        <f t="shared" si="90"/>
        <v>0.25005418904243</v>
      </c>
      <c r="BG42" s="5"/>
      <c r="BH42" s="217">
        <f t="shared" si="34"/>
        <v>0.131076340829258</v>
      </c>
      <c r="BI42" s="217">
        <f t="shared" si="35"/>
        <v>0.02945472</v>
      </c>
      <c r="BJ42" s="217">
        <f t="shared" si="36"/>
        <v>0.00203515813346203</v>
      </c>
      <c r="BK42" s="217">
        <f t="shared" si="37"/>
        <v>0.00479620686271841</v>
      </c>
      <c r="BL42">
        <f t="shared" si="38"/>
        <v>0.00348</v>
      </c>
      <c r="BM42">
        <f t="shared" si="91"/>
        <v>2.84922138684685e-6</v>
      </c>
      <c r="BN42">
        <f t="shared" si="92"/>
        <v>0.24493994077897</v>
      </c>
      <c r="BO42" s="220">
        <f t="shared" si="58"/>
        <v>244.93994077897</v>
      </c>
      <c r="BP42" s="5">
        <f t="shared" si="93"/>
        <v>0.191351659609195</v>
      </c>
      <c r="BQ42" s="5">
        <f t="shared" si="94"/>
        <v>0.137397269691763</v>
      </c>
      <c r="BR42" s="217"/>
      <c r="BT42" s="220">
        <f t="shared" si="59"/>
        <v>328.748929300958</v>
      </c>
      <c r="BU42" s="217">
        <f t="shared" si="43"/>
        <v>0.0153546570685702</v>
      </c>
      <c r="BV42" s="217">
        <f t="shared" si="60"/>
        <v>0.0109054896555346</v>
      </c>
      <c r="BW42" s="217">
        <f t="shared" si="95"/>
        <v>0.00437689682203671</v>
      </c>
      <c r="BX42" s="217">
        <f t="shared" si="45"/>
        <v>0</v>
      </c>
      <c r="BY42" s="217">
        <f t="shared" si="96"/>
        <v>0.0423829992772332</v>
      </c>
      <c r="BZ42" s="217">
        <f t="shared" si="61"/>
        <v>0.0306370435461416</v>
      </c>
      <c r="CA42" s="225">
        <f t="shared" si="97"/>
        <v>0.0144711111111112</v>
      </c>
      <c r="CB42" s="220">
        <f t="shared" si="62"/>
        <v>56.8541103883443</v>
      </c>
      <c r="CC42" s="5">
        <f t="shared" si="63"/>
        <v>0.630542980468272</v>
      </c>
      <c r="CD42" s="192">
        <f t="shared" si="64"/>
        <v>4.07</v>
      </c>
      <c r="CE42" s="5">
        <f t="shared" si="65"/>
        <v>0.86585741624142</v>
      </c>
      <c r="CF42" s="192">
        <f t="shared" si="66"/>
        <v>86.585741624142</v>
      </c>
      <c r="CG42">
        <f t="shared" si="102"/>
        <v>37</v>
      </c>
      <c r="CI42" s="227">
        <f t="shared" si="98"/>
        <v>162.812650676963</v>
      </c>
      <c r="CJ42">
        <f t="shared" si="99"/>
        <v>3.54613430153037</v>
      </c>
    </row>
    <row r="43" spans="5:88">
      <c r="E43" s="22">
        <v>38</v>
      </c>
      <c r="F43" s="25">
        <f t="shared" si="103"/>
        <v>0.19</v>
      </c>
      <c r="G43" s="25">
        <f t="shared" si="100"/>
        <v>0.152</v>
      </c>
      <c r="H43" s="25">
        <f t="shared" si="70"/>
        <v>3.42</v>
      </c>
      <c r="I43" s="25">
        <f t="shared" si="104"/>
        <v>0.76</v>
      </c>
      <c r="J43" s="212">
        <f t="shared" si="1"/>
        <v>12</v>
      </c>
      <c r="K43" s="131">
        <f t="shared" si="2"/>
        <v>12.0301455748368</v>
      </c>
      <c r="L43" s="131">
        <f t="shared" si="3"/>
        <v>24.2728</v>
      </c>
      <c r="M43" s="131"/>
      <c r="N43" s="25">
        <f t="shared" si="4"/>
        <v>0.505619458818101</v>
      </c>
      <c r="O43" s="27">
        <f t="shared" si="101"/>
        <v>3.3508780498036</v>
      </c>
      <c r="P43" s="27">
        <f t="shared" si="71"/>
        <v>0.744639566623021</v>
      </c>
      <c r="Q43" s="25">
        <f t="shared" si="6"/>
        <v>0.186159891655755</v>
      </c>
      <c r="R43" s="25">
        <f t="shared" si="72"/>
        <v>0.670175609960719</v>
      </c>
      <c r="S43" s="131">
        <f t="shared" si="73"/>
        <v>17.6362002621242</v>
      </c>
      <c r="T43" s="25">
        <f t="shared" si="74"/>
        <v>1.5</v>
      </c>
      <c r="U43" s="25">
        <f t="shared" si="10"/>
        <v>3.125</v>
      </c>
      <c r="V43" s="25">
        <f t="shared" si="11"/>
        <v>3.11716926172847</v>
      </c>
      <c r="W43" s="24">
        <f t="shared" si="12"/>
        <v>350</v>
      </c>
      <c r="X43" s="131">
        <f t="shared" si="52"/>
        <v>160.200718383452</v>
      </c>
      <c r="Z43" s="25">
        <f t="shared" si="13"/>
        <v>0.68657450735765</v>
      </c>
      <c r="AA43" s="5">
        <f t="shared" si="14"/>
        <v>1.42677930014775</v>
      </c>
      <c r="AB43" s="5">
        <f t="shared" si="75"/>
        <v>0.0935530995243018</v>
      </c>
      <c r="AC43" s="5"/>
      <c r="AD43" s="5">
        <f t="shared" si="16"/>
        <v>0.623433852345693</v>
      </c>
      <c r="AE43" s="216">
        <f t="shared" si="76"/>
        <v>3723.02800472488</v>
      </c>
      <c r="AF43" s="217">
        <f t="shared" si="77"/>
        <v>0.0178618049382398</v>
      </c>
      <c r="AH43" s="5">
        <f t="shared" si="78"/>
        <v>0.977460265907812</v>
      </c>
      <c r="AI43" s="5">
        <f t="shared" si="79"/>
        <v>1.5</v>
      </c>
      <c r="AJ43" s="5">
        <f t="shared" si="80"/>
        <v>2.08888888888889</v>
      </c>
      <c r="AL43" s="216">
        <f t="shared" si="81"/>
        <v>190</v>
      </c>
      <c r="AM43" s="220">
        <f t="shared" si="82"/>
        <v>160.200718383452</v>
      </c>
      <c r="AO43" t="str">
        <f t="shared" si="53"/>
        <v/>
      </c>
      <c r="AP43" s="220" t="str">
        <f t="shared" si="24"/>
        <v/>
      </c>
      <c r="AQ43" s="220"/>
      <c r="AR43" s="192">
        <f t="shared" si="54"/>
        <v>6.24216926172847</v>
      </c>
      <c r="AS43" s="192">
        <f t="shared" si="25"/>
        <v>3.125</v>
      </c>
      <c r="AT43" s="192">
        <f t="shared" si="55"/>
        <v>3.11716926172847</v>
      </c>
      <c r="AU43" s="5">
        <f t="shared" si="56"/>
        <v>0.500627244948286</v>
      </c>
      <c r="AW43" s="192">
        <f t="shared" si="83"/>
        <v>20.1076373742966</v>
      </c>
      <c r="AX43" s="192">
        <f t="shared" si="84"/>
        <v>24.3262595742144</v>
      </c>
      <c r="AY43" s="192">
        <f t="shared" si="85"/>
        <v>14.3647440975709</v>
      </c>
      <c r="AZ43" s="192">
        <f t="shared" si="86"/>
        <v>10.6753452384462</v>
      </c>
      <c r="BA43" s="192">
        <f t="shared" si="87"/>
        <v>2.01076659167052</v>
      </c>
      <c r="BB43" s="220">
        <f t="shared" si="88"/>
        <v>12.9584045460375</v>
      </c>
      <c r="BC43" s="192"/>
      <c r="BD43" s="5">
        <f t="shared" si="57"/>
        <v>0.612756422823306</v>
      </c>
      <c r="BE43" s="5">
        <f t="shared" si="89"/>
        <v>0.3339786554959</v>
      </c>
      <c r="BF43" s="5">
        <f t="shared" si="90"/>
        <v>0.252889187700599</v>
      </c>
      <c r="BG43" s="5"/>
      <c r="BH43" s="217">
        <f t="shared" si="34"/>
        <v>0.131414651798925</v>
      </c>
      <c r="BI43" s="217">
        <f t="shared" si="35"/>
        <v>0.0291638999788338</v>
      </c>
      <c r="BJ43" s="217">
        <f t="shared" si="36"/>
        <v>0.00200250897979315</v>
      </c>
      <c r="BK43" s="217">
        <f t="shared" si="37"/>
        <v>0.00471926340937492</v>
      </c>
      <c r="BL43">
        <f t="shared" si="38"/>
        <v>0.00348</v>
      </c>
      <c r="BM43">
        <f t="shared" si="91"/>
        <v>2.8035125717104e-6</v>
      </c>
      <c r="BN43">
        <f t="shared" si="92"/>
        <v>0.245079337728294</v>
      </c>
      <c r="BO43" s="220">
        <f t="shared" si="58"/>
        <v>245.079337728294</v>
      </c>
      <c r="BP43" s="5">
        <f t="shared" si="93"/>
        <v>0.196231062593502</v>
      </c>
      <c r="BQ43" s="5">
        <f t="shared" si="94"/>
        <v>0.140943138873912</v>
      </c>
      <c r="BR43" s="217"/>
      <c r="BT43" s="220">
        <f t="shared" si="59"/>
        <v>337.174201467414</v>
      </c>
      <c r="BU43" s="217">
        <f t="shared" si="43"/>
        <v>0.0153942877821598</v>
      </c>
      <c r="BV43" s="217">
        <f t="shared" si="60"/>
        <v>0.0111541742326849</v>
      </c>
      <c r="BW43" s="217">
        <f t="shared" si="95"/>
        <v>0.00447670588791083</v>
      </c>
      <c r="BX43" s="217">
        <f t="shared" si="45"/>
        <v>0</v>
      </c>
      <c r="BY43" s="217">
        <f t="shared" si="96"/>
        <v>0.042921262856741</v>
      </c>
      <c r="BZ43" s="217">
        <f t="shared" si="61"/>
        <v>0.0310251679027556</v>
      </c>
      <c r="CA43" s="225">
        <f t="shared" si="97"/>
        <v>0.0144180646545106</v>
      </c>
      <c r="CB43" s="220">
        <f t="shared" si="62"/>
        <v>57.3393275112516</v>
      </c>
      <c r="CC43" s="5">
        <f t="shared" si="63"/>
        <v>0.639592866706959</v>
      </c>
      <c r="CD43" s="192">
        <f t="shared" si="64"/>
        <v>4.09551761642662</v>
      </c>
      <c r="CE43" s="5">
        <f t="shared" si="65"/>
        <v>0.864925460771151</v>
      </c>
      <c r="CF43" s="192">
        <f t="shared" si="66"/>
        <v>86.4925460771151</v>
      </c>
      <c r="CG43">
        <f t="shared" si="102"/>
        <v>38</v>
      </c>
      <c r="CI43" s="227">
        <f t="shared" si="98"/>
        <v>-50</v>
      </c>
      <c r="CJ43">
        <f t="shared" si="99"/>
        <v>-50</v>
      </c>
    </row>
    <row r="44" spans="5:88">
      <c r="E44" s="22">
        <v>39</v>
      </c>
      <c r="F44" s="25">
        <f t="shared" si="103"/>
        <v>0.195</v>
      </c>
      <c r="G44" s="25">
        <f t="shared" si="100"/>
        <v>0.156</v>
      </c>
      <c r="H44" s="25">
        <f t="shared" si="70"/>
        <v>3.51</v>
      </c>
      <c r="I44" s="25">
        <f t="shared" si="104"/>
        <v>0.78</v>
      </c>
      <c r="J44" s="212">
        <f t="shared" si="1"/>
        <v>12</v>
      </c>
      <c r="K44" s="131">
        <f t="shared" si="2"/>
        <v>11.7285213293282</v>
      </c>
      <c r="L44" s="131">
        <f t="shared" si="3"/>
        <v>24.2728</v>
      </c>
      <c r="M44" s="131"/>
      <c r="N44" s="25">
        <f t="shared" si="4"/>
        <v>0.505619458818101</v>
      </c>
      <c r="O44" s="27">
        <f t="shared" si="101"/>
        <v>3.3508780498036</v>
      </c>
      <c r="P44" s="27">
        <f t="shared" si="71"/>
        <v>0.744639566623021</v>
      </c>
      <c r="Q44" s="25">
        <f t="shared" si="6"/>
        <v>0.186159891655755</v>
      </c>
      <c r="R44" s="25">
        <f t="shared" si="72"/>
        <v>0.670175609960719</v>
      </c>
      <c r="S44" s="131">
        <f t="shared" si="73"/>
        <v>17.1839899989928</v>
      </c>
      <c r="T44" s="25">
        <f t="shared" si="74"/>
        <v>1.5</v>
      </c>
      <c r="U44" s="25">
        <f t="shared" si="10"/>
        <v>3.125</v>
      </c>
      <c r="V44" s="25">
        <f t="shared" si="11"/>
        <v>3.19733399863698</v>
      </c>
      <c r="W44" s="24">
        <f t="shared" si="12"/>
        <v>350</v>
      </c>
      <c r="X44" s="131">
        <f t="shared" si="52"/>
        <v>158.169435562181</v>
      </c>
      <c r="Z44" s="25">
        <f t="shared" si="13"/>
        <v>0.677869009552206</v>
      </c>
      <c r="AA44" s="5">
        <f t="shared" si="14"/>
        <v>1.44491575390909</v>
      </c>
      <c r="AB44" s="5">
        <f t="shared" si="75"/>
        <v>0.0935410009030858</v>
      </c>
      <c r="AC44" s="5"/>
      <c r="AD44" s="5">
        <f t="shared" si="16"/>
        <v>0.639466799727395</v>
      </c>
      <c r="AE44" s="216">
        <f t="shared" si="76"/>
        <v>3725.20084423107</v>
      </c>
      <c r="AF44" s="217">
        <f t="shared" si="77"/>
        <v>0.0183211598122806</v>
      </c>
      <c r="AH44" s="5">
        <f t="shared" si="78"/>
        <v>0.990238066613998</v>
      </c>
      <c r="AI44" s="5">
        <f t="shared" si="79"/>
        <v>1.5</v>
      </c>
      <c r="AJ44" s="5">
        <f t="shared" si="80"/>
        <v>2.08888888888889</v>
      </c>
      <c r="AL44" s="216">
        <f t="shared" si="81"/>
        <v>195</v>
      </c>
      <c r="AM44" s="220">
        <f t="shared" si="82"/>
        <v>158.169435562181</v>
      </c>
      <c r="AO44" t="str">
        <f t="shared" si="53"/>
        <v/>
      </c>
      <c r="AP44" s="220" t="str">
        <f t="shared" si="24"/>
        <v/>
      </c>
      <c r="AQ44" s="220"/>
      <c r="AR44" s="192">
        <f t="shared" si="54"/>
        <v>6.32233399863698</v>
      </c>
      <c r="AS44" s="192">
        <f t="shared" si="25"/>
        <v>3.125</v>
      </c>
      <c r="AT44" s="192">
        <f t="shared" si="55"/>
        <v>3.19733399863698</v>
      </c>
      <c r="AU44" s="5">
        <f t="shared" si="56"/>
        <v>0.494279486131817</v>
      </c>
      <c r="AW44" s="192">
        <f t="shared" si="83"/>
        <v>20.1076373742966</v>
      </c>
      <c r="AX44" s="192">
        <f t="shared" si="84"/>
        <v>25.6080407287951</v>
      </c>
      <c r="AY44" s="192">
        <f t="shared" si="85"/>
        <v>14.3647440975709</v>
      </c>
      <c r="AZ44" s="192">
        <f t="shared" si="86"/>
        <v>11.2363878862026</v>
      </c>
      <c r="BA44" s="192">
        <f t="shared" si="87"/>
        <v>2.11675352687541</v>
      </c>
      <c r="BB44" s="220">
        <f t="shared" si="88"/>
        <v>13.2624009277273</v>
      </c>
      <c r="BC44" s="192"/>
      <c r="BD44" s="5">
        <f t="shared" si="57"/>
        <v>0.608859273230574</v>
      </c>
      <c r="BE44" s="5">
        <f t="shared" si="89"/>
        <v>0.336094631276618</v>
      </c>
      <c r="BF44" s="5">
        <f t="shared" si="90"/>
        <v>0.254491408044846</v>
      </c>
      <c r="BG44" s="5"/>
      <c r="BH44" s="217">
        <f t="shared" si="34"/>
        <v>0.129748365109602</v>
      </c>
      <c r="BI44" s="217">
        <f t="shared" si="35"/>
        <v>0.0287941130663529</v>
      </c>
      <c r="BJ44" s="217">
        <f t="shared" si="36"/>
        <v>0.00197711794452727</v>
      </c>
      <c r="BK44" s="217">
        <f t="shared" si="37"/>
        <v>0.00465942498424647</v>
      </c>
      <c r="BL44">
        <f t="shared" si="38"/>
        <v>0.00348</v>
      </c>
      <c r="BM44">
        <f t="shared" si="91"/>
        <v>2.76796512233817e-6</v>
      </c>
      <c r="BN44">
        <f t="shared" si="92"/>
        <v>0.241774773550202</v>
      </c>
      <c r="BO44" s="220">
        <f t="shared" si="58"/>
        <v>241.774773550202</v>
      </c>
      <c r="BP44" s="5">
        <f t="shared" si="93"/>
        <v>0.200432139924305</v>
      </c>
      <c r="BQ44" s="5">
        <f t="shared" si="94"/>
        <v>0.144100087103546</v>
      </c>
      <c r="BR44" s="217"/>
      <c r="BT44" s="220">
        <f t="shared" si="59"/>
        <v>344.532227027851</v>
      </c>
      <c r="BU44" s="217">
        <f t="shared" si="43"/>
        <v>0.0151990941985534</v>
      </c>
      <c r="BV44" s="217">
        <f t="shared" si="60"/>
        <v>0.0112959601172966</v>
      </c>
      <c r="BW44" s="217">
        <f t="shared" si="95"/>
        <v>0.0045336113738054</v>
      </c>
      <c r="BX44" s="217">
        <f t="shared" si="45"/>
        <v>0</v>
      </c>
      <c r="BY44" s="217">
        <f t="shared" si="96"/>
        <v>0.0429261138546165</v>
      </c>
      <c r="BZ44" s="217">
        <f t="shared" si="61"/>
        <v>0.0310286656896554</v>
      </c>
      <c r="CA44" s="225">
        <f t="shared" si="97"/>
        <v>0.0142352492005963</v>
      </c>
      <c r="CB44" s="220">
        <f t="shared" si="62"/>
        <v>57.1613630552128</v>
      </c>
      <c r="CC44" s="5">
        <f t="shared" si="63"/>
        <v>0.643468363633267</v>
      </c>
      <c r="CD44" s="192">
        <f t="shared" si="64"/>
        <v>4.09551761642662</v>
      </c>
      <c r="CE44" s="5">
        <f t="shared" si="65"/>
        <v>0.864218133089911</v>
      </c>
      <c r="CF44" s="192">
        <f t="shared" si="66"/>
        <v>86.4218133089911</v>
      </c>
      <c r="CG44">
        <f t="shared" si="102"/>
        <v>39</v>
      </c>
      <c r="CI44" s="227">
        <f t="shared" si="98"/>
        <v>-50</v>
      </c>
      <c r="CJ44">
        <f t="shared" si="99"/>
        <v>-50</v>
      </c>
    </row>
    <row r="45" spans="5:88">
      <c r="E45" s="22">
        <v>40</v>
      </c>
      <c r="F45" s="25">
        <f t="shared" si="103"/>
        <v>0.2</v>
      </c>
      <c r="G45" s="25">
        <f t="shared" si="100"/>
        <v>0.16</v>
      </c>
      <c r="H45" s="25">
        <f t="shared" si="70"/>
        <v>3.6</v>
      </c>
      <c r="I45" s="25">
        <f t="shared" si="104"/>
        <v>0.8</v>
      </c>
      <c r="J45" s="212">
        <f t="shared" si="1"/>
        <v>12</v>
      </c>
      <c r="K45" s="131">
        <f t="shared" si="2"/>
        <v>11.441978296095</v>
      </c>
      <c r="L45" s="131">
        <f t="shared" si="3"/>
        <v>24.2728</v>
      </c>
      <c r="M45" s="131"/>
      <c r="N45" s="25">
        <f t="shared" si="4"/>
        <v>0.505619458818101</v>
      </c>
      <c r="O45" s="27">
        <f t="shared" si="101"/>
        <v>3.3508780498036</v>
      </c>
      <c r="P45" s="27">
        <f t="shared" si="71"/>
        <v>0.744639566623021</v>
      </c>
      <c r="Q45" s="25">
        <f t="shared" si="6"/>
        <v>0.186159891655755</v>
      </c>
      <c r="R45" s="25">
        <f t="shared" si="72"/>
        <v>0.670175609960719</v>
      </c>
      <c r="S45" s="131">
        <f t="shared" si="73"/>
        <v>16.754390249018</v>
      </c>
      <c r="T45" s="25">
        <f t="shared" si="74"/>
        <v>1.5</v>
      </c>
      <c r="U45" s="25">
        <f t="shared" si="10"/>
        <v>3.125</v>
      </c>
      <c r="V45" s="25">
        <f t="shared" si="11"/>
        <v>3.27740527289746</v>
      </c>
      <c r="W45" s="24">
        <f t="shared" si="12"/>
        <v>350</v>
      </c>
      <c r="X45" s="131">
        <f t="shared" si="52"/>
        <v>156.191299578173</v>
      </c>
      <c r="Z45" s="25">
        <f t="shared" si="13"/>
        <v>0.669391283906455</v>
      </c>
      <c r="AA45" s="5">
        <f t="shared" si="14"/>
        <v>1.46257768233774</v>
      </c>
      <c r="AB45" s="5">
        <f t="shared" si="75"/>
        <v>0.0935002349561591</v>
      </c>
      <c r="AC45" s="5"/>
      <c r="AD45" s="5">
        <f t="shared" si="16"/>
        <v>0.655481054579491</v>
      </c>
      <c r="AE45" s="216">
        <f t="shared" si="76"/>
        <v>3727.37368373724</v>
      </c>
      <c r="AF45" s="217">
        <f t="shared" si="77"/>
        <v>0.0187799791326033</v>
      </c>
      <c r="AH45" s="5">
        <f t="shared" si="78"/>
        <v>1.00285307284481</v>
      </c>
      <c r="AI45" s="5">
        <f t="shared" si="79"/>
        <v>1.5</v>
      </c>
      <c r="AJ45" s="5">
        <f t="shared" si="80"/>
        <v>2.08888888888889</v>
      </c>
      <c r="AL45" s="216">
        <f t="shared" si="81"/>
        <v>200</v>
      </c>
      <c r="AM45" s="220">
        <f t="shared" si="82"/>
        <v>156.191299578173</v>
      </c>
      <c r="AO45" t="str">
        <f t="shared" si="53"/>
        <v/>
      </c>
      <c r="AP45" s="220" t="str">
        <f t="shared" si="24"/>
        <v/>
      </c>
      <c r="AQ45" s="220"/>
      <c r="AR45" s="192">
        <f t="shared" si="54"/>
        <v>6.40240527289746</v>
      </c>
      <c r="AS45" s="192">
        <f t="shared" si="25"/>
        <v>3.125</v>
      </c>
      <c r="AT45" s="192">
        <f t="shared" si="55"/>
        <v>3.27740527289746</v>
      </c>
      <c r="AU45" s="5">
        <f t="shared" si="56"/>
        <v>0.48809781118179</v>
      </c>
      <c r="AW45" s="192">
        <f t="shared" si="83"/>
        <v>20.1076373742966</v>
      </c>
      <c r="AX45" s="192">
        <f t="shared" si="84"/>
        <v>26.9227252899883</v>
      </c>
      <c r="AY45" s="192">
        <f t="shared" si="85"/>
        <v>14.3647440975709</v>
      </c>
      <c r="AZ45" s="192">
        <f t="shared" si="86"/>
        <v>11.8117952780567</v>
      </c>
      <c r="BA45" s="192">
        <f t="shared" si="87"/>
        <v>2.22539864209087</v>
      </c>
      <c r="BB45" s="220">
        <f t="shared" si="88"/>
        <v>13.5660428854158</v>
      </c>
      <c r="BC45" s="192"/>
      <c r="BD45" s="5">
        <f t="shared" si="57"/>
        <v>0.605039964288594</v>
      </c>
      <c r="BE45" s="5">
        <f t="shared" si="89"/>
        <v>0.33814251864187</v>
      </c>
      <c r="BF45" s="5">
        <f t="shared" si="90"/>
        <v>0.256042071728823</v>
      </c>
      <c r="BG45" s="5"/>
      <c r="BH45" s="217">
        <f t="shared" si="34"/>
        <v>0.12812567543522</v>
      </c>
      <c r="BI45" s="217">
        <f t="shared" si="35"/>
        <v>0.0284340013230081</v>
      </c>
      <c r="BJ45" s="217">
        <f t="shared" si="36"/>
        <v>0.00195239124472716</v>
      </c>
      <c r="BK45" s="217">
        <f t="shared" si="37"/>
        <v>0.0046011521820874</v>
      </c>
      <c r="BL45">
        <f t="shared" si="38"/>
        <v>0.00348</v>
      </c>
      <c r="BM45">
        <f t="shared" si="91"/>
        <v>2.73334774261802e-6</v>
      </c>
      <c r="BN45">
        <f t="shared" si="92"/>
        <v>0.238563086623055</v>
      </c>
      <c r="BO45" s="220">
        <f t="shared" si="58"/>
        <v>238.563086623055</v>
      </c>
      <c r="BP45" s="5">
        <f t="shared" si="93"/>
        <v>0.204609677286741</v>
      </c>
      <c r="BQ45" s="5">
        <f t="shared" si="94"/>
        <v>0.147243538590321</v>
      </c>
      <c r="BR45" s="217"/>
      <c r="BT45" s="220">
        <f t="shared" si="59"/>
        <v>351.853215877062</v>
      </c>
      <c r="BU45" s="217">
        <f t="shared" si="43"/>
        <v>0.01500900769384</v>
      </c>
      <c r="BV45" s="217">
        <f t="shared" si="60"/>
        <v>0.0114340362913467</v>
      </c>
      <c r="BW45" s="217">
        <f t="shared" si="95"/>
        <v>0.00458902797466315</v>
      </c>
      <c r="BX45" s="217">
        <f t="shared" si="45"/>
        <v>0</v>
      </c>
      <c r="BY45" s="217">
        <f t="shared" si="96"/>
        <v>0.042930837932755</v>
      </c>
      <c r="BZ45" s="217">
        <f t="shared" si="61"/>
        <v>0.0310320719598499</v>
      </c>
      <c r="CA45" s="225">
        <f t="shared" si="97"/>
        <v>0.0140572169620356</v>
      </c>
      <c r="CB45" s="220">
        <f t="shared" si="62"/>
        <v>56.9880548947905</v>
      </c>
      <c r="CC45" s="5">
        <f t="shared" si="63"/>
        <v>0.647404357394907</v>
      </c>
      <c r="CD45" s="192">
        <f t="shared" si="64"/>
        <v>4.09551761642662</v>
      </c>
      <c r="CE45" s="5">
        <f t="shared" si="65"/>
        <v>0.863500947102178</v>
      </c>
      <c r="CF45" s="192">
        <f t="shared" si="66"/>
        <v>86.3500947102178</v>
      </c>
      <c r="CG45">
        <f t="shared" si="102"/>
        <v>40</v>
      </c>
      <c r="CI45" s="227">
        <f t="shared" si="98"/>
        <v>-50</v>
      </c>
      <c r="CJ45">
        <f t="shared" si="99"/>
        <v>-50</v>
      </c>
    </row>
    <row r="46" spans="5:88">
      <c r="E46" s="22">
        <v>41</v>
      </c>
      <c r="F46" s="25">
        <f t="shared" si="103"/>
        <v>0.205</v>
      </c>
      <c r="G46" s="25">
        <f t="shared" si="100"/>
        <v>0.164</v>
      </c>
      <c r="H46" s="25">
        <f t="shared" si="70"/>
        <v>3.69</v>
      </c>
      <c r="I46" s="25">
        <f t="shared" si="104"/>
        <v>0.82</v>
      </c>
      <c r="J46" s="212">
        <f t="shared" si="1"/>
        <v>12</v>
      </c>
      <c r="K46" s="131">
        <f t="shared" si="2"/>
        <v>11.1694129718</v>
      </c>
      <c r="L46" s="131">
        <f t="shared" si="3"/>
        <v>24.2728</v>
      </c>
      <c r="M46" s="131"/>
      <c r="N46" s="25">
        <f t="shared" si="4"/>
        <v>0.505619458818101</v>
      </c>
      <c r="O46" s="27">
        <f t="shared" si="101"/>
        <v>3.3508780498036</v>
      </c>
      <c r="P46" s="27">
        <f t="shared" si="71"/>
        <v>0.744639566623021</v>
      </c>
      <c r="Q46" s="25">
        <f t="shared" si="6"/>
        <v>0.186159891655755</v>
      </c>
      <c r="R46" s="25">
        <f t="shared" si="72"/>
        <v>0.670175609960719</v>
      </c>
      <c r="S46" s="131">
        <f t="shared" si="73"/>
        <v>16.3457465844078</v>
      </c>
      <c r="T46" s="25">
        <f t="shared" si="74"/>
        <v>1.5</v>
      </c>
      <c r="U46" s="25">
        <f t="shared" si="10"/>
        <v>3.125</v>
      </c>
      <c r="V46" s="25">
        <f t="shared" si="11"/>
        <v>3.35738324786434</v>
      </c>
      <c r="W46" s="24">
        <f t="shared" si="12"/>
        <v>350</v>
      </c>
      <c r="X46" s="131">
        <f t="shared" si="52"/>
        <v>154.264251551226</v>
      </c>
      <c r="Z46" s="25">
        <f t="shared" si="13"/>
        <v>0.661132506648113</v>
      </c>
      <c r="AA46" s="5">
        <f t="shared" si="14"/>
        <v>1.47978346829262</v>
      </c>
      <c r="AB46" s="5">
        <f t="shared" si="75"/>
        <v>0.0934330205612603</v>
      </c>
      <c r="AC46" s="5"/>
      <c r="AD46" s="5">
        <f t="shared" si="16"/>
        <v>0.671476649572868</v>
      </c>
      <c r="AE46" s="216">
        <f t="shared" si="76"/>
        <v>3729.54652324342</v>
      </c>
      <c r="AF46" s="217">
        <f t="shared" si="77"/>
        <v>0.019238263835251</v>
      </c>
      <c r="AH46" s="5">
        <f t="shared" si="78"/>
        <v>1.0153113526683</v>
      </c>
      <c r="AI46" s="5">
        <f t="shared" si="79"/>
        <v>1.5</v>
      </c>
      <c r="AJ46" s="5">
        <f t="shared" si="80"/>
        <v>2.08888888888889</v>
      </c>
      <c r="AL46" s="216">
        <f t="shared" si="81"/>
        <v>205</v>
      </c>
      <c r="AM46" s="220">
        <f t="shared" si="82"/>
        <v>154.264251551226</v>
      </c>
      <c r="AO46" t="str">
        <f t="shared" si="53"/>
        <v/>
      </c>
      <c r="AP46" s="220" t="str">
        <f t="shared" si="24"/>
        <v/>
      </c>
      <c r="AQ46" s="220"/>
      <c r="AR46" s="192">
        <f t="shared" si="54"/>
        <v>6.48238324786434</v>
      </c>
      <c r="AS46" s="192">
        <f t="shared" si="25"/>
        <v>3.125</v>
      </c>
      <c r="AT46" s="192">
        <f t="shared" si="55"/>
        <v>3.35738324786434</v>
      </c>
      <c r="AU46" s="5">
        <f t="shared" si="56"/>
        <v>0.482075786097582</v>
      </c>
      <c r="AW46" s="192">
        <f t="shared" si="83"/>
        <v>20.1076373742966</v>
      </c>
      <c r="AX46" s="192">
        <f t="shared" si="84"/>
        <v>28.2703132577939</v>
      </c>
      <c r="AY46" s="192">
        <f t="shared" si="85"/>
        <v>14.3647440975709</v>
      </c>
      <c r="AZ46" s="192">
        <f t="shared" si="86"/>
        <v>12.4015674140083</v>
      </c>
      <c r="BA46" s="192">
        <f t="shared" si="87"/>
        <v>2.33669729133768</v>
      </c>
      <c r="BB46" s="220">
        <f t="shared" si="88"/>
        <v>13.8693310385667</v>
      </c>
      <c r="BC46" s="192"/>
      <c r="BD46" s="5">
        <f t="shared" si="57"/>
        <v>0.60129596670291</v>
      </c>
      <c r="BE46" s="5">
        <f t="shared" si="89"/>
        <v>0.340125660117681</v>
      </c>
      <c r="BF46" s="5">
        <f t="shared" si="90"/>
        <v>0.257543709718738</v>
      </c>
      <c r="BG46" s="5"/>
      <c r="BH46" s="217">
        <f t="shared" si="34"/>
        <v>0.126544893850615</v>
      </c>
      <c r="BI46" s="217">
        <f t="shared" si="35"/>
        <v>0.0280831899378945</v>
      </c>
      <c r="BJ46" s="217">
        <f t="shared" si="36"/>
        <v>0.00192830314439033</v>
      </c>
      <c r="BK46" s="217">
        <f t="shared" si="37"/>
        <v>0.00454438435149684</v>
      </c>
      <c r="BL46">
        <f t="shared" si="38"/>
        <v>0.00348</v>
      </c>
      <c r="BM46">
        <f t="shared" si="91"/>
        <v>2.69962440214646e-6</v>
      </c>
      <c r="BN46">
        <f t="shared" si="92"/>
        <v>0.235440415632381</v>
      </c>
      <c r="BO46" s="220">
        <f t="shared" si="58"/>
        <v>235.440415632381</v>
      </c>
      <c r="BP46" s="5">
        <f t="shared" si="93"/>
        <v>0.208764586606658</v>
      </c>
      <c r="BQ46" s="5">
        <f t="shared" si="94"/>
        <v>0.150374016190876</v>
      </c>
      <c r="BR46" s="217"/>
      <c r="BT46" s="220">
        <f t="shared" si="59"/>
        <v>359.138602797534</v>
      </c>
      <c r="BU46" s="217">
        <f t="shared" si="43"/>
        <v>0.0148238304225006</v>
      </c>
      <c r="BV46" s="217">
        <f t="shared" si="60"/>
        <v>0.0115685464670488</v>
      </c>
      <c r="BW46" s="217">
        <f t="shared" si="95"/>
        <v>0.00464301336909827</v>
      </c>
      <c r="BX46" s="217">
        <f t="shared" si="45"/>
        <v>0</v>
      </c>
      <c r="BY46" s="217">
        <f t="shared" si="96"/>
        <v>0.0429354400078596</v>
      </c>
      <c r="BZ46" s="217">
        <f t="shared" si="61"/>
        <v>0.0310353902586478</v>
      </c>
      <c r="CA46" s="225">
        <f t="shared" si="97"/>
        <v>0.0138837826396104</v>
      </c>
      <c r="CB46" s="220">
        <f t="shared" si="62"/>
        <v>56.8192226474699</v>
      </c>
      <c r="CC46" s="5">
        <f t="shared" si="63"/>
        <v>0.651398241077385</v>
      </c>
      <c r="CD46" s="192">
        <f t="shared" si="64"/>
        <v>4.09551761642662</v>
      </c>
      <c r="CE46" s="5">
        <f t="shared" si="65"/>
        <v>0.862774428569733</v>
      </c>
      <c r="CF46" s="192">
        <f t="shared" si="66"/>
        <v>86.2774428569733</v>
      </c>
      <c r="CG46">
        <f t="shared" si="102"/>
        <v>41</v>
      </c>
      <c r="CI46" s="227">
        <f t="shared" si="98"/>
        <v>-50</v>
      </c>
      <c r="CJ46">
        <f t="shared" si="99"/>
        <v>-50</v>
      </c>
    </row>
    <row r="47" spans="5:88">
      <c r="E47" s="22">
        <v>42</v>
      </c>
      <c r="F47" s="25">
        <f t="shared" si="103"/>
        <v>0.21</v>
      </c>
      <c r="G47" s="25">
        <f t="shared" si="100"/>
        <v>0.168</v>
      </c>
      <c r="H47" s="25">
        <f t="shared" si="70"/>
        <v>3.78</v>
      </c>
      <c r="I47" s="25">
        <f t="shared" si="104"/>
        <v>0.84</v>
      </c>
      <c r="J47" s="212">
        <f t="shared" si="1"/>
        <v>12</v>
      </c>
      <c r="K47" s="131">
        <f t="shared" si="2"/>
        <v>10.9098269486619</v>
      </c>
      <c r="L47" s="131">
        <f t="shared" si="3"/>
        <v>24.2728</v>
      </c>
      <c r="M47" s="131"/>
      <c r="N47" s="25">
        <f t="shared" si="4"/>
        <v>0.505619458818101</v>
      </c>
      <c r="O47" s="27">
        <f t="shared" si="101"/>
        <v>3.3508780498036</v>
      </c>
      <c r="P47" s="27">
        <f t="shared" si="71"/>
        <v>0.744639566623021</v>
      </c>
      <c r="Q47" s="25">
        <f t="shared" si="6"/>
        <v>0.186159891655755</v>
      </c>
      <c r="R47" s="25">
        <f t="shared" si="72"/>
        <v>0.670175609960719</v>
      </c>
      <c r="S47" s="131">
        <f t="shared" si="73"/>
        <v>15.9565621419219</v>
      </c>
      <c r="T47" s="25">
        <f t="shared" si="74"/>
        <v>1.5</v>
      </c>
      <c r="U47" s="25">
        <f t="shared" si="10"/>
        <v>3.125</v>
      </c>
      <c r="V47" s="25">
        <f t="shared" si="11"/>
        <v>3.43726808651162</v>
      </c>
      <c r="W47" s="24">
        <f t="shared" si="12"/>
        <v>350</v>
      </c>
      <c r="X47" s="131">
        <f t="shared" si="52"/>
        <v>152.386337591944</v>
      </c>
      <c r="Z47" s="25">
        <f t="shared" si="13"/>
        <v>0.653084303965474</v>
      </c>
      <c r="AA47" s="5">
        <f t="shared" si="14"/>
        <v>1.49655055721479</v>
      </c>
      <c r="AB47" s="5">
        <f t="shared" si="75"/>
        <v>0.0933414076490572</v>
      </c>
      <c r="AC47" s="5"/>
      <c r="AD47" s="5">
        <f t="shared" si="16"/>
        <v>0.687453617302324</v>
      </c>
      <c r="AE47" s="216">
        <f t="shared" si="76"/>
        <v>3731.71936274959</v>
      </c>
      <c r="AF47" s="217">
        <f t="shared" si="77"/>
        <v>0.019696014854087</v>
      </c>
      <c r="AH47" s="5">
        <f t="shared" si="78"/>
        <v>1.02761860629321</v>
      </c>
      <c r="AI47" s="5">
        <f t="shared" si="79"/>
        <v>1.5</v>
      </c>
      <c r="AJ47" s="5">
        <f t="shared" si="80"/>
        <v>2.08888888888889</v>
      </c>
      <c r="AL47" s="216">
        <f t="shared" si="81"/>
        <v>210</v>
      </c>
      <c r="AM47" s="220">
        <f t="shared" si="82"/>
        <v>152.386337591944</v>
      </c>
      <c r="AO47" t="str">
        <f t="shared" si="53"/>
        <v/>
      </c>
      <c r="AP47" s="220" t="str">
        <f t="shared" si="24"/>
        <v/>
      </c>
      <c r="AQ47" s="220"/>
      <c r="AR47" s="192">
        <f t="shared" si="54"/>
        <v>6.56226808651162</v>
      </c>
      <c r="AS47" s="192">
        <f t="shared" si="25"/>
        <v>3.125</v>
      </c>
      <c r="AT47" s="192">
        <f t="shared" si="55"/>
        <v>3.43726808651162</v>
      </c>
      <c r="AU47" s="5">
        <f t="shared" si="56"/>
        <v>0.476207304974825</v>
      </c>
      <c r="AW47" s="192">
        <f t="shared" si="83"/>
        <v>20.1076373742966</v>
      </c>
      <c r="AX47" s="192">
        <f t="shared" si="84"/>
        <v>29.6508046322121</v>
      </c>
      <c r="AY47" s="192">
        <f t="shared" si="85"/>
        <v>14.3647440975709</v>
      </c>
      <c r="AZ47" s="192">
        <f t="shared" si="86"/>
        <v>13.0057042940575</v>
      </c>
      <c r="BA47" s="192">
        <f t="shared" si="87"/>
        <v>2.45064483945736</v>
      </c>
      <c r="BB47" s="220">
        <f t="shared" si="88"/>
        <v>14.1722660052012</v>
      </c>
      <c r="BC47" s="192"/>
      <c r="BD47" s="5">
        <f t="shared" si="57"/>
        <v>0.59762486455227</v>
      </c>
      <c r="BE47" s="5">
        <f t="shared" si="89"/>
        <v>0.342047175520238</v>
      </c>
      <c r="BF47" s="5">
        <f t="shared" si="90"/>
        <v>0.258998684344542</v>
      </c>
      <c r="BG47" s="5"/>
      <c r="BH47" s="217">
        <f t="shared" si="34"/>
        <v>0.125004417555892</v>
      </c>
      <c r="BI47" s="217">
        <f t="shared" si="35"/>
        <v>0.027741323213263</v>
      </c>
      <c r="BJ47" s="217">
        <f t="shared" si="36"/>
        <v>0.0019048292198993</v>
      </c>
      <c r="BK47" s="217">
        <f t="shared" si="37"/>
        <v>0.00448906393393927</v>
      </c>
      <c r="BL47">
        <f t="shared" si="38"/>
        <v>0.00348</v>
      </c>
      <c r="BM47">
        <f t="shared" si="91"/>
        <v>2.66676090785902e-6</v>
      </c>
      <c r="BN47">
        <f t="shared" si="92"/>
        <v>0.232403110380388</v>
      </c>
      <c r="BO47" s="220">
        <f t="shared" si="58"/>
        <v>232.403110380388</v>
      </c>
      <c r="BP47" s="5">
        <f t="shared" si="93"/>
        <v>0.212897733307045</v>
      </c>
      <c r="BQ47" s="5">
        <f t="shared" si="94"/>
        <v>0.153492016099228</v>
      </c>
      <c r="BR47" s="217"/>
      <c r="BT47" s="220">
        <f t="shared" si="59"/>
        <v>366.389749406273</v>
      </c>
      <c r="BU47" s="217">
        <f t="shared" si="43"/>
        <v>0.0146433746279759</v>
      </c>
      <c r="BV47" s="217">
        <f t="shared" si="60"/>
        <v>0.0116996270281373</v>
      </c>
      <c r="BW47" s="217">
        <f t="shared" si="95"/>
        <v>0.00469562229445428</v>
      </c>
      <c r="BX47" s="217">
        <f t="shared" si="45"/>
        <v>0</v>
      </c>
      <c r="BY47" s="217">
        <f t="shared" si="96"/>
        <v>0.0429399247459154</v>
      </c>
      <c r="BZ47" s="217">
        <f t="shared" si="61"/>
        <v>0.0310386239505674</v>
      </c>
      <c r="CA47" s="225">
        <f t="shared" si="97"/>
        <v>0.013714770383275</v>
      </c>
      <c r="CB47" s="220">
        <f t="shared" si="62"/>
        <v>56.6546951291903</v>
      </c>
      <c r="CC47" s="5">
        <f t="shared" si="63"/>
        <v>0.655447554915852</v>
      </c>
      <c r="CD47" s="192">
        <f t="shared" si="64"/>
        <v>4.09551761642662</v>
      </c>
      <c r="CE47" s="5">
        <f t="shared" si="65"/>
        <v>0.86203907389819</v>
      </c>
      <c r="CF47" s="192">
        <f t="shared" si="66"/>
        <v>86.203907389819</v>
      </c>
      <c r="CG47">
        <f t="shared" si="102"/>
        <v>42</v>
      </c>
      <c r="CI47" s="227">
        <f t="shared" si="98"/>
        <v>-50</v>
      </c>
      <c r="CJ47">
        <f t="shared" si="99"/>
        <v>-50</v>
      </c>
    </row>
    <row r="48" spans="5:88">
      <c r="E48" s="22">
        <v>43</v>
      </c>
      <c r="F48" s="25">
        <f t="shared" si="103"/>
        <v>0.215</v>
      </c>
      <c r="G48" s="25">
        <f t="shared" si="100"/>
        <v>0.172</v>
      </c>
      <c r="H48" s="25">
        <f t="shared" si="70"/>
        <v>3.87</v>
      </c>
      <c r="I48" s="25">
        <f t="shared" si="104"/>
        <v>0.86</v>
      </c>
      <c r="J48" s="212">
        <f t="shared" si="1"/>
        <v>12</v>
      </c>
      <c r="K48" s="131">
        <f t="shared" si="2"/>
        <v>10.6623146940419</v>
      </c>
      <c r="L48" s="131">
        <f t="shared" si="3"/>
        <v>24.2728</v>
      </c>
      <c r="M48" s="131"/>
      <c r="N48" s="25">
        <f t="shared" si="4"/>
        <v>0.505619458818101</v>
      </c>
      <c r="O48" s="27">
        <f t="shared" si="101"/>
        <v>3.3508780498036</v>
      </c>
      <c r="P48" s="27">
        <f t="shared" si="71"/>
        <v>0.744639566623021</v>
      </c>
      <c r="Q48" s="25">
        <f t="shared" si="6"/>
        <v>0.186159891655755</v>
      </c>
      <c r="R48" s="25">
        <f t="shared" si="72"/>
        <v>0.670175609960719</v>
      </c>
      <c r="S48" s="131">
        <f t="shared" si="73"/>
        <v>15.5854793014121</v>
      </c>
      <c r="T48" s="25">
        <f t="shared" si="74"/>
        <v>1.5</v>
      </c>
      <c r="U48" s="25">
        <f t="shared" si="10"/>
        <v>3.125</v>
      </c>
      <c r="V48" s="25">
        <f t="shared" si="11"/>
        <v>3.5170599514339</v>
      </c>
      <c r="W48" s="24">
        <f t="shared" si="12"/>
        <v>350</v>
      </c>
      <c r="X48" s="131">
        <f t="shared" si="52"/>
        <v>150.555702193582</v>
      </c>
      <c r="Z48" s="25">
        <f t="shared" si="13"/>
        <v>0.64523872368678</v>
      </c>
      <c r="AA48" s="5">
        <f t="shared" si="14"/>
        <v>1.51289551612873</v>
      </c>
      <c r="AB48" s="5">
        <f t="shared" si="75"/>
        <v>0.0932272913044109</v>
      </c>
      <c r="AC48" s="5"/>
      <c r="AD48" s="5">
        <f t="shared" si="16"/>
        <v>0.703411990286781</v>
      </c>
      <c r="AE48" s="216">
        <f t="shared" si="76"/>
        <v>3733.89220225578</v>
      </c>
      <c r="AF48" s="217">
        <f t="shared" si="77"/>
        <v>0.0201532331208006</v>
      </c>
      <c r="AH48" s="5">
        <f t="shared" si="78"/>
        <v>1.03978019655255</v>
      </c>
      <c r="AI48" s="5">
        <f t="shared" si="79"/>
        <v>1.5</v>
      </c>
      <c r="AJ48" s="5">
        <f t="shared" si="80"/>
        <v>2.08888888888889</v>
      </c>
      <c r="AL48" s="216">
        <f t="shared" si="81"/>
        <v>215</v>
      </c>
      <c r="AM48" s="220">
        <f t="shared" si="82"/>
        <v>150.555702193582</v>
      </c>
      <c r="AO48" t="str">
        <f t="shared" si="53"/>
        <v/>
      </c>
      <c r="AP48" s="220" t="str">
        <f t="shared" si="24"/>
        <v/>
      </c>
      <c r="AQ48" s="220"/>
      <c r="AR48" s="192">
        <f t="shared" si="54"/>
        <v>6.6420599514339</v>
      </c>
      <c r="AS48" s="192">
        <f t="shared" si="25"/>
        <v>3.125</v>
      </c>
      <c r="AT48" s="192">
        <f t="shared" si="55"/>
        <v>3.5170599514339</v>
      </c>
      <c r="AU48" s="5">
        <f t="shared" si="56"/>
        <v>0.470486569354943</v>
      </c>
      <c r="AW48" s="192">
        <f t="shared" si="83"/>
        <v>20.1076373742966</v>
      </c>
      <c r="AX48" s="192">
        <f t="shared" si="84"/>
        <v>31.0641994132427</v>
      </c>
      <c r="AY48" s="192">
        <f t="shared" si="85"/>
        <v>14.3647440975709</v>
      </c>
      <c r="AZ48" s="192">
        <f t="shared" si="86"/>
        <v>13.6242059182043</v>
      </c>
      <c r="BA48" s="192">
        <f t="shared" si="87"/>
        <v>2.56723666208061</v>
      </c>
      <c r="BB48" s="220">
        <f t="shared" si="88"/>
        <v>14.4748484019019</v>
      </c>
      <c r="BC48" s="192"/>
      <c r="BD48" s="5">
        <f t="shared" si="57"/>
        <v>0.594024348841197</v>
      </c>
      <c r="BE48" s="5">
        <f t="shared" si="89"/>
        <v>0.343909980825268</v>
      </c>
      <c r="BF48" s="5">
        <f t="shared" si="90"/>
        <v>0.260409203587857</v>
      </c>
      <c r="BG48" s="5"/>
      <c r="BH48" s="217">
        <f t="shared" si="34"/>
        <v>0.123502724455673</v>
      </c>
      <c r="BI48" s="217">
        <f t="shared" si="35"/>
        <v>0.0274080633615328</v>
      </c>
      <c r="BJ48" s="217">
        <f t="shared" si="36"/>
        <v>0.00188194627741977</v>
      </c>
      <c r="BK48" s="217">
        <f t="shared" si="37"/>
        <v>0.00443513626907876</v>
      </c>
      <c r="BL48">
        <f t="shared" si="38"/>
        <v>0.00348</v>
      </c>
      <c r="BM48">
        <f t="shared" si="91"/>
        <v>2.63472478838768e-6</v>
      </c>
      <c r="BN48">
        <f t="shared" si="92"/>
        <v>0.229447717552064</v>
      </c>
      <c r="BO48" s="220">
        <f t="shared" si="58"/>
        <v>229.447717552064</v>
      </c>
      <c r="BP48" s="5">
        <f t="shared" si="93"/>
        <v>0.217009939234925</v>
      </c>
      <c r="BQ48" s="5">
        <f t="shared" si="94"/>
        <v>0.15659800952493</v>
      </c>
      <c r="BR48" s="217"/>
      <c r="BT48" s="220">
        <f t="shared" si="59"/>
        <v>373.607948759856</v>
      </c>
      <c r="BU48" s="217">
        <f t="shared" si="43"/>
        <v>0.0144674620076645</v>
      </c>
      <c r="BV48" s="217">
        <f t="shared" si="60"/>
        <v>0.0118274074911236</v>
      </c>
      <c r="BW48" s="217">
        <f t="shared" si="95"/>
        <v>0.00474690673192835</v>
      </c>
      <c r="BX48" s="217">
        <f t="shared" si="45"/>
        <v>0</v>
      </c>
      <c r="BY48" s="217">
        <f t="shared" si="96"/>
        <v>0.0429442965779695</v>
      </c>
      <c r="BZ48" s="217">
        <f t="shared" si="61"/>
        <v>0.0310417762307165</v>
      </c>
      <c r="CA48" s="225">
        <f t="shared" si="97"/>
        <v>0.0135500131974224</v>
      </c>
      <c r="CB48" s="220">
        <f t="shared" si="62"/>
        <v>56.4943097753919</v>
      </c>
      <c r="CC48" s="5">
        <f t="shared" si="63"/>
        <v>0.659549976087311</v>
      </c>
      <c r="CD48" s="192">
        <f t="shared" si="64"/>
        <v>4.09551761642662</v>
      </c>
      <c r="CE48" s="5">
        <f t="shared" si="65"/>
        <v>0.861295352115359</v>
      </c>
      <c r="CF48" s="192">
        <f t="shared" si="66"/>
        <v>86.1295352115359</v>
      </c>
      <c r="CG48">
        <f t="shared" si="102"/>
        <v>43</v>
      </c>
      <c r="CI48" s="227">
        <f t="shared" si="98"/>
        <v>-50</v>
      </c>
      <c r="CJ48">
        <f t="shared" si="99"/>
        <v>-50</v>
      </c>
    </row>
    <row r="49" spans="5:88">
      <c r="E49" s="22">
        <v>44</v>
      </c>
      <c r="F49" s="25">
        <f t="shared" si="103"/>
        <v>0.22</v>
      </c>
      <c r="G49" s="25">
        <f t="shared" si="100"/>
        <v>0.176</v>
      </c>
      <c r="H49" s="25">
        <f t="shared" si="70"/>
        <v>3.96</v>
      </c>
      <c r="I49" s="25">
        <f t="shared" si="104"/>
        <v>0.88</v>
      </c>
      <c r="J49" s="212">
        <f t="shared" si="1"/>
        <v>12</v>
      </c>
      <c r="K49" s="131">
        <f t="shared" si="2"/>
        <v>10.42605299645</v>
      </c>
      <c r="L49" s="131">
        <f t="shared" si="3"/>
        <v>24.2728</v>
      </c>
      <c r="M49" s="131"/>
      <c r="N49" s="25">
        <f t="shared" si="4"/>
        <v>0.505619458818101</v>
      </c>
      <c r="O49" s="27">
        <f t="shared" si="101"/>
        <v>3.3508780498036</v>
      </c>
      <c r="P49" s="27">
        <f t="shared" si="71"/>
        <v>0.744639566623021</v>
      </c>
      <c r="Q49" s="25">
        <f t="shared" si="6"/>
        <v>0.186159891655755</v>
      </c>
      <c r="R49" s="25">
        <f t="shared" si="72"/>
        <v>0.670175609960719</v>
      </c>
      <c r="S49" s="131">
        <f t="shared" si="73"/>
        <v>15.2312638627436</v>
      </c>
      <c r="T49" s="25">
        <f t="shared" si="74"/>
        <v>1.5</v>
      </c>
      <c r="U49" s="25">
        <f t="shared" si="10"/>
        <v>3.125</v>
      </c>
      <c r="V49" s="25">
        <f t="shared" si="11"/>
        <v>3.59675900484762</v>
      </c>
      <c r="W49" s="24">
        <f t="shared" si="12"/>
        <v>350</v>
      </c>
      <c r="X49" s="131">
        <f t="shared" si="52"/>
        <v>148.770582116797</v>
      </c>
      <c r="Z49" s="25">
        <f t="shared" si="13"/>
        <v>0.637588209071986</v>
      </c>
      <c r="AA49" s="5">
        <f t="shared" si="14"/>
        <v>1.52883408824289</v>
      </c>
      <c r="AB49" s="5">
        <f t="shared" si="75"/>
        <v>0.0930924245603988</v>
      </c>
      <c r="AC49" s="5"/>
      <c r="AD49" s="5">
        <f t="shared" si="16"/>
        <v>0.719351800969523</v>
      </c>
      <c r="AE49" s="216">
        <f t="shared" si="76"/>
        <v>3736.06504176193</v>
      </c>
      <c r="AF49" s="217">
        <f t="shared" si="77"/>
        <v>0.0206099195649139</v>
      </c>
      <c r="AH49" s="5">
        <f t="shared" si="78"/>
        <v>1.05180117621427</v>
      </c>
      <c r="AI49" s="5">
        <f t="shared" si="79"/>
        <v>1.5</v>
      </c>
      <c r="AJ49" s="5">
        <f t="shared" si="80"/>
        <v>2.08888888888889</v>
      </c>
      <c r="AL49" s="216">
        <f t="shared" si="81"/>
        <v>220</v>
      </c>
      <c r="AM49" s="220">
        <f t="shared" si="82"/>
        <v>148.770582116797</v>
      </c>
      <c r="AO49" t="str">
        <f t="shared" si="53"/>
        <v/>
      </c>
      <c r="AP49" s="220" t="str">
        <f t="shared" si="24"/>
        <v/>
      </c>
      <c r="AQ49" s="220"/>
      <c r="AR49" s="192">
        <f t="shared" si="54"/>
        <v>6.72175900484762</v>
      </c>
      <c r="AS49" s="192">
        <f t="shared" si="25"/>
        <v>3.125</v>
      </c>
      <c r="AT49" s="192">
        <f t="shared" si="55"/>
        <v>3.59675900484762</v>
      </c>
      <c r="AU49" s="5">
        <f t="shared" si="56"/>
        <v>0.46490806911499</v>
      </c>
      <c r="AW49" s="192">
        <f t="shared" si="83"/>
        <v>20.1076373742966</v>
      </c>
      <c r="AX49" s="192">
        <f t="shared" si="84"/>
        <v>32.5104976008858</v>
      </c>
      <c r="AY49" s="192">
        <f t="shared" si="85"/>
        <v>14.3647440975709</v>
      </c>
      <c r="AZ49" s="192">
        <f t="shared" si="86"/>
        <v>14.2570722864486</v>
      </c>
      <c r="BA49" s="192">
        <f t="shared" si="87"/>
        <v>2.68646814559606</v>
      </c>
      <c r="BB49" s="220">
        <f t="shared" si="88"/>
        <v>14.7770788438171</v>
      </c>
      <c r="BC49" s="192"/>
      <c r="BD49" s="5">
        <f t="shared" si="57"/>
        <v>0.590492211494989</v>
      </c>
      <c r="BE49" s="5">
        <f t="shared" si="89"/>
        <v>0.34571680508978</v>
      </c>
      <c r="BF49" s="5">
        <f t="shared" si="90"/>
        <v>0.261777333895142</v>
      </c>
      <c r="BG49" s="5"/>
      <c r="BH49" s="217">
        <f t="shared" si="34"/>
        <v>0.122038368142685</v>
      </c>
      <c r="BI49" s="217">
        <f t="shared" si="35"/>
        <v>0.0270830893920344</v>
      </c>
      <c r="BJ49" s="217">
        <f t="shared" si="36"/>
        <v>0.00185963227645996</v>
      </c>
      <c r="BK49" s="217">
        <f t="shared" si="37"/>
        <v>0.00438254941463315</v>
      </c>
      <c r="BL49">
        <f t="shared" si="38"/>
        <v>0.00348</v>
      </c>
      <c r="BM49">
        <f t="shared" si="91"/>
        <v>2.60348518704394e-6</v>
      </c>
      <c r="BN49">
        <f t="shared" si="92"/>
        <v>0.22657096761756</v>
      </c>
      <c r="BO49" s="220">
        <f t="shared" si="58"/>
        <v>226.57096761756</v>
      </c>
      <c r="BP49" s="5">
        <f t="shared" si="93"/>
        <v>0.221101985369948</v>
      </c>
      <c r="BQ49" s="5">
        <f t="shared" si="94"/>
        <v>0.159692444246049</v>
      </c>
      <c r="BR49" s="217"/>
      <c r="BT49" s="220">
        <f t="shared" si="59"/>
        <v>380.794429615998</v>
      </c>
      <c r="BU49" s="217">
        <f t="shared" si="43"/>
        <v>0.0142959231252859</v>
      </c>
      <c r="BV49" s="217">
        <f t="shared" si="60"/>
        <v>0.0119520109321485</v>
      </c>
      <c r="BW49" s="217">
        <f t="shared" si="95"/>
        <v>0.00479691607788742</v>
      </c>
      <c r="BX49" s="217">
        <f t="shared" si="45"/>
        <v>0</v>
      </c>
      <c r="BY49" s="217">
        <f t="shared" si="96"/>
        <v>0.0429485597147339</v>
      </c>
      <c r="BZ49" s="217">
        <f t="shared" si="61"/>
        <v>0.0310448501353219</v>
      </c>
      <c r="CA49" s="225">
        <f t="shared" si="97"/>
        <v>0.0133893523905117</v>
      </c>
      <c r="CB49" s="220">
        <f t="shared" si="62"/>
        <v>56.3379121052456</v>
      </c>
      <c r="CC49" s="5">
        <f t="shared" si="63"/>
        <v>0.663703309338803</v>
      </c>
      <c r="CD49" s="192">
        <f t="shared" si="64"/>
        <v>4.09551761642662</v>
      </c>
      <c r="CE49" s="5">
        <f t="shared" si="65"/>
        <v>0.860543706692486</v>
      </c>
      <c r="CF49" s="192">
        <f t="shared" si="66"/>
        <v>86.0543706692486</v>
      </c>
      <c r="CG49">
        <f t="shared" si="102"/>
        <v>44</v>
      </c>
      <c r="CI49" s="227">
        <f t="shared" si="98"/>
        <v>-50</v>
      </c>
      <c r="CJ49">
        <f t="shared" si="99"/>
        <v>-50</v>
      </c>
    </row>
    <row r="50" spans="5:88">
      <c r="E50" s="22">
        <v>45</v>
      </c>
      <c r="F50" s="25">
        <f t="shared" si="103"/>
        <v>0.225</v>
      </c>
      <c r="G50" s="25">
        <f t="shared" si="100"/>
        <v>0.18</v>
      </c>
      <c r="H50" s="25">
        <f t="shared" si="70"/>
        <v>4.05</v>
      </c>
      <c r="I50" s="25">
        <f t="shared" si="104"/>
        <v>0.9</v>
      </c>
      <c r="J50" s="212">
        <f t="shared" si="1"/>
        <v>12</v>
      </c>
      <c r="K50" s="131">
        <f t="shared" si="2"/>
        <v>10.2002918187511</v>
      </c>
      <c r="L50" s="131">
        <f t="shared" si="3"/>
        <v>24.2728</v>
      </c>
      <c r="M50" s="131"/>
      <c r="N50" s="25">
        <f t="shared" si="4"/>
        <v>0.505619458818101</v>
      </c>
      <c r="O50" s="27">
        <f t="shared" si="101"/>
        <v>3.3508780498036</v>
      </c>
      <c r="P50" s="27">
        <f t="shared" si="71"/>
        <v>0.744639566623021</v>
      </c>
      <c r="Q50" s="25">
        <f t="shared" si="6"/>
        <v>0.186159891655755</v>
      </c>
      <c r="R50" s="25">
        <f t="shared" si="72"/>
        <v>0.670175609960719</v>
      </c>
      <c r="S50" s="131">
        <f t="shared" si="73"/>
        <v>14.8927913324604</v>
      </c>
      <c r="T50" s="25">
        <f t="shared" si="74"/>
        <v>1.5</v>
      </c>
      <c r="U50" s="25">
        <f t="shared" si="10"/>
        <v>3.125</v>
      </c>
      <c r="V50" s="25">
        <f t="shared" si="11"/>
        <v>3.67636540859195</v>
      </c>
      <c r="W50" s="24">
        <f t="shared" si="12"/>
        <v>350</v>
      </c>
      <c r="X50" s="131">
        <f t="shared" si="52"/>
        <v>147.02930072493</v>
      </c>
      <c r="Z50" s="25">
        <f t="shared" si="13"/>
        <v>0.630125574535413</v>
      </c>
      <c r="AA50" s="5">
        <f t="shared" si="14"/>
        <v>1.54438124352741</v>
      </c>
      <c r="AB50" s="5">
        <f t="shared" si="75"/>
        <v>0.0929384300191407</v>
      </c>
      <c r="AC50" s="5"/>
      <c r="AD50" s="5">
        <f t="shared" si="16"/>
        <v>0.73527308171839</v>
      </c>
      <c r="AE50" s="216">
        <f t="shared" si="76"/>
        <v>3738.2378812681</v>
      </c>
      <c r="AF50" s="217">
        <f t="shared" si="77"/>
        <v>0.0210660751137876</v>
      </c>
      <c r="AH50" s="5">
        <f t="shared" si="78"/>
        <v>1.0636863125135</v>
      </c>
      <c r="AI50" s="5">
        <f t="shared" si="79"/>
        <v>1.5</v>
      </c>
      <c r="AJ50" s="5">
        <f t="shared" si="80"/>
        <v>2.08888888888889</v>
      </c>
      <c r="AL50" s="216">
        <f t="shared" si="81"/>
        <v>225</v>
      </c>
      <c r="AM50" s="220">
        <f t="shared" si="82"/>
        <v>147.02930072493</v>
      </c>
      <c r="AO50" t="str">
        <f t="shared" si="53"/>
        <v/>
      </c>
      <c r="AP50" s="220" t="str">
        <f t="shared" si="24"/>
        <v/>
      </c>
      <c r="AQ50" s="220"/>
      <c r="AR50" s="192">
        <f t="shared" si="54"/>
        <v>6.80136540859195</v>
      </c>
      <c r="AS50" s="192">
        <f t="shared" si="25"/>
        <v>3.125</v>
      </c>
      <c r="AT50" s="192">
        <f t="shared" si="55"/>
        <v>3.67636540859195</v>
      </c>
      <c r="AU50" s="5">
        <f t="shared" si="56"/>
        <v>0.459466564765405</v>
      </c>
      <c r="AW50" s="192">
        <f t="shared" si="83"/>
        <v>20.1076373742966</v>
      </c>
      <c r="AX50" s="192">
        <f t="shared" si="84"/>
        <v>33.9896991951414</v>
      </c>
      <c r="AY50" s="192">
        <f t="shared" si="85"/>
        <v>14.3647440975709</v>
      </c>
      <c r="AZ50" s="192">
        <f t="shared" si="86"/>
        <v>14.9043033987905</v>
      </c>
      <c r="BA50" s="192">
        <f t="shared" si="87"/>
        <v>2.80833468711885</v>
      </c>
      <c r="BB50" s="220">
        <f t="shared" si="88"/>
        <v>15.0789579446646</v>
      </c>
      <c r="BC50" s="192"/>
      <c r="BD50" s="5">
        <f t="shared" si="57"/>
        <v>0.58702633976173</v>
      </c>
      <c r="BE50" s="5">
        <f t="shared" si="89"/>
        <v>0.347470205663524</v>
      </c>
      <c r="BF50" s="5">
        <f t="shared" si="90"/>
        <v>0.263105011695837</v>
      </c>
      <c r="BG50" s="5"/>
      <c r="BH50" s="217">
        <f t="shared" si="34"/>
        <v>0.120609973250919</v>
      </c>
      <c r="BI50" s="217">
        <f t="shared" si="35"/>
        <v>0.0267660960797706</v>
      </c>
      <c r="BJ50" s="217">
        <f t="shared" si="36"/>
        <v>0.00183786625906162</v>
      </c>
      <c r="BK50" s="217">
        <f t="shared" si="37"/>
        <v>0.00433125397950036</v>
      </c>
      <c r="BL50">
        <f t="shared" si="38"/>
        <v>0.00348</v>
      </c>
      <c r="BM50">
        <f t="shared" si="91"/>
        <v>2.57301276268627e-6</v>
      </c>
      <c r="BN50">
        <f t="shared" si="92"/>
        <v>0.223769762766446</v>
      </c>
      <c r="BO50" s="220">
        <f t="shared" si="58"/>
        <v>223.769762766446</v>
      </c>
      <c r="BP50" s="5">
        <f t="shared" si="93"/>
        <v>0.225174614333425</v>
      </c>
      <c r="BQ50" s="5">
        <f t="shared" si="94"/>
        <v>0.162775746047731</v>
      </c>
      <c r="BR50" s="217"/>
      <c r="BT50" s="220">
        <f t="shared" si="59"/>
        <v>387.950360381156</v>
      </c>
      <c r="BU50" s="217">
        <f t="shared" si="43"/>
        <v>0.0141285968665362</v>
      </c>
      <c r="BV50" s="217">
        <f t="shared" si="60"/>
        <v>0.0120735543823852</v>
      </c>
      <c r="BW50" s="217">
        <f t="shared" si="95"/>
        <v>0.00484569730256267</v>
      </c>
      <c r="BX50" s="217">
        <f t="shared" si="45"/>
        <v>0</v>
      </c>
      <c r="BY50" s="217">
        <f t="shared" si="96"/>
        <v>0.0429527181601128</v>
      </c>
      <c r="BZ50" s="217">
        <f t="shared" si="61"/>
        <v>0.0310478485514841</v>
      </c>
      <c r="CA50" s="225">
        <f t="shared" si="97"/>
        <v>0.0132326370652437</v>
      </c>
      <c r="CB50" s="220">
        <f t="shared" si="62"/>
        <v>56.1853552253565</v>
      </c>
      <c r="CC50" s="5">
        <f t="shared" si="63"/>
        <v>0.667905478372959</v>
      </c>
      <c r="CD50" s="192">
        <f t="shared" si="64"/>
        <v>4.09551761642662</v>
      </c>
      <c r="CE50" s="5">
        <f t="shared" si="65"/>
        <v>0.859784557222696</v>
      </c>
      <c r="CF50" s="192">
        <f t="shared" si="66"/>
        <v>85.9784557222696</v>
      </c>
      <c r="CG50">
        <f t="shared" si="102"/>
        <v>45</v>
      </c>
      <c r="CI50" s="227">
        <f t="shared" si="98"/>
        <v>-50</v>
      </c>
      <c r="CJ50">
        <f t="shared" si="99"/>
        <v>-50</v>
      </c>
    </row>
    <row r="51" spans="5:88">
      <c r="E51" s="22">
        <v>46</v>
      </c>
      <c r="F51" s="25">
        <f t="shared" si="103"/>
        <v>0.23</v>
      </c>
      <c r="G51" s="25">
        <f t="shared" si="100"/>
        <v>0.184</v>
      </c>
      <c r="H51" s="25">
        <f t="shared" si="70"/>
        <v>4.14</v>
      </c>
      <c r="I51" s="25">
        <f t="shared" si="104"/>
        <v>0.92</v>
      </c>
      <c r="J51" s="212">
        <f t="shared" si="1"/>
        <v>12</v>
      </c>
      <c r="K51" s="131">
        <f t="shared" si="2"/>
        <v>9.98434634443043</v>
      </c>
      <c r="L51" s="131">
        <f t="shared" si="3"/>
        <v>24.2728</v>
      </c>
      <c r="M51" s="131"/>
      <c r="N51" s="25">
        <f t="shared" si="4"/>
        <v>0.505619458818101</v>
      </c>
      <c r="O51" s="27">
        <f t="shared" si="101"/>
        <v>3.3508780498036</v>
      </c>
      <c r="P51" s="27">
        <f t="shared" si="71"/>
        <v>0.744639566623021</v>
      </c>
      <c r="Q51" s="25">
        <f t="shared" si="6"/>
        <v>0.186159891655755</v>
      </c>
      <c r="R51" s="25">
        <f t="shared" si="72"/>
        <v>0.670175609960719</v>
      </c>
      <c r="S51" s="131">
        <f t="shared" si="73"/>
        <v>14.5690349991461</v>
      </c>
      <c r="T51" s="25">
        <f t="shared" si="74"/>
        <v>1.5</v>
      </c>
      <c r="U51" s="25">
        <f t="shared" si="10"/>
        <v>3.125</v>
      </c>
      <c r="V51" s="25">
        <f t="shared" si="11"/>
        <v>3.75587932413008</v>
      </c>
      <c r="W51" s="24">
        <f t="shared" si="12"/>
        <v>350</v>
      </c>
      <c r="X51" s="131">
        <f t="shared" si="52"/>
        <v>145.330262731562</v>
      </c>
      <c r="Z51" s="25">
        <f t="shared" si="13"/>
        <v>0.622843983135267</v>
      </c>
      <c r="AA51" s="5">
        <f t="shared" si="14"/>
        <v>1.55955122561105</v>
      </c>
      <c r="AB51" s="5">
        <f t="shared" si="75"/>
        <v>0.0927668104183901</v>
      </c>
      <c r="AC51" s="5"/>
      <c r="AD51" s="5">
        <f t="shared" si="16"/>
        <v>0.751175864826016</v>
      </c>
      <c r="AE51" s="216">
        <f t="shared" si="76"/>
        <v>3740.41072077428</v>
      </c>
      <c r="AF51" s="217">
        <f t="shared" si="77"/>
        <v>0.0215217006926277</v>
      </c>
      <c r="AH51" s="5">
        <f t="shared" si="78"/>
        <v>1.07544010924432</v>
      </c>
      <c r="AI51" s="5">
        <f t="shared" si="79"/>
        <v>1.5</v>
      </c>
      <c r="AJ51" s="5">
        <f t="shared" si="80"/>
        <v>2.08888888888889</v>
      </c>
      <c r="AL51" s="216">
        <f t="shared" si="81"/>
        <v>230</v>
      </c>
      <c r="AM51" s="220">
        <f t="shared" si="82"/>
        <v>145.330262731562</v>
      </c>
      <c r="AO51" t="str">
        <f t="shared" si="53"/>
        <v/>
      </c>
      <c r="AP51" s="220" t="str">
        <f t="shared" si="24"/>
        <v/>
      </c>
      <c r="AQ51" s="220"/>
      <c r="AR51" s="192">
        <f t="shared" si="54"/>
        <v>6.88087932413008</v>
      </c>
      <c r="AS51" s="192">
        <f t="shared" si="25"/>
        <v>3.125</v>
      </c>
      <c r="AT51" s="192">
        <f t="shared" si="55"/>
        <v>3.75587932413008</v>
      </c>
      <c r="AU51" s="5">
        <f t="shared" si="56"/>
        <v>0.454157071036132</v>
      </c>
      <c r="AW51" s="192">
        <f t="shared" si="83"/>
        <v>20.1076373742966</v>
      </c>
      <c r="AX51" s="192">
        <f t="shared" si="84"/>
        <v>35.5018041960095</v>
      </c>
      <c r="AY51" s="192">
        <f t="shared" si="85"/>
        <v>14.3647440975709</v>
      </c>
      <c r="AZ51" s="192">
        <f t="shared" si="86"/>
        <v>15.56589925523</v>
      </c>
      <c r="BA51" s="192">
        <f t="shared" si="87"/>
        <v>2.9328316944596</v>
      </c>
      <c r="BB51" s="220">
        <f t="shared" si="88"/>
        <v>15.3804863167363</v>
      </c>
      <c r="BC51" s="192"/>
      <c r="BD51" s="5">
        <f t="shared" si="57"/>
        <v>0.58362471098909</v>
      </c>
      <c r="BE51" s="5">
        <f t="shared" si="89"/>
        <v>0.349172581894202</v>
      </c>
      <c r="BF51" s="5">
        <f t="shared" si="90"/>
        <v>0.264394053779972</v>
      </c>
      <c r="BG51" s="5"/>
      <c r="BH51" s="217">
        <f t="shared" si="34"/>
        <v>0.119216231146985</v>
      </c>
      <c r="BI51" s="217">
        <f t="shared" si="35"/>
        <v>0.02645679300923</v>
      </c>
      <c r="BJ51" s="217">
        <f t="shared" si="36"/>
        <v>0.00181662828414453</v>
      </c>
      <c r="BK51" s="217">
        <f t="shared" si="37"/>
        <v>0.00428120296902959</v>
      </c>
      <c r="BL51">
        <f t="shared" si="38"/>
        <v>0.00348</v>
      </c>
      <c r="BM51">
        <f t="shared" si="91"/>
        <v>2.54327959780234e-6</v>
      </c>
      <c r="BN51">
        <f t="shared" si="92"/>
        <v>0.221041165780188</v>
      </c>
      <c r="BO51" s="220">
        <f t="shared" si="58"/>
        <v>221.041165780188</v>
      </c>
      <c r="BP51" s="5">
        <f t="shared" si="93"/>
        <v>0.229228532714755</v>
      </c>
      <c r="BQ51" s="5">
        <f t="shared" si="94"/>
        <v>0.165848320056068</v>
      </c>
      <c r="BR51" s="217"/>
      <c r="BT51" s="220">
        <f t="shared" si="59"/>
        <v>395.076852770823</v>
      </c>
      <c r="BU51" s="217">
        <f t="shared" si="43"/>
        <v>0.0139653299343611</v>
      </c>
      <c r="BV51" s="217">
        <f t="shared" si="60"/>
        <v>0.0121921491946663</v>
      </c>
      <c r="BW51" s="217">
        <f t="shared" si="95"/>
        <v>0.00489329509719445</v>
      </c>
      <c r="BX51" s="217">
        <f t="shared" si="45"/>
        <v>0</v>
      </c>
      <c r="BY51" s="217">
        <f t="shared" si="96"/>
        <v>0.0429567757237449</v>
      </c>
      <c r="BZ51" s="217">
        <f t="shared" si="61"/>
        <v>0.0310507742262218</v>
      </c>
      <c r="CA51" s="225">
        <f t="shared" si="97"/>
        <v>0.0130797236458406</v>
      </c>
      <c r="CB51" s="220">
        <f t="shared" si="62"/>
        <v>56.0364993695855</v>
      </c>
      <c r="CC51" s="5">
        <f t="shared" si="63"/>
        <v>0.672154517920596</v>
      </c>
      <c r="CD51" s="192">
        <f t="shared" si="64"/>
        <v>4.09551761642662</v>
      </c>
      <c r="CE51" s="5">
        <f t="shared" si="65"/>
        <v>0.859018300969509</v>
      </c>
      <c r="CF51" s="192">
        <f t="shared" si="66"/>
        <v>85.9018300969509</v>
      </c>
      <c r="CG51">
        <f t="shared" si="102"/>
        <v>46</v>
      </c>
      <c r="CI51" s="227">
        <f t="shared" si="98"/>
        <v>-50</v>
      </c>
      <c r="CJ51">
        <f t="shared" si="99"/>
        <v>-50</v>
      </c>
    </row>
    <row r="52" spans="5:88">
      <c r="E52" s="22">
        <v>47</v>
      </c>
      <c r="F52" s="25">
        <f t="shared" si="103"/>
        <v>0.235</v>
      </c>
      <c r="G52" s="25">
        <f t="shared" si="100"/>
        <v>0.188</v>
      </c>
      <c r="H52" s="25">
        <f t="shared" si="70"/>
        <v>4.23</v>
      </c>
      <c r="I52" s="25">
        <f t="shared" si="104"/>
        <v>0.94</v>
      </c>
      <c r="J52" s="212">
        <f t="shared" si="1"/>
        <v>12</v>
      </c>
      <c r="K52" s="131">
        <f t="shared" si="2"/>
        <v>9.77759003922978</v>
      </c>
      <c r="L52" s="131">
        <f t="shared" si="3"/>
        <v>24.2728</v>
      </c>
      <c r="M52" s="131"/>
      <c r="N52" s="25">
        <f t="shared" si="4"/>
        <v>0.505619458818101</v>
      </c>
      <c r="O52" s="27">
        <f t="shared" si="101"/>
        <v>3.3508780498036</v>
      </c>
      <c r="P52" s="27">
        <f t="shared" si="71"/>
        <v>0.744639566623021</v>
      </c>
      <c r="Q52" s="25">
        <f t="shared" si="6"/>
        <v>0.186159891655755</v>
      </c>
      <c r="R52" s="25">
        <f t="shared" si="72"/>
        <v>0.670175609960719</v>
      </c>
      <c r="S52" s="131">
        <f t="shared" si="73"/>
        <v>14.2590555310791</v>
      </c>
      <c r="T52" s="25">
        <f t="shared" si="74"/>
        <v>1.5</v>
      </c>
      <c r="U52" s="25">
        <f t="shared" si="10"/>
        <v>3.125</v>
      </c>
      <c r="V52" s="25">
        <f t="shared" si="11"/>
        <v>3.83530091255023</v>
      </c>
      <c r="W52" s="24">
        <f t="shared" si="12"/>
        <v>350</v>
      </c>
      <c r="X52" s="131">
        <f t="shared" si="52"/>
        <v>143.671949325766</v>
      </c>
      <c r="Z52" s="25">
        <f t="shared" si="13"/>
        <v>0.615736925681855</v>
      </c>
      <c r="AA52" s="5">
        <f t="shared" si="14"/>
        <v>1.57435759530566</v>
      </c>
      <c r="AB52" s="5">
        <f t="shared" si="75"/>
        <v>0.0925789582496113</v>
      </c>
      <c r="AC52" s="5"/>
      <c r="AD52" s="5">
        <f t="shared" si="16"/>
        <v>0.767060182510046</v>
      </c>
      <c r="AE52" s="216">
        <f t="shared" si="76"/>
        <v>3742.58356028045</v>
      </c>
      <c r="AF52" s="217">
        <f t="shared" si="77"/>
        <v>0.0219767972244918</v>
      </c>
      <c r="AH52" s="5">
        <f t="shared" si="78"/>
        <v>1.08706682670123</v>
      </c>
      <c r="AI52" s="5">
        <f t="shared" si="79"/>
        <v>1.5</v>
      </c>
      <c r="AJ52" s="5">
        <f t="shared" si="80"/>
        <v>2.08888888888889</v>
      </c>
      <c r="AL52" s="216">
        <f t="shared" si="81"/>
        <v>235</v>
      </c>
      <c r="AM52" s="220">
        <f t="shared" si="82"/>
        <v>143.671949325766</v>
      </c>
      <c r="AO52" t="str">
        <f t="shared" si="53"/>
        <v/>
      </c>
      <c r="AP52" s="220" t="str">
        <f t="shared" si="24"/>
        <v/>
      </c>
      <c r="AQ52" s="220"/>
      <c r="AR52" s="192">
        <f t="shared" si="54"/>
        <v>6.96030091255023</v>
      </c>
      <c r="AS52" s="192">
        <f t="shared" si="25"/>
        <v>3.125</v>
      </c>
      <c r="AT52" s="192">
        <f t="shared" si="55"/>
        <v>3.83530091255023</v>
      </c>
      <c r="AU52" s="5">
        <f t="shared" si="56"/>
        <v>0.448974841643019</v>
      </c>
      <c r="AW52" s="192">
        <f t="shared" si="83"/>
        <v>20.1076373742966</v>
      </c>
      <c r="AX52" s="192">
        <f t="shared" si="84"/>
        <v>37.0468126034901</v>
      </c>
      <c r="AY52" s="192">
        <f t="shared" si="85"/>
        <v>14.3647440975709</v>
      </c>
      <c r="AZ52" s="192">
        <f t="shared" si="86"/>
        <v>16.241859855767</v>
      </c>
      <c r="BA52" s="192">
        <f t="shared" si="87"/>
        <v>3.05995458609332</v>
      </c>
      <c r="BB52" s="220">
        <f t="shared" si="88"/>
        <v>15.6816645709024</v>
      </c>
      <c r="BC52" s="192"/>
      <c r="BD52" s="5">
        <f t="shared" si="57"/>
        <v>0.580285387746636</v>
      </c>
      <c r="BE52" s="5">
        <f t="shared" si="89"/>
        <v>0.350826187502402</v>
      </c>
      <c r="BF52" s="5">
        <f t="shared" si="90"/>
        <v>0.265646166668485</v>
      </c>
      <c r="BG52" s="5"/>
      <c r="BH52" s="217">
        <f t="shared" si="34"/>
        <v>0.117855895931292</v>
      </c>
      <c r="BI52" s="217">
        <f t="shared" si="35"/>
        <v>0.0261549036869584</v>
      </c>
      <c r="BJ52" s="217">
        <f t="shared" si="36"/>
        <v>0.00179589936657208</v>
      </c>
      <c r="BK52" s="217">
        <f t="shared" si="37"/>
        <v>0.00423235164141869</v>
      </c>
      <c r="BL52">
        <f t="shared" si="38"/>
        <v>0.00348</v>
      </c>
      <c r="BM52">
        <f t="shared" si="91"/>
        <v>2.51425911320091e-6</v>
      </c>
      <c r="BN52">
        <f t="shared" si="92"/>
        <v>0.218382389758845</v>
      </c>
      <c r="BO52" s="220">
        <f t="shared" si="58"/>
        <v>218.382389758845</v>
      </c>
      <c r="BP52" s="5">
        <f t="shared" si="93"/>
        <v>0.233264413230567</v>
      </c>
      <c r="BQ52" s="5">
        <f t="shared" si="94"/>
        <v>0.168910551976055</v>
      </c>
      <c r="BR52" s="217"/>
      <c r="BT52" s="220">
        <f t="shared" si="59"/>
        <v>402.174965206622</v>
      </c>
      <c r="BU52" s="217">
        <f t="shared" si="43"/>
        <v>0.0138059763805228</v>
      </c>
      <c r="BV52" s="217">
        <f t="shared" si="60"/>
        <v>0.0123079013837471</v>
      </c>
      <c r="BW52" s="217">
        <f t="shared" si="95"/>
        <v>0.00493975201059625</v>
      </c>
      <c r="BX52" s="217">
        <f t="shared" si="45"/>
        <v>0</v>
      </c>
      <c r="BY52" s="217">
        <f t="shared" si="96"/>
        <v>0.0429607360326444</v>
      </c>
      <c r="BZ52" s="217">
        <f t="shared" si="61"/>
        <v>0.0310536297748661</v>
      </c>
      <c r="CA52" s="225">
        <f t="shared" si="97"/>
        <v>0.0129304754393189</v>
      </c>
      <c r="CB52" s="220">
        <f t="shared" si="62"/>
        <v>55.8912114719633</v>
      </c>
      <c r="CC52" s="5">
        <f t="shared" si="63"/>
        <v>0.676448566437431</v>
      </c>
      <c r="CD52" s="192">
        <f t="shared" si="64"/>
        <v>4.09551761642662</v>
      </c>
      <c r="CE52" s="5">
        <f t="shared" si="65"/>
        <v>0.85824531429696</v>
      </c>
      <c r="CF52" s="192">
        <f t="shared" si="66"/>
        <v>85.824531429696</v>
      </c>
      <c r="CG52">
        <f t="shared" si="102"/>
        <v>47</v>
      </c>
      <c r="CI52" s="227">
        <f t="shared" si="98"/>
        <v>-50</v>
      </c>
      <c r="CJ52">
        <f t="shared" si="99"/>
        <v>-50</v>
      </c>
    </row>
    <row r="53" spans="5:88">
      <c r="E53" s="22">
        <v>48</v>
      </c>
      <c r="F53" s="25">
        <f t="shared" si="103"/>
        <v>0.24</v>
      </c>
      <c r="G53" s="25">
        <f t="shared" si="100"/>
        <v>0.192</v>
      </c>
      <c r="H53" s="25">
        <f t="shared" si="70"/>
        <v>4.32</v>
      </c>
      <c r="I53" s="25">
        <f t="shared" si="104"/>
        <v>0.96</v>
      </c>
      <c r="J53" s="212">
        <f t="shared" si="1"/>
        <v>12</v>
      </c>
      <c r="K53" s="131">
        <f t="shared" si="2"/>
        <v>9.57944858007916</v>
      </c>
      <c r="L53" s="131">
        <f t="shared" si="3"/>
        <v>24.2728</v>
      </c>
      <c r="M53" s="131"/>
      <c r="N53" s="25">
        <f t="shared" si="4"/>
        <v>0.505619458818101</v>
      </c>
      <c r="O53" s="27">
        <f t="shared" si="101"/>
        <v>3.3508780498036</v>
      </c>
      <c r="P53" s="27">
        <f t="shared" si="71"/>
        <v>0.744639566623021</v>
      </c>
      <c r="Q53" s="25">
        <f t="shared" si="6"/>
        <v>0.186159891655755</v>
      </c>
      <c r="R53" s="25">
        <f t="shared" si="72"/>
        <v>0.670175609960719</v>
      </c>
      <c r="S53" s="131">
        <f t="shared" si="73"/>
        <v>13.9619918741817</v>
      </c>
      <c r="T53" s="25">
        <f t="shared" si="74"/>
        <v>1.5</v>
      </c>
      <c r="U53" s="25">
        <f t="shared" si="10"/>
        <v>3.125</v>
      </c>
      <c r="V53" s="25">
        <f t="shared" si="11"/>
        <v>3.91463033456672</v>
      </c>
      <c r="W53" s="24">
        <f t="shared" si="12"/>
        <v>350</v>
      </c>
      <c r="X53" s="131">
        <f t="shared" si="52"/>
        <v>142.052913643732</v>
      </c>
      <c r="Z53" s="25">
        <f t="shared" si="13"/>
        <v>0.608798201330278</v>
      </c>
      <c r="AA53" s="5">
        <f t="shared" si="14"/>
        <v>1.58881327103811</v>
      </c>
      <c r="AB53" s="5">
        <f t="shared" si="75"/>
        <v>0.0923761645216302</v>
      </c>
      <c r="AC53" s="5"/>
      <c r="AD53" s="5">
        <f t="shared" si="16"/>
        <v>0.782926066913345</v>
      </c>
      <c r="AE53" s="216">
        <f t="shared" si="76"/>
        <v>3744.75639978662</v>
      </c>
      <c r="AF53" s="217">
        <f t="shared" si="77"/>
        <v>0.0224313656302948</v>
      </c>
      <c r="AH53" s="5">
        <f t="shared" si="78"/>
        <v>1.09857049972095</v>
      </c>
      <c r="AI53" s="5">
        <f t="shared" si="79"/>
        <v>1.5</v>
      </c>
      <c r="AJ53" s="5">
        <f t="shared" si="80"/>
        <v>2.08888888888889</v>
      </c>
      <c r="AL53" s="216">
        <f t="shared" si="81"/>
        <v>240</v>
      </c>
      <c r="AM53" s="220">
        <f t="shared" si="82"/>
        <v>142.052913643732</v>
      </c>
      <c r="AO53" t="str">
        <f t="shared" si="53"/>
        <v/>
      </c>
      <c r="AP53" s="220" t="str">
        <f t="shared" si="24"/>
        <v/>
      </c>
      <c r="AQ53" s="220"/>
      <c r="AR53" s="192">
        <f t="shared" si="54"/>
        <v>7.03963033456673</v>
      </c>
      <c r="AS53" s="192">
        <f t="shared" si="25"/>
        <v>3.125</v>
      </c>
      <c r="AT53" s="192">
        <f t="shared" si="55"/>
        <v>3.91463033456673</v>
      </c>
      <c r="AU53" s="5">
        <f t="shared" si="56"/>
        <v>0.443915355136661</v>
      </c>
      <c r="AW53" s="192">
        <f t="shared" si="83"/>
        <v>20.1076373742966</v>
      </c>
      <c r="AX53" s="192">
        <f t="shared" si="84"/>
        <v>38.6247244175831</v>
      </c>
      <c r="AY53" s="192">
        <f t="shared" si="85"/>
        <v>14.3647440975709</v>
      </c>
      <c r="AZ53" s="192">
        <f t="shared" si="86"/>
        <v>16.9321852004016</v>
      </c>
      <c r="BA53" s="192">
        <f t="shared" si="87"/>
        <v>3.18969879112844</v>
      </c>
      <c r="BB53" s="220">
        <f t="shared" si="88"/>
        <v>15.9824933166149</v>
      </c>
      <c r="BC53" s="192"/>
      <c r="BD53" s="5">
        <f t="shared" si="57"/>
        <v>0.577006513266961</v>
      </c>
      <c r="BE53" s="5">
        <f t="shared" si="89"/>
        <v>0.352433141778561</v>
      </c>
      <c r="BF53" s="5">
        <f t="shared" si="90"/>
        <v>0.266862955091585</v>
      </c>
      <c r="BG53" s="5"/>
      <c r="BH53" s="217">
        <f t="shared" si="34"/>
        <v>0.116527780723374</v>
      </c>
      <c r="BI53" s="217">
        <f t="shared" si="35"/>
        <v>0.0258601647171868</v>
      </c>
      <c r="BJ53" s="217">
        <f t="shared" si="36"/>
        <v>0.00177566142054664</v>
      </c>
      <c r="BK53" s="217">
        <f t="shared" si="37"/>
        <v>0.00418465737431554</v>
      </c>
      <c r="BL53">
        <f t="shared" si="38"/>
        <v>0.00348</v>
      </c>
      <c r="BM53">
        <f t="shared" si="91"/>
        <v>2.4859259887653e-6</v>
      </c>
      <c r="BN53">
        <f t="shared" si="92"/>
        <v>0.215790788626446</v>
      </c>
      <c r="BO53" s="220">
        <f t="shared" si="58"/>
        <v>215.790788626446</v>
      </c>
      <c r="BP53" s="5">
        <f t="shared" si="93"/>
        <v>0.237282896730441</v>
      </c>
      <c r="BQ53" s="5">
        <f t="shared" si="94"/>
        <v>0.171962809241576</v>
      </c>
      <c r="BR53" s="217"/>
      <c r="BT53" s="220">
        <f t="shared" si="59"/>
        <v>409.245705972016</v>
      </c>
      <c r="BU53" s="217">
        <f t="shared" si="43"/>
        <v>0.0136503971704523</v>
      </c>
      <c r="BV53" s="217">
        <f t="shared" si="60"/>
        <v>0.0124209119423908</v>
      </c>
      <c r="BW53" s="217">
        <f t="shared" si="95"/>
        <v>0.00498510857601495</v>
      </c>
      <c r="BX53" s="217">
        <f t="shared" si="45"/>
        <v>0</v>
      </c>
      <c r="BY53" s="217">
        <f t="shared" si="96"/>
        <v>0.0429646025420145</v>
      </c>
      <c r="BZ53" s="217">
        <f t="shared" si="61"/>
        <v>0.031056417688858</v>
      </c>
      <c r="CA53" s="225">
        <f t="shared" si="97"/>
        <v>0.0127847622279358</v>
      </c>
      <c r="CB53" s="220">
        <f t="shared" si="62"/>
        <v>55.7493647699504</v>
      </c>
      <c r="CC53" s="5">
        <f t="shared" si="63"/>
        <v>0.680785859368412</v>
      </c>
      <c r="CD53" s="192">
        <f t="shared" si="64"/>
        <v>4.09551761642662</v>
      </c>
      <c r="CE53" s="5">
        <f t="shared" si="65"/>
        <v>0.857465953991734</v>
      </c>
      <c r="CF53" s="192">
        <f t="shared" si="66"/>
        <v>85.7465953991734</v>
      </c>
      <c r="CG53">
        <f t="shared" si="102"/>
        <v>48</v>
      </c>
      <c r="CI53" s="227">
        <f t="shared" si="98"/>
        <v>-50</v>
      </c>
      <c r="CJ53">
        <f t="shared" si="99"/>
        <v>-50</v>
      </c>
    </row>
    <row r="54" spans="5:88">
      <c r="E54" s="22">
        <v>49</v>
      </c>
      <c r="F54" s="25">
        <f t="shared" si="103"/>
        <v>0.245</v>
      </c>
      <c r="G54" s="25">
        <f t="shared" si="100"/>
        <v>0.196</v>
      </c>
      <c r="H54" s="25">
        <f t="shared" si="70"/>
        <v>4.41</v>
      </c>
      <c r="I54" s="25">
        <f t="shared" si="104"/>
        <v>0.98</v>
      </c>
      <c r="J54" s="212">
        <f t="shared" si="1"/>
        <v>12</v>
      </c>
      <c r="K54" s="131">
        <f t="shared" si="2"/>
        <v>9.38939452742449</v>
      </c>
      <c r="L54" s="131">
        <f t="shared" si="3"/>
        <v>24.2728</v>
      </c>
      <c r="M54" s="131"/>
      <c r="N54" s="25">
        <f t="shared" si="4"/>
        <v>0.505619458818101</v>
      </c>
      <c r="O54" s="27">
        <f t="shared" si="101"/>
        <v>3.3508780498036</v>
      </c>
      <c r="P54" s="27">
        <f t="shared" si="71"/>
        <v>0.744639566623021</v>
      </c>
      <c r="Q54" s="25">
        <f t="shared" si="6"/>
        <v>0.186159891655755</v>
      </c>
      <c r="R54" s="25">
        <f t="shared" si="72"/>
        <v>0.670175609960719</v>
      </c>
      <c r="S54" s="131">
        <f t="shared" si="73"/>
        <v>13.6770532645045</v>
      </c>
      <c r="T54" s="25">
        <f t="shared" si="74"/>
        <v>1.5</v>
      </c>
      <c r="U54" s="25">
        <f t="shared" si="10"/>
        <v>3.125</v>
      </c>
      <c r="V54" s="25">
        <f t="shared" si="11"/>
        <v>3.9938677505211</v>
      </c>
      <c r="W54" s="24">
        <f t="shared" si="12"/>
        <v>350</v>
      </c>
      <c r="X54" s="131">
        <f t="shared" si="52"/>
        <v>140.4717765584</v>
      </c>
      <c r="Z54" s="25">
        <f t="shared" si="13"/>
        <v>0.602021899536</v>
      </c>
      <c r="AA54" s="5">
        <f t="shared" si="14"/>
        <v>1.60293056644286</v>
      </c>
      <c r="AB54" s="5">
        <f t="shared" si="75"/>
        <v>0.0921596267537078</v>
      </c>
      <c r="AC54" s="5"/>
      <c r="AD54" s="5">
        <f t="shared" si="16"/>
        <v>0.798773550104221</v>
      </c>
      <c r="AE54" s="216">
        <f t="shared" si="76"/>
        <v>3746.9292392928</v>
      </c>
      <c r="AF54" s="217">
        <f t="shared" si="77"/>
        <v>0.0228854068288155</v>
      </c>
      <c r="AH54" s="5">
        <f t="shared" si="78"/>
        <v>1.10995495404093</v>
      </c>
      <c r="AI54" s="5">
        <f t="shared" si="79"/>
        <v>1.5</v>
      </c>
      <c r="AJ54" s="5">
        <f t="shared" si="80"/>
        <v>2.08888888888889</v>
      </c>
      <c r="AL54" s="216">
        <f t="shared" si="81"/>
        <v>245</v>
      </c>
      <c r="AM54" s="220">
        <f t="shared" si="82"/>
        <v>140.4717765584</v>
      </c>
      <c r="AO54" t="str">
        <f t="shared" si="53"/>
        <v/>
      </c>
      <c r="AP54" s="220" t="str">
        <f t="shared" si="24"/>
        <v/>
      </c>
      <c r="AQ54" s="220"/>
      <c r="AR54" s="192">
        <f t="shared" si="54"/>
        <v>7.1188677505211</v>
      </c>
      <c r="AS54" s="192">
        <f t="shared" si="25"/>
        <v>3.125</v>
      </c>
      <c r="AT54" s="192">
        <f t="shared" si="55"/>
        <v>3.9938677505211</v>
      </c>
      <c r="AU54" s="5">
        <f t="shared" si="56"/>
        <v>0.438974301745</v>
      </c>
      <c r="AW54" s="192">
        <f t="shared" si="83"/>
        <v>20.1076373742966</v>
      </c>
      <c r="AX54" s="192">
        <f t="shared" si="84"/>
        <v>40.2355396382887</v>
      </c>
      <c r="AY54" s="192">
        <f t="shared" si="85"/>
        <v>14.3647440975709</v>
      </c>
      <c r="AZ54" s="192">
        <f t="shared" si="86"/>
        <v>17.6368752891338</v>
      </c>
      <c r="BA54" s="192">
        <f t="shared" si="87"/>
        <v>3.32205974927604</v>
      </c>
      <c r="BB54" s="220">
        <f t="shared" si="88"/>
        <v>16.2829731619123</v>
      </c>
      <c r="BC54" s="192"/>
      <c r="BD54" s="5">
        <f t="shared" si="57"/>
        <v>0.573786307181297</v>
      </c>
      <c r="BE54" s="5">
        <f t="shared" si="89"/>
        <v>0.353995439734148</v>
      </c>
      <c r="BF54" s="5">
        <f t="shared" si="90"/>
        <v>0.26804592967524</v>
      </c>
      <c r="BG54" s="5"/>
      <c r="BH54" s="217">
        <f t="shared" si="34"/>
        <v>0.115230754208063</v>
      </c>
      <c r="BI54" s="217">
        <f t="shared" si="35"/>
        <v>0.0255723250353505</v>
      </c>
      <c r="BJ54" s="217">
        <f t="shared" si="36"/>
        <v>0.00175589720698</v>
      </c>
      <c r="BK54" s="217">
        <f t="shared" si="37"/>
        <v>0.00413807954078704</v>
      </c>
      <c r="BL54">
        <f t="shared" si="38"/>
        <v>0.00348</v>
      </c>
      <c r="BM54">
        <f t="shared" si="91"/>
        <v>2.458256089772e-6</v>
      </c>
      <c r="BN54">
        <f t="shared" si="92"/>
        <v>0.213263848347034</v>
      </c>
      <c r="BO54" s="220">
        <f t="shared" si="58"/>
        <v>213.263848347034</v>
      </c>
      <c r="BP54" s="5">
        <f t="shared" si="93"/>
        <v>0.241284594061775</v>
      </c>
      <c r="BQ54" s="5">
        <f t="shared" si="94"/>
        <v>0.175005442084632</v>
      </c>
      <c r="BR54" s="217"/>
      <c r="BT54" s="220">
        <f t="shared" si="59"/>
        <v>416.290036146408</v>
      </c>
      <c r="BU54" s="217">
        <f t="shared" si="43"/>
        <v>0.0134984597786588</v>
      </c>
      <c r="BV54" s="217">
        <f t="shared" si="60"/>
        <v>0.0125312771352573</v>
      </c>
      <c r="BW54" s="217">
        <f t="shared" si="95"/>
        <v>0.00502940342908246</v>
      </c>
      <c r="BX54" s="217">
        <f t="shared" si="45"/>
        <v>0</v>
      </c>
      <c r="BY54" s="217">
        <f t="shared" si="96"/>
        <v>0.0429683785453019</v>
      </c>
      <c r="BZ54" s="217">
        <f t="shared" si="61"/>
        <v>0.0310591403429985</v>
      </c>
      <c r="CA54" s="225">
        <f t="shared" si="97"/>
        <v>0.012642459890256</v>
      </c>
      <c r="CB54" s="220">
        <f t="shared" si="62"/>
        <v>55.6108384355579</v>
      </c>
      <c r="CC54" s="5">
        <f t="shared" si="63"/>
        <v>0.685164722929</v>
      </c>
      <c r="CD54" s="192">
        <f t="shared" si="64"/>
        <v>4.09551761642662</v>
      </c>
      <c r="CE54" s="5">
        <f t="shared" si="65"/>
        <v>0.856680558486688</v>
      </c>
      <c r="CF54" s="192">
        <f t="shared" si="66"/>
        <v>85.6680558486688</v>
      </c>
      <c r="CG54">
        <f t="shared" si="102"/>
        <v>49</v>
      </c>
      <c r="CI54" s="227">
        <f t="shared" si="98"/>
        <v>-50</v>
      </c>
      <c r="CJ54">
        <f t="shared" si="99"/>
        <v>-50</v>
      </c>
    </row>
    <row r="55" spans="5:88">
      <c r="E55" s="22">
        <v>50</v>
      </c>
      <c r="F55" s="25">
        <f t="shared" si="103"/>
        <v>0.25</v>
      </c>
      <c r="G55" s="25">
        <f t="shared" si="100"/>
        <v>0.2</v>
      </c>
      <c r="H55" s="25">
        <f t="shared" si="70"/>
        <v>4.5</v>
      </c>
      <c r="I55" s="25">
        <f t="shared" si="104"/>
        <v>1</v>
      </c>
      <c r="J55" s="212">
        <f t="shared" si="1"/>
        <v>12</v>
      </c>
      <c r="K55" s="131">
        <f t="shared" si="2"/>
        <v>9.206942636876</v>
      </c>
      <c r="L55" s="131">
        <f t="shared" si="3"/>
        <v>24.2728</v>
      </c>
      <c r="M55" s="131"/>
      <c r="N55" s="25">
        <f t="shared" si="4"/>
        <v>0.505619458818101</v>
      </c>
      <c r="O55" s="27">
        <f t="shared" si="101"/>
        <v>3.3508780498036</v>
      </c>
      <c r="P55" s="27">
        <f t="shared" si="71"/>
        <v>0.744639566623021</v>
      </c>
      <c r="Q55" s="25">
        <f t="shared" si="6"/>
        <v>0.186159891655755</v>
      </c>
      <c r="R55" s="25">
        <f t="shared" si="72"/>
        <v>0.670175609960719</v>
      </c>
      <c r="S55" s="131">
        <f t="shared" si="73"/>
        <v>13.4035121992144</v>
      </c>
      <c r="T55" s="25">
        <f t="shared" si="74"/>
        <v>1.5</v>
      </c>
      <c r="U55" s="25">
        <f t="shared" si="10"/>
        <v>3.125</v>
      </c>
      <c r="V55" s="25">
        <f t="shared" si="11"/>
        <v>4.0730133203832</v>
      </c>
      <c r="W55" s="24">
        <f t="shared" si="12"/>
        <v>350</v>
      </c>
      <c r="X55" s="131">
        <f t="shared" si="52"/>
        <v>138.927222761344</v>
      </c>
      <c r="Z55" s="25">
        <f t="shared" si="13"/>
        <v>0.595402383262904</v>
      </c>
      <c r="AA55" s="5">
        <f t="shared" si="14"/>
        <v>1.61672122534514</v>
      </c>
      <c r="AB55" s="5">
        <f t="shared" si="75"/>
        <v>0.0919304562728561</v>
      </c>
      <c r="AC55" s="5"/>
      <c r="AD55" s="5">
        <f t="shared" si="16"/>
        <v>0.814602664076641</v>
      </c>
      <c r="AE55" s="216">
        <f t="shared" si="76"/>
        <v>3749.10207879897</v>
      </c>
      <c r="AF55" s="217">
        <f t="shared" si="77"/>
        <v>0.0233389217367031</v>
      </c>
      <c r="AH55" s="5">
        <f t="shared" si="78"/>
        <v>1.12122382116278</v>
      </c>
      <c r="AI55" s="5">
        <f t="shared" si="79"/>
        <v>1.5</v>
      </c>
      <c r="AJ55" s="5">
        <f t="shared" si="80"/>
        <v>2.08888888888889</v>
      </c>
      <c r="AL55" s="216">
        <f t="shared" si="81"/>
        <v>250</v>
      </c>
      <c r="AM55" s="220">
        <f t="shared" si="82"/>
        <v>138.927222761344</v>
      </c>
      <c r="AO55" t="str">
        <f t="shared" si="53"/>
        <v/>
      </c>
      <c r="AP55" s="220" t="str">
        <f t="shared" si="24"/>
        <v/>
      </c>
      <c r="AQ55" s="220"/>
      <c r="AR55" s="192">
        <f t="shared" si="54"/>
        <v>7.1980133203832</v>
      </c>
      <c r="AS55" s="192">
        <f t="shared" si="25"/>
        <v>3.125</v>
      </c>
      <c r="AT55" s="192">
        <f t="shared" si="55"/>
        <v>4.0730133203832</v>
      </c>
      <c r="AU55" s="5">
        <f t="shared" si="56"/>
        <v>0.434147571129201</v>
      </c>
      <c r="AW55" s="192">
        <f t="shared" si="83"/>
        <v>20.1076373742966</v>
      </c>
      <c r="AX55" s="192">
        <f t="shared" si="84"/>
        <v>41.8792582656067</v>
      </c>
      <c r="AY55" s="192">
        <f t="shared" si="85"/>
        <v>14.3647440975709</v>
      </c>
      <c r="AZ55" s="192">
        <f t="shared" si="86"/>
        <v>18.3559301219636</v>
      </c>
      <c r="BA55" s="192">
        <f t="shared" si="87"/>
        <v>3.45703291081908</v>
      </c>
      <c r="BB55" s="220">
        <f t="shared" si="88"/>
        <v>16.5831047134238</v>
      </c>
      <c r="BC55" s="192"/>
      <c r="BD55" s="5">
        <f t="shared" si="57"/>
        <v>0.570623061527398</v>
      </c>
      <c r="BE55" s="5">
        <f t="shared" si="89"/>
        <v>0.3555149613222</v>
      </c>
      <c r="BF55" s="5">
        <f t="shared" si="90"/>
        <v>0.269196513922983</v>
      </c>
      <c r="BG55" s="5"/>
      <c r="BH55" s="217">
        <f t="shared" si="34"/>
        <v>0.113963737421415</v>
      </c>
      <c r="BI55" s="217">
        <f t="shared" si="35"/>
        <v>0.0252911451948117</v>
      </c>
      <c r="BJ55" s="217">
        <f t="shared" si="36"/>
        <v>0.0017365902845168</v>
      </c>
      <c r="BK55" s="217">
        <f t="shared" si="37"/>
        <v>0.0040925793938975</v>
      </c>
      <c r="BL55">
        <f t="shared" si="38"/>
        <v>0.00348</v>
      </c>
      <c r="BM55">
        <f t="shared" si="91"/>
        <v>2.43122639832352e-6</v>
      </c>
      <c r="BN55">
        <f t="shared" si="92"/>
        <v>0.210799178790105</v>
      </c>
      <c r="BO55" s="220">
        <f t="shared" si="58"/>
        <v>210.799178790105</v>
      </c>
      <c r="BP55" s="5">
        <f t="shared" si="93"/>
        <v>0.245270087805217</v>
      </c>
      <c r="BQ55" s="5">
        <f t="shared" si="94"/>
        <v>0.178038784530363</v>
      </c>
      <c r="BR55" s="217"/>
      <c r="BT55" s="220">
        <f t="shared" si="59"/>
        <v>423.30887233558</v>
      </c>
      <c r="BU55" s="217">
        <f t="shared" si="43"/>
        <v>0.0133500378122229</v>
      </c>
      <c r="BV55" s="217">
        <f t="shared" si="60"/>
        <v>0.0126390887723926</v>
      </c>
      <c r="BW55" s="217">
        <f t="shared" si="95"/>
        <v>0.00507267341758007</v>
      </c>
      <c r="BX55" s="217">
        <f t="shared" si="45"/>
        <v>0</v>
      </c>
      <c r="BY55" s="217">
        <f t="shared" si="96"/>
        <v>0.0429720671835528</v>
      </c>
      <c r="BZ55" s="217">
        <f t="shared" si="61"/>
        <v>0.0310618000021955</v>
      </c>
      <c r="CA55" s="225">
        <f t="shared" si="97"/>
        <v>0.012503450048521</v>
      </c>
      <c r="CB55" s="220">
        <f t="shared" si="62"/>
        <v>55.4755172320737</v>
      </c>
      <c r="CC55" s="5">
        <f t="shared" si="63"/>
        <v>0.689583568357759</v>
      </c>
      <c r="CD55" s="192">
        <f t="shared" si="64"/>
        <v>4.09551761642662</v>
      </c>
      <c r="CE55" s="5">
        <f t="shared" si="65"/>
        <v>0.855889448994205</v>
      </c>
      <c r="CF55" s="192">
        <f t="shared" si="66"/>
        <v>85.5889448994205</v>
      </c>
      <c r="CG55">
        <f t="shared" si="102"/>
        <v>50</v>
      </c>
      <c r="CI55" s="227">
        <f t="shared" si="98"/>
        <v>-50</v>
      </c>
      <c r="CJ55">
        <f t="shared" si="99"/>
        <v>-50</v>
      </c>
    </row>
    <row r="56" spans="5:88">
      <c r="E56" s="22">
        <v>51</v>
      </c>
      <c r="F56" s="25">
        <f t="shared" si="103"/>
        <v>0.255</v>
      </c>
      <c r="G56" s="25">
        <f t="shared" si="100"/>
        <v>0.204</v>
      </c>
      <c r="H56" s="25">
        <f t="shared" si="70"/>
        <v>4.59</v>
      </c>
      <c r="I56" s="25">
        <f t="shared" si="104"/>
        <v>1.02</v>
      </c>
      <c r="J56" s="212">
        <f t="shared" si="1"/>
        <v>12</v>
      </c>
      <c r="K56" s="131">
        <f t="shared" si="2"/>
        <v>9.03164572242745</v>
      </c>
      <c r="L56" s="131">
        <f t="shared" si="3"/>
        <v>24.2728</v>
      </c>
      <c r="M56" s="131"/>
      <c r="N56" s="25">
        <f t="shared" si="4"/>
        <v>0.505619458818101</v>
      </c>
      <c r="O56" s="27">
        <f t="shared" si="101"/>
        <v>3.3508780498036</v>
      </c>
      <c r="P56" s="27">
        <f t="shared" si="71"/>
        <v>0.744639566623021</v>
      </c>
      <c r="Q56" s="25">
        <f t="shared" si="6"/>
        <v>0.186159891655755</v>
      </c>
      <c r="R56" s="25">
        <f t="shared" si="72"/>
        <v>0.670175609960719</v>
      </c>
      <c r="S56" s="131">
        <f t="shared" si="73"/>
        <v>13.1406982345239</v>
      </c>
      <c r="T56" s="25">
        <f t="shared" si="74"/>
        <v>1.5</v>
      </c>
      <c r="U56" s="25">
        <f t="shared" si="10"/>
        <v>3.125</v>
      </c>
      <c r="V56" s="25">
        <f t="shared" si="11"/>
        <v>4.15206720375222</v>
      </c>
      <c r="W56" s="24">
        <f t="shared" si="12"/>
        <v>350</v>
      </c>
      <c r="X56" s="131">
        <f t="shared" si="52"/>
        <v>137.417997113504</v>
      </c>
      <c r="Z56" s="25">
        <f t="shared" si="13"/>
        <v>0.588934273343591</v>
      </c>
      <c r="AA56" s="5">
        <f t="shared" si="14"/>
        <v>1.63019645434371</v>
      </c>
      <c r="AB56" s="5">
        <f t="shared" si="75"/>
        <v>0.0916896848822501</v>
      </c>
      <c r="AC56" s="5"/>
      <c r="AD56" s="5">
        <f t="shared" si="16"/>
        <v>0.830413440750443</v>
      </c>
      <c r="AE56" s="216">
        <f t="shared" si="76"/>
        <v>3751.27491830514</v>
      </c>
      <c r="AF56" s="217">
        <f t="shared" si="77"/>
        <v>0.0237919112684825</v>
      </c>
      <c r="AH56" s="5">
        <f t="shared" si="78"/>
        <v>1.13238055188427</v>
      </c>
      <c r="AI56" s="5">
        <f t="shared" si="79"/>
        <v>1.5</v>
      </c>
      <c r="AJ56" s="5">
        <f t="shared" si="80"/>
        <v>2.08888888888889</v>
      </c>
      <c r="AL56" s="216">
        <f t="shared" si="81"/>
        <v>255</v>
      </c>
      <c r="AM56" s="220">
        <f t="shared" si="82"/>
        <v>137.417997113504</v>
      </c>
      <c r="AO56" t="str">
        <f t="shared" si="53"/>
        <v/>
      </c>
      <c r="AP56" s="220" t="str">
        <f t="shared" si="24"/>
        <v/>
      </c>
      <c r="AQ56" s="220"/>
      <c r="AR56" s="192">
        <f t="shared" si="54"/>
        <v>7.27706720375222</v>
      </c>
      <c r="AS56" s="192">
        <f t="shared" si="25"/>
        <v>3.125</v>
      </c>
      <c r="AT56" s="192">
        <f t="shared" si="55"/>
        <v>4.15206720375222</v>
      </c>
      <c r="AU56" s="5">
        <f t="shared" si="56"/>
        <v>0.429431240979701</v>
      </c>
      <c r="AW56" s="192">
        <f t="shared" si="83"/>
        <v>20.1076373742966</v>
      </c>
      <c r="AX56" s="192">
        <f t="shared" si="84"/>
        <v>43.5558802995372</v>
      </c>
      <c r="AY56" s="192">
        <f t="shared" si="85"/>
        <v>14.3647440975709</v>
      </c>
      <c r="AZ56" s="192">
        <f t="shared" si="86"/>
        <v>19.0893496988909</v>
      </c>
      <c r="BA56" s="192">
        <f t="shared" si="87"/>
        <v>3.59461373658178</v>
      </c>
      <c r="BB56" s="220">
        <f t="shared" si="88"/>
        <v>16.8828885763726</v>
      </c>
      <c r="BC56" s="192"/>
      <c r="BD56" s="5">
        <f t="shared" si="57"/>
        <v>0.567515137009381</v>
      </c>
      <c r="BE56" s="5">
        <f t="shared" si="89"/>
        <v>0.356993479827728</v>
      </c>
      <c r="BF56" s="5">
        <f t="shared" si="90"/>
        <v>0.270316050569143</v>
      </c>
      <c r="BG56" s="5"/>
      <c r="BH56" s="217">
        <f t="shared" si="34"/>
        <v>0.112725700757172</v>
      </c>
      <c r="BI56" s="217">
        <f t="shared" si="35"/>
        <v>0.025016396702525</v>
      </c>
      <c r="BJ56" s="217">
        <f t="shared" si="36"/>
        <v>0.00171772496391881</v>
      </c>
      <c r="BK56" s="217">
        <f t="shared" si="37"/>
        <v>0.004048119959207</v>
      </c>
      <c r="BL56">
        <f t="shared" si="38"/>
        <v>0.00348</v>
      </c>
      <c r="BM56">
        <f t="shared" si="91"/>
        <v>2.40481494948633e-6</v>
      </c>
      <c r="BN56">
        <f t="shared" si="92"/>
        <v>0.208394506190088</v>
      </c>
      <c r="BO56" s="220">
        <f t="shared" si="58"/>
        <v>208.394506190088</v>
      </c>
      <c r="BP56" s="5">
        <f t="shared" si="93"/>
        <v>0.249239933891001</v>
      </c>
      <c r="BQ56" s="5">
        <f t="shared" si="94"/>
        <v>0.181063155323777</v>
      </c>
      <c r="BR56" s="217"/>
      <c r="BT56" s="220">
        <f t="shared" si="59"/>
        <v>430.303089214779</v>
      </c>
      <c r="BU56" s="217">
        <f t="shared" si="43"/>
        <v>0.0132050106601258</v>
      </c>
      <c r="BV56" s="217">
        <f t="shared" si="60"/>
        <v>0.012744434463951</v>
      </c>
      <c r="BW56" s="217">
        <f t="shared" si="95"/>
        <v>0.00511495370367098</v>
      </c>
      <c r="BX56" s="217">
        <f t="shared" si="45"/>
        <v>0</v>
      </c>
      <c r="BY56" s="217">
        <f t="shared" si="96"/>
        <v>0.0429756714541273</v>
      </c>
      <c r="BZ56" s="217">
        <f t="shared" si="61"/>
        <v>0.0310643988277478</v>
      </c>
      <c r="CA56" s="225">
        <f t="shared" si="97"/>
        <v>0.0123676197402154</v>
      </c>
      <c r="CB56" s="220">
        <f t="shared" si="62"/>
        <v>55.3432911943427</v>
      </c>
      <c r="CC56" s="5">
        <f t="shared" si="63"/>
        <v>0.694040886599209</v>
      </c>
      <c r="CD56" s="192">
        <f t="shared" si="64"/>
        <v>4.09551761642662</v>
      </c>
      <c r="CE56" s="5">
        <f t="shared" si="65"/>
        <v>0.855092930557014</v>
      </c>
      <c r="CF56" s="192">
        <f t="shared" si="66"/>
        <v>85.5092930557014</v>
      </c>
      <c r="CG56">
        <f t="shared" si="102"/>
        <v>51</v>
      </c>
      <c r="CI56" s="227">
        <f t="shared" si="98"/>
        <v>-50</v>
      </c>
      <c r="CJ56">
        <f t="shared" si="99"/>
        <v>-50</v>
      </c>
    </row>
    <row r="57" spans="5:88">
      <c r="E57" s="22">
        <v>52</v>
      </c>
      <c r="F57" s="25">
        <f t="shared" si="103"/>
        <v>0.26</v>
      </c>
      <c r="G57" s="25">
        <f t="shared" si="100"/>
        <v>0.208</v>
      </c>
      <c r="H57" s="25">
        <f t="shared" si="70"/>
        <v>4.68</v>
      </c>
      <c r="I57" s="25">
        <f t="shared" si="104"/>
        <v>1.04</v>
      </c>
      <c r="J57" s="212">
        <f t="shared" si="1"/>
        <v>12</v>
      </c>
      <c r="K57" s="131">
        <f t="shared" si="2"/>
        <v>8.86309099699615</v>
      </c>
      <c r="L57" s="131">
        <f t="shared" si="3"/>
        <v>24.2728</v>
      </c>
      <c r="M57" s="131"/>
      <c r="N57" s="25">
        <f t="shared" si="4"/>
        <v>0.505619458818101</v>
      </c>
      <c r="O57" s="27">
        <f t="shared" si="101"/>
        <v>3.3508780498036</v>
      </c>
      <c r="P57" s="27">
        <f t="shared" si="71"/>
        <v>0.744639566623021</v>
      </c>
      <c r="Q57" s="25">
        <f t="shared" si="6"/>
        <v>0.186159891655755</v>
      </c>
      <c r="R57" s="25">
        <f t="shared" si="72"/>
        <v>0.670175609960719</v>
      </c>
      <c r="S57" s="131">
        <f t="shared" si="73"/>
        <v>12.8879924992446</v>
      </c>
      <c r="T57" s="25">
        <f t="shared" si="74"/>
        <v>1.5</v>
      </c>
      <c r="U57" s="25">
        <f t="shared" si="10"/>
        <v>3.125</v>
      </c>
      <c r="V57" s="25">
        <f t="shared" si="11"/>
        <v>4.23102955985777</v>
      </c>
      <c r="W57" s="24">
        <f t="shared" si="12"/>
        <v>350</v>
      </c>
      <c r="X57" s="131">
        <f t="shared" si="52"/>
        <v>135.942901243498</v>
      </c>
      <c r="Z57" s="25">
        <f t="shared" si="13"/>
        <v>0.582612433900707</v>
      </c>
      <c r="AA57" s="5">
        <f t="shared" si="14"/>
        <v>1.64336695318305</v>
      </c>
      <c r="AB57" s="5">
        <f t="shared" si="75"/>
        <v>0.0914382709605425</v>
      </c>
      <c r="AC57" s="5"/>
      <c r="AD57" s="5">
        <f t="shared" si="16"/>
        <v>0.846205911971554</v>
      </c>
      <c r="AE57" s="216">
        <f t="shared" si="76"/>
        <v>3753.44775781131</v>
      </c>
      <c r="AF57" s="217">
        <f t="shared" si="77"/>
        <v>0.0242443763365614</v>
      </c>
      <c r="AH57" s="5">
        <f t="shared" si="78"/>
        <v>1.14342842864281</v>
      </c>
      <c r="AI57" s="5">
        <f t="shared" si="79"/>
        <v>1.5</v>
      </c>
      <c r="AJ57" s="5">
        <f t="shared" si="80"/>
        <v>2.08888888888889</v>
      </c>
      <c r="AL57" s="216">
        <f t="shared" si="81"/>
        <v>260</v>
      </c>
      <c r="AM57" s="220">
        <f t="shared" si="82"/>
        <v>135.942901243498</v>
      </c>
      <c r="AO57" t="str">
        <f t="shared" si="53"/>
        <v/>
      </c>
      <c r="AP57" s="220" t="str">
        <f t="shared" si="24"/>
        <v/>
      </c>
      <c r="AQ57" s="220"/>
      <c r="AR57" s="192">
        <f t="shared" si="54"/>
        <v>7.35602955985777</v>
      </c>
      <c r="AS57" s="192">
        <f t="shared" si="25"/>
        <v>3.125</v>
      </c>
      <c r="AT57" s="192">
        <f t="shared" si="55"/>
        <v>4.23102955985777</v>
      </c>
      <c r="AU57" s="5">
        <f t="shared" si="56"/>
        <v>0.424821566385932</v>
      </c>
      <c r="AW57" s="192">
        <f t="shared" si="83"/>
        <v>20.1076373742966</v>
      </c>
      <c r="AX57" s="192">
        <f t="shared" si="84"/>
        <v>45.2654057400802</v>
      </c>
      <c r="AY57" s="192">
        <f t="shared" si="85"/>
        <v>14.3647440975709</v>
      </c>
      <c r="AZ57" s="192">
        <f t="shared" si="86"/>
        <v>19.8371340199158</v>
      </c>
      <c r="BA57" s="192">
        <f t="shared" si="87"/>
        <v>3.73479769789914</v>
      </c>
      <c r="BB57" s="220">
        <f t="shared" si="88"/>
        <v>17.1823253545808</v>
      </c>
      <c r="BC57" s="192"/>
      <c r="BD57" s="5">
        <f t="shared" si="57"/>
        <v>0.564460959490955</v>
      </c>
      <c r="BE57" s="5">
        <f t="shared" si="89"/>
        <v>0.358432669516018</v>
      </c>
      <c r="BF57" s="5">
        <f t="shared" si="90"/>
        <v>0.271405807370153</v>
      </c>
      <c r="BG57" s="5"/>
      <c r="BH57" s="217">
        <f t="shared" si="34"/>
        <v>0.111515661176307</v>
      </c>
      <c r="BI57" s="217">
        <f t="shared" si="35"/>
        <v>0.0247478613997739</v>
      </c>
      <c r="BJ57" s="217">
        <f t="shared" si="36"/>
        <v>0.00169928626554373</v>
      </c>
      <c r="BK57" s="217">
        <f t="shared" si="37"/>
        <v>0.00400466593456288</v>
      </c>
      <c r="BL57">
        <f t="shared" si="38"/>
        <v>0.00348</v>
      </c>
      <c r="BM57">
        <f t="shared" si="91"/>
        <v>2.37900077176122e-6</v>
      </c>
      <c r="BN57">
        <f t="shared" si="92"/>
        <v>0.206047666149884</v>
      </c>
      <c r="BO57" s="220">
        <f t="shared" si="58"/>
        <v>206.047666149884</v>
      </c>
      <c r="BP57" s="5">
        <f t="shared" si="93"/>
        <v>0.253194663105641</v>
      </c>
      <c r="BQ57" s="5">
        <f t="shared" si="94"/>
        <v>0.184078858793622</v>
      </c>
      <c r="BR57" s="217"/>
      <c r="BT57" s="220">
        <f t="shared" si="59"/>
        <v>437.273521899263</v>
      </c>
      <c r="BU57" s="217">
        <f t="shared" si="43"/>
        <v>0.0130632631663674</v>
      </c>
      <c r="BV57" s="217">
        <f t="shared" si="60"/>
        <v>0.0128473978576379</v>
      </c>
      <c r="BW57" s="217">
        <f t="shared" si="95"/>
        <v>0.00515627785919713</v>
      </c>
      <c r="BX57" s="217">
        <f t="shared" si="45"/>
        <v>0</v>
      </c>
      <c r="BY57" s="217">
        <f t="shared" si="96"/>
        <v>0.042979194218823</v>
      </c>
      <c r="BZ57" s="217">
        <f t="shared" si="61"/>
        <v>0.0310669388832024</v>
      </c>
      <c r="CA57" s="225">
        <f t="shared" si="97"/>
        <v>0.0122348611119149</v>
      </c>
      <c r="CB57" s="220">
        <f t="shared" si="62"/>
        <v>55.2140553307378</v>
      </c>
      <c r="CC57" s="5">
        <f t="shared" si="63"/>
        <v>0.698535243379885</v>
      </c>
      <c r="CD57" s="192">
        <f t="shared" si="64"/>
        <v>4.09551761642662</v>
      </c>
      <c r="CE57" s="5">
        <f t="shared" si="65"/>
        <v>0.854291293023398</v>
      </c>
      <c r="CF57" s="192">
        <f t="shared" si="66"/>
        <v>85.4291293023398</v>
      </c>
      <c r="CG57">
        <f t="shared" si="102"/>
        <v>52</v>
      </c>
      <c r="CI57" s="227">
        <f t="shared" si="98"/>
        <v>-50</v>
      </c>
      <c r="CJ57">
        <f t="shared" si="99"/>
        <v>-50</v>
      </c>
    </row>
    <row r="58" spans="5:88">
      <c r="E58" s="22">
        <v>53</v>
      </c>
      <c r="F58" s="25">
        <f t="shared" si="103"/>
        <v>0.265</v>
      </c>
      <c r="G58" s="25">
        <f t="shared" si="100"/>
        <v>0.212</v>
      </c>
      <c r="H58" s="25">
        <f t="shared" si="70"/>
        <v>4.77</v>
      </c>
      <c r="I58" s="25">
        <f t="shared" si="104"/>
        <v>1.06</v>
      </c>
      <c r="J58" s="212">
        <f t="shared" si="1"/>
        <v>12</v>
      </c>
      <c r="K58" s="131">
        <f t="shared" si="2"/>
        <v>8.70089682724151</v>
      </c>
      <c r="L58" s="131">
        <f t="shared" si="3"/>
        <v>24.2728</v>
      </c>
      <c r="M58" s="131"/>
      <c r="N58" s="25">
        <f t="shared" si="4"/>
        <v>0.505619458818101</v>
      </c>
      <c r="O58" s="27">
        <f t="shared" si="101"/>
        <v>3.3508780498036</v>
      </c>
      <c r="P58" s="27">
        <f t="shared" si="71"/>
        <v>0.744639566623021</v>
      </c>
      <c r="Q58" s="25">
        <f t="shared" si="6"/>
        <v>0.186159891655755</v>
      </c>
      <c r="R58" s="25">
        <f t="shared" si="72"/>
        <v>0.670175609960719</v>
      </c>
      <c r="S58" s="131">
        <f t="shared" si="73"/>
        <v>12.6448228294475</v>
      </c>
      <c r="T58" s="25">
        <f t="shared" si="74"/>
        <v>1.5</v>
      </c>
      <c r="U58" s="25">
        <f t="shared" si="10"/>
        <v>3.125</v>
      </c>
      <c r="V58" s="25">
        <f t="shared" si="11"/>
        <v>4.30990054756101</v>
      </c>
      <c r="W58" s="24">
        <f t="shared" si="12"/>
        <v>350</v>
      </c>
      <c r="X58" s="131">
        <f t="shared" si="52"/>
        <v>134.500790374129</v>
      </c>
      <c r="Z58" s="25">
        <f t="shared" si="13"/>
        <v>0.576431958746267</v>
      </c>
      <c r="AA58" s="5">
        <f t="shared" si="14"/>
        <v>1.65624294308813</v>
      </c>
      <c r="AB58" s="5">
        <f t="shared" si="75"/>
        <v>0.0911771050456539</v>
      </c>
      <c r="AC58" s="5"/>
      <c r="AD58" s="5">
        <f t="shared" si="16"/>
        <v>0.861980109512201</v>
      </c>
      <c r="AE58" s="216">
        <f t="shared" si="76"/>
        <v>3755.62059731749</v>
      </c>
      <c r="AF58" s="217">
        <f t="shared" si="77"/>
        <v>0.0246963178512356</v>
      </c>
      <c r="AH58" s="5">
        <f t="shared" si="78"/>
        <v>1.15437057679561</v>
      </c>
      <c r="AI58" s="5">
        <f t="shared" si="79"/>
        <v>1.5</v>
      </c>
      <c r="AJ58" s="5">
        <f t="shared" si="80"/>
        <v>2.08888888888889</v>
      </c>
      <c r="AL58" s="216">
        <f t="shared" si="81"/>
        <v>265</v>
      </c>
      <c r="AM58" s="220">
        <f t="shared" si="82"/>
        <v>134.500790374129</v>
      </c>
      <c r="AO58" t="str">
        <f t="shared" si="53"/>
        <v/>
      </c>
      <c r="AP58" s="220" t="str">
        <f t="shared" si="24"/>
        <v/>
      </c>
      <c r="AQ58" s="220"/>
      <c r="AR58" s="192">
        <f t="shared" si="54"/>
        <v>7.43490054756101</v>
      </c>
      <c r="AS58" s="192">
        <f t="shared" si="25"/>
        <v>3.125</v>
      </c>
      <c r="AT58" s="192">
        <f t="shared" si="55"/>
        <v>4.30990054756101</v>
      </c>
      <c r="AU58" s="5">
        <f t="shared" si="56"/>
        <v>0.420314969919153</v>
      </c>
      <c r="AW58" s="192">
        <f t="shared" si="83"/>
        <v>20.1076373742966</v>
      </c>
      <c r="AX58" s="192">
        <f t="shared" si="84"/>
        <v>47.0078345872357</v>
      </c>
      <c r="AY58" s="192">
        <f t="shared" si="85"/>
        <v>14.3647440975709</v>
      </c>
      <c r="AZ58" s="192">
        <f t="shared" si="86"/>
        <v>20.5992830850383</v>
      </c>
      <c r="BA58" s="192">
        <f t="shared" si="87"/>
        <v>3.87758027658652</v>
      </c>
      <c r="BB58" s="220">
        <f t="shared" si="88"/>
        <v>17.481415650473</v>
      </c>
      <c r="BC58" s="192"/>
      <c r="BD58" s="5">
        <f t="shared" si="57"/>
        <v>0.561459016705017</v>
      </c>
      <c r="BE58" s="5">
        <f t="shared" si="89"/>
        <v>0.35983411261611</v>
      </c>
      <c r="BF58" s="5">
        <f t="shared" si="90"/>
        <v>0.272466982392445</v>
      </c>
      <c r="BG58" s="5"/>
      <c r="BH58" s="217">
        <f t="shared" si="34"/>
        <v>0.110332679603778</v>
      </c>
      <c r="BI58" s="217">
        <f t="shared" si="35"/>
        <v>0.0244853308844487</v>
      </c>
      <c r="BJ58" s="217">
        <f t="shared" si="36"/>
        <v>0.00168125987967661</v>
      </c>
      <c r="BK58" s="217">
        <f t="shared" si="37"/>
        <v>0.00396218359661364</v>
      </c>
      <c r="BL58">
        <f t="shared" si="38"/>
        <v>0.00348</v>
      </c>
      <c r="BM58">
        <f t="shared" si="91"/>
        <v>2.35376383154726e-6</v>
      </c>
      <c r="BN58">
        <f t="shared" si="92"/>
        <v>0.203756597143201</v>
      </c>
      <c r="BO58" s="220">
        <f t="shared" si="58"/>
        <v>203.756597143201</v>
      </c>
      <c r="BP58" s="5">
        <f t="shared" si="93"/>
        <v>0.257134782497541</v>
      </c>
      <c r="BQ58" s="5">
        <f t="shared" si="94"/>
        <v>0.187086185658296</v>
      </c>
      <c r="BR58" s="217"/>
      <c r="BT58" s="220">
        <f t="shared" si="59"/>
        <v>444.220968155837</v>
      </c>
      <c r="BU58" s="217">
        <f t="shared" si="43"/>
        <v>0.012924685325014</v>
      </c>
      <c r="BV58" s="217">
        <f t="shared" si="60"/>
        <v>0.0129480588602223</v>
      </c>
      <c r="BW58" s="217">
        <f t="shared" si="95"/>
        <v>0.00519667795458315</v>
      </c>
      <c r="BX58" s="217">
        <f t="shared" si="45"/>
        <v>0</v>
      </c>
      <c r="BY58" s="217">
        <f t="shared" si="96"/>
        <v>0.0429826382114528</v>
      </c>
      <c r="BZ58" s="217">
        <f t="shared" si="61"/>
        <v>0.0310694221398194</v>
      </c>
      <c r="CA58" s="225">
        <f t="shared" si="97"/>
        <v>0.0121050711336716</v>
      </c>
      <c r="CB58" s="220">
        <f t="shared" si="62"/>
        <v>55.0877093451244</v>
      </c>
      <c r="CC58" s="5">
        <f t="shared" si="63"/>
        <v>0.703065274644163</v>
      </c>
      <c r="CD58" s="192">
        <f t="shared" si="64"/>
        <v>4.09551761642662</v>
      </c>
      <c r="CE58" s="5">
        <f t="shared" si="65"/>
        <v>0.853484811953039</v>
      </c>
      <c r="CF58" s="192">
        <f t="shared" si="66"/>
        <v>85.3484811953039</v>
      </c>
      <c r="CG58">
        <f t="shared" si="102"/>
        <v>53</v>
      </c>
      <c r="CI58" s="227">
        <f t="shared" si="98"/>
        <v>-50</v>
      </c>
      <c r="CJ58">
        <f t="shared" si="99"/>
        <v>-50</v>
      </c>
    </row>
    <row r="59" spans="5:88">
      <c r="E59" s="22">
        <v>54</v>
      </c>
      <c r="F59" s="25">
        <f t="shared" si="103"/>
        <v>0.27</v>
      </c>
      <c r="G59" s="25">
        <f t="shared" si="100"/>
        <v>0.216</v>
      </c>
      <c r="H59" s="25">
        <f t="shared" si="70"/>
        <v>4.86</v>
      </c>
      <c r="I59" s="25">
        <f t="shared" si="104"/>
        <v>1.08</v>
      </c>
      <c r="J59" s="212">
        <f t="shared" si="1"/>
        <v>12</v>
      </c>
      <c r="K59" s="131">
        <f t="shared" si="2"/>
        <v>8.54470984895925</v>
      </c>
      <c r="L59" s="131">
        <f t="shared" si="3"/>
        <v>24.2728</v>
      </c>
      <c r="M59" s="131"/>
      <c r="N59" s="25">
        <f t="shared" si="4"/>
        <v>0.505619458818101</v>
      </c>
      <c r="O59" s="27">
        <f t="shared" si="101"/>
        <v>3.3508780498036</v>
      </c>
      <c r="P59" s="27">
        <f t="shared" si="71"/>
        <v>0.744639566623021</v>
      </c>
      <c r="Q59" s="25">
        <f t="shared" si="6"/>
        <v>0.186159891655755</v>
      </c>
      <c r="R59" s="25">
        <f t="shared" si="72"/>
        <v>0.670175609960719</v>
      </c>
      <c r="S59" s="131">
        <f t="shared" si="73"/>
        <v>12.410659443717</v>
      </c>
      <c r="T59" s="25">
        <f t="shared" si="74"/>
        <v>1.5</v>
      </c>
      <c r="U59" s="25">
        <f t="shared" si="10"/>
        <v>3.125</v>
      </c>
      <c r="V59" s="25">
        <f t="shared" si="11"/>
        <v>4.38868032535564</v>
      </c>
      <c r="W59" s="24">
        <f t="shared" si="12"/>
        <v>350</v>
      </c>
      <c r="X59" s="131">
        <f t="shared" si="52"/>
        <v>133.090570359429</v>
      </c>
      <c r="Z59" s="25">
        <f t="shared" si="13"/>
        <v>0.570388158683266</v>
      </c>
      <c r="AA59" s="5">
        <f t="shared" si="14"/>
        <v>1.66883419321939</v>
      </c>
      <c r="AB59" s="5">
        <f t="shared" si="75"/>
        <v>0.0909070149510781</v>
      </c>
      <c r="AC59" s="5"/>
      <c r="AD59" s="5">
        <f t="shared" si="16"/>
        <v>0.877736065071127</v>
      </c>
      <c r="AE59" s="216">
        <f t="shared" si="76"/>
        <v>3757.79343682366</v>
      </c>
      <c r="AF59" s="217">
        <f t="shared" si="77"/>
        <v>0.0251477367206958</v>
      </c>
      <c r="AH59" s="5">
        <f t="shared" si="78"/>
        <v>1.16520997494627</v>
      </c>
      <c r="AI59" s="5">
        <f t="shared" si="79"/>
        <v>1.5</v>
      </c>
      <c r="AJ59" s="5">
        <f t="shared" si="80"/>
        <v>2.08888888888889</v>
      </c>
      <c r="AL59" s="216">
        <f t="shared" si="81"/>
        <v>270</v>
      </c>
      <c r="AM59" s="220">
        <f t="shared" si="82"/>
        <v>133.090570359429</v>
      </c>
      <c r="AO59" t="str">
        <f t="shared" si="53"/>
        <v/>
      </c>
      <c r="AP59" s="220" t="str">
        <f t="shared" si="24"/>
        <v/>
      </c>
      <c r="AQ59" s="220"/>
      <c r="AR59" s="192">
        <f t="shared" si="54"/>
        <v>7.51368032535564</v>
      </c>
      <c r="AS59" s="192">
        <f t="shared" si="25"/>
        <v>3.125</v>
      </c>
      <c r="AT59" s="192">
        <f t="shared" si="55"/>
        <v>4.38868032535564</v>
      </c>
      <c r="AU59" s="5">
        <f t="shared" si="56"/>
        <v>0.415908032373215</v>
      </c>
      <c r="AW59" s="192">
        <f t="shared" si="83"/>
        <v>20.1076373742966</v>
      </c>
      <c r="AX59" s="192">
        <f t="shared" si="84"/>
        <v>48.7831668410037</v>
      </c>
      <c r="AY59" s="192">
        <f t="shared" si="85"/>
        <v>14.3647440975709</v>
      </c>
      <c r="AZ59" s="192">
        <f t="shared" si="86"/>
        <v>21.3757968942583</v>
      </c>
      <c r="BA59" s="192">
        <f t="shared" si="87"/>
        <v>4.02295696490933</v>
      </c>
      <c r="BB59" s="220">
        <f t="shared" si="88"/>
        <v>17.7801600650805</v>
      </c>
      <c r="BC59" s="192"/>
      <c r="BD59" s="5">
        <f t="shared" si="57"/>
        <v>0.558507855164017</v>
      </c>
      <c r="BE59" s="5">
        <f t="shared" si="89"/>
        <v>0.361199305707463</v>
      </c>
      <c r="BF59" s="5">
        <f t="shared" si="90"/>
        <v>0.273500708848449</v>
      </c>
      <c r="BG59" s="5"/>
      <c r="BH59" s="217">
        <f t="shared" si="34"/>
        <v>0.109175858497969</v>
      </c>
      <c r="BI59" s="217">
        <f t="shared" si="35"/>
        <v>0.0242286059716526</v>
      </c>
      <c r="BJ59" s="217">
        <f t="shared" si="36"/>
        <v>0.00166363212949286</v>
      </c>
      <c r="BK59" s="217">
        <f t="shared" si="37"/>
        <v>0.00392064071352486</v>
      </c>
      <c r="BL59">
        <f t="shared" si="38"/>
        <v>0.00348</v>
      </c>
      <c r="BM59">
        <f t="shared" si="91"/>
        <v>2.32908498129e-6</v>
      </c>
      <c r="BN59">
        <f t="shared" si="92"/>
        <v>0.201519334474684</v>
      </c>
      <c r="BO59" s="220">
        <f t="shared" si="58"/>
        <v>201.519334474684</v>
      </c>
      <c r="BP59" s="5">
        <f t="shared" si="93"/>
        <v>0.261060776689357</v>
      </c>
      <c r="BQ59" s="5">
        <f t="shared" si="94"/>
        <v>0.1900854137783</v>
      </c>
      <c r="BR59" s="217"/>
      <c r="BT59" s="220">
        <f t="shared" si="59"/>
        <v>451.146190467657</v>
      </c>
      <c r="BU59" s="217">
        <f t="shared" si="43"/>
        <v>0.0127891719954764</v>
      </c>
      <c r="BV59" s="217">
        <f t="shared" si="60"/>
        <v>0.0130464938443553</v>
      </c>
      <c r="BW59" s="217">
        <f t="shared" si="95"/>
        <v>0.00523618464184228</v>
      </c>
      <c r="BX59" s="217">
        <f t="shared" si="45"/>
        <v>0</v>
      </c>
      <c r="BY59" s="217">
        <f t="shared" si="96"/>
        <v>0.0429860060449206</v>
      </c>
      <c r="BZ59" s="217">
        <f t="shared" si="61"/>
        <v>0.0310718504816739</v>
      </c>
      <c r="CA59" s="225">
        <f t="shared" si="97"/>
        <v>0.0119781513323486</v>
      </c>
      <c r="CB59" s="220">
        <f t="shared" si="62"/>
        <v>54.9641573772692</v>
      </c>
      <c r="CC59" s="5">
        <f t="shared" si="63"/>
        <v>0.70762968231961</v>
      </c>
      <c r="CD59" s="192">
        <f t="shared" si="64"/>
        <v>4.09551761642662</v>
      </c>
      <c r="CE59" s="5">
        <f t="shared" si="65"/>
        <v>0.852673749459167</v>
      </c>
      <c r="CF59" s="192">
        <f t="shared" si="66"/>
        <v>85.2673749459167</v>
      </c>
      <c r="CG59">
        <f t="shared" si="102"/>
        <v>54</v>
      </c>
      <c r="CI59" s="227">
        <f t="shared" si="98"/>
        <v>-50</v>
      </c>
      <c r="CJ59">
        <f t="shared" si="99"/>
        <v>-50</v>
      </c>
    </row>
    <row r="60" spans="5:88">
      <c r="E60" s="22">
        <v>55</v>
      </c>
      <c r="F60" s="25">
        <f t="shared" si="103"/>
        <v>0.275</v>
      </c>
      <c r="G60" s="25">
        <f t="shared" si="100"/>
        <v>0.22</v>
      </c>
      <c r="H60" s="25">
        <f t="shared" si="70"/>
        <v>4.95</v>
      </c>
      <c r="I60" s="25">
        <f t="shared" si="104"/>
        <v>1.1</v>
      </c>
      <c r="J60" s="212">
        <f t="shared" si="1"/>
        <v>12</v>
      </c>
      <c r="K60" s="131">
        <f t="shared" si="2"/>
        <v>8.39420239716</v>
      </c>
      <c r="L60" s="131">
        <f t="shared" si="3"/>
        <v>24.2728</v>
      </c>
      <c r="M60" s="131"/>
      <c r="N60" s="25">
        <f t="shared" si="4"/>
        <v>0.505619458818101</v>
      </c>
      <c r="O60" s="27">
        <f t="shared" si="101"/>
        <v>3.3508780498036</v>
      </c>
      <c r="P60" s="27">
        <f t="shared" si="71"/>
        <v>0.744639566623021</v>
      </c>
      <c r="Q60" s="25">
        <f t="shared" si="6"/>
        <v>0.186159891655755</v>
      </c>
      <c r="R60" s="25">
        <f t="shared" si="72"/>
        <v>0.670175609960719</v>
      </c>
      <c r="S60" s="131">
        <f t="shared" si="73"/>
        <v>12.1850110901949</v>
      </c>
      <c r="T60" s="25">
        <f t="shared" si="74"/>
        <v>1.5</v>
      </c>
      <c r="U60" s="25">
        <f t="shared" si="10"/>
        <v>3.125</v>
      </c>
      <c r="V60" s="25">
        <f t="shared" si="11"/>
        <v>4.46736905136899</v>
      </c>
      <c r="W60" s="24">
        <f t="shared" si="12"/>
        <v>350</v>
      </c>
      <c r="X60" s="131">
        <f t="shared" si="52"/>
        <v>131.711194916123</v>
      </c>
      <c r="Z60" s="25">
        <f t="shared" si="13"/>
        <v>0.564476549640526</v>
      </c>
      <c r="AA60" s="5">
        <f t="shared" si="14"/>
        <v>1.68115004539176</v>
      </c>
      <c r="AB60" s="5">
        <f t="shared" si="75"/>
        <v>0.0906287704578405</v>
      </c>
      <c r="AC60" s="5"/>
      <c r="AD60" s="5">
        <f t="shared" si="16"/>
        <v>0.893473810273799</v>
      </c>
      <c r="AE60" s="216">
        <f t="shared" si="76"/>
        <v>3759.96627632984</v>
      </c>
      <c r="AF60" s="217">
        <f t="shared" si="77"/>
        <v>0.0255986338510332</v>
      </c>
      <c r="AH60" s="5">
        <f t="shared" si="78"/>
        <v>1.17594946441467</v>
      </c>
      <c r="AI60" s="5">
        <f t="shared" si="79"/>
        <v>1.5</v>
      </c>
      <c r="AJ60" s="5">
        <f t="shared" si="80"/>
        <v>2.08888888888889</v>
      </c>
      <c r="AL60" s="216">
        <f t="shared" si="81"/>
        <v>275</v>
      </c>
      <c r="AM60" s="220">
        <f t="shared" si="82"/>
        <v>131.711194916123</v>
      </c>
      <c r="AO60" t="str">
        <f t="shared" si="53"/>
        <v/>
      </c>
      <c r="AP60" t="str">
        <f t="shared" si="24"/>
        <v/>
      </c>
      <c r="AR60" s="192">
        <f t="shared" si="54"/>
        <v>7.59236905136899</v>
      </c>
      <c r="AS60" s="192">
        <f t="shared" si="25"/>
        <v>3.125</v>
      </c>
      <c r="AT60" s="192">
        <f t="shared" si="55"/>
        <v>4.46736905136899</v>
      </c>
      <c r="AU60" s="5">
        <f t="shared" si="56"/>
        <v>0.411597484112884</v>
      </c>
      <c r="AW60" s="192">
        <f t="shared" si="83"/>
        <v>20.1076373742966</v>
      </c>
      <c r="AX60" s="192">
        <f t="shared" si="84"/>
        <v>50.5914025013841</v>
      </c>
      <c r="AY60" s="192">
        <f t="shared" si="85"/>
        <v>14.3647440975709</v>
      </c>
      <c r="AZ60" s="192">
        <f t="shared" si="86"/>
        <v>22.1666754475759</v>
      </c>
      <c r="BA60" s="192">
        <f t="shared" si="87"/>
        <v>4.17092326555284</v>
      </c>
      <c r="BB60" s="220">
        <f t="shared" si="88"/>
        <v>18.0785591980452</v>
      </c>
      <c r="BC60" s="192"/>
      <c r="BD60" s="5">
        <f t="shared" si="57"/>
        <v>0.555606077256776</v>
      </c>
      <c r="BE60" s="5">
        <f t="shared" si="89"/>
        <v>0.362529665569821</v>
      </c>
      <c r="BF60" s="5">
        <f t="shared" si="90"/>
        <v>0.274508059526119</v>
      </c>
      <c r="BG60" s="5"/>
      <c r="BH60" s="217">
        <f t="shared" si="34"/>
        <v>0.108044339579632</v>
      </c>
      <c r="BI60" s="217">
        <f t="shared" si="35"/>
        <v>0.0239774961897005</v>
      </c>
      <c r="BJ60" s="217">
        <f t="shared" si="36"/>
        <v>0.00164638993645154</v>
      </c>
      <c r="BK60" s="217">
        <f t="shared" si="37"/>
        <v>0.00388000646342241</v>
      </c>
      <c r="BL60">
        <f t="shared" si="38"/>
        <v>0.00348</v>
      </c>
      <c r="BM60">
        <f t="shared" si="91"/>
        <v>2.30494591103215e-6</v>
      </c>
      <c r="BN60">
        <f t="shared" si="92"/>
        <v>0.199334004660655</v>
      </c>
      <c r="BO60" s="220">
        <f t="shared" si="58"/>
        <v>199.334004660655</v>
      </c>
      <c r="BP60" s="5">
        <f t="shared" si="93"/>
        <v>0.264973109104247</v>
      </c>
      <c r="BQ60" s="5">
        <f t="shared" si="94"/>
        <v>0.19307680885931</v>
      </c>
      <c r="BR60" s="217"/>
      <c r="BT60" s="220">
        <f t="shared" si="59"/>
        <v>458.049917963557</v>
      </c>
      <c r="BU60" s="217">
        <f t="shared" si="43"/>
        <v>0.0126566226364712</v>
      </c>
      <c r="BV60" s="217">
        <f t="shared" si="60"/>
        <v>0.0131427758418166</v>
      </c>
      <c r="BW60" s="217">
        <f t="shared" si="95"/>
        <v>0.00527482723213567</v>
      </c>
      <c r="BX60" s="217">
        <f t="shared" si="45"/>
        <v>0</v>
      </c>
      <c r="BY60" s="217">
        <f t="shared" si="96"/>
        <v>0.0429893002178325</v>
      </c>
      <c r="BZ60" s="217">
        <f t="shared" si="61"/>
        <v>0.0310742257104235</v>
      </c>
      <c r="CA60" s="225">
        <f t="shared" si="97"/>
        <v>0.0118540075424511</v>
      </c>
      <c r="CB60" s="220">
        <f t="shared" si="62"/>
        <v>54.8433077602836</v>
      </c>
      <c r="CC60" s="5">
        <f t="shared" si="63"/>
        <v>0.712227230384495</v>
      </c>
      <c r="CD60" s="192">
        <f t="shared" si="64"/>
        <v>4.09551761642662</v>
      </c>
      <c r="CE60" s="5">
        <f t="shared" si="65"/>
        <v>0.851858354992174</v>
      </c>
      <c r="CF60" s="192">
        <f t="shared" si="66"/>
        <v>85.1858354992174</v>
      </c>
      <c r="CG60">
        <f t="shared" si="102"/>
        <v>55</v>
      </c>
      <c r="CI60" s="227">
        <f t="shared" si="98"/>
        <v>-50</v>
      </c>
      <c r="CJ60">
        <f t="shared" si="99"/>
        <v>-50</v>
      </c>
    </row>
    <row r="61" spans="5:88">
      <c r="E61" s="22">
        <v>56</v>
      </c>
      <c r="F61" s="25">
        <f t="shared" si="103"/>
        <v>0.28</v>
      </c>
      <c r="G61" s="25">
        <f t="shared" si="100"/>
        <v>0.224</v>
      </c>
      <c r="H61" s="25">
        <f t="shared" si="70"/>
        <v>5.04</v>
      </c>
      <c r="I61" s="25">
        <f t="shared" si="104"/>
        <v>1.12</v>
      </c>
      <c r="J61" s="212">
        <f t="shared" si="1"/>
        <v>12</v>
      </c>
      <c r="K61" s="131">
        <f t="shared" si="2"/>
        <v>8.24907021149642</v>
      </c>
      <c r="L61" s="131">
        <f t="shared" si="3"/>
        <v>24.2728</v>
      </c>
      <c r="M61" s="131"/>
      <c r="N61" s="25">
        <f t="shared" si="4"/>
        <v>0.505619458818101</v>
      </c>
      <c r="O61" s="27">
        <f t="shared" si="101"/>
        <v>3.3508780498036</v>
      </c>
      <c r="P61" s="27">
        <f t="shared" si="71"/>
        <v>0.744639566623021</v>
      </c>
      <c r="Q61" s="25">
        <f t="shared" si="6"/>
        <v>0.186159891655755</v>
      </c>
      <c r="R61" s="25">
        <f t="shared" si="72"/>
        <v>0.670175609960719</v>
      </c>
      <c r="S61" s="131">
        <f t="shared" si="73"/>
        <v>11.9674216064414</v>
      </c>
      <c r="T61" s="25">
        <f t="shared" si="74"/>
        <v>1.5</v>
      </c>
      <c r="U61" s="25">
        <f t="shared" si="10"/>
        <v>3.125</v>
      </c>
      <c r="V61" s="25">
        <f t="shared" si="11"/>
        <v>4.54596688336313</v>
      </c>
      <c r="W61" s="24">
        <f t="shared" si="12"/>
        <v>350</v>
      </c>
      <c r="X61" s="131">
        <f t="shared" si="52"/>
        <v>130.361663034788</v>
      </c>
      <c r="Z61" s="25">
        <f t="shared" si="13"/>
        <v>0.558692841577662</v>
      </c>
      <c r="AA61" s="5">
        <f t="shared" si="14"/>
        <v>1.6931994371894</v>
      </c>
      <c r="AB61" s="5">
        <f t="shared" si="75"/>
        <v>0.0903430876208797</v>
      </c>
      <c r="AC61" s="5"/>
      <c r="AD61" s="5">
        <f t="shared" si="16"/>
        <v>0.909193376672626</v>
      </c>
      <c r="AE61" s="216">
        <f t="shared" si="76"/>
        <v>3762.139115836</v>
      </c>
      <c r="AF61" s="217">
        <f t="shared" si="77"/>
        <v>0.0260490101462457</v>
      </c>
      <c r="AH61" s="5">
        <f t="shared" si="78"/>
        <v>1.18659175793531</v>
      </c>
      <c r="AI61" s="5">
        <f t="shared" si="79"/>
        <v>1.5</v>
      </c>
      <c r="AJ61" s="5">
        <f t="shared" si="80"/>
        <v>2.08888888888889</v>
      </c>
      <c r="AL61" s="216">
        <f t="shared" si="81"/>
        <v>280</v>
      </c>
      <c r="AM61" s="220">
        <f t="shared" si="82"/>
        <v>130.361663034788</v>
      </c>
      <c r="AO61" t="str">
        <f t="shared" si="53"/>
        <v/>
      </c>
      <c r="AP61" t="str">
        <f t="shared" si="24"/>
        <v/>
      </c>
      <c r="AR61" s="192">
        <f t="shared" si="54"/>
        <v>7.67096688336313</v>
      </c>
      <c r="AS61" s="192">
        <f t="shared" si="25"/>
        <v>3.125</v>
      </c>
      <c r="AT61" s="192">
        <f t="shared" si="55"/>
        <v>4.54596688336313</v>
      </c>
      <c r="AU61" s="5">
        <f t="shared" si="56"/>
        <v>0.407380196983712</v>
      </c>
      <c r="AW61" s="192">
        <f t="shared" si="83"/>
        <v>20.1076373742966</v>
      </c>
      <c r="AX61" s="192">
        <f t="shared" si="84"/>
        <v>52.4325415683771</v>
      </c>
      <c r="AY61" s="192">
        <f t="shared" si="85"/>
        <v>14.3647440975709</v>
      </c>
      <c r="AZ61" s="192">
        <f t="shared" si="86"/>
        <v>22.9719187449911</v>
      </c>
      <c r="BA61" s="192">
        <f t="shared" si="87"/>
        <v>4.32147469159211</v>
      </c>
      <c r="BB61" s="220">
        <f t="shared" si="88"/>
        <v>18.3766136476238</v>
      </c>
      <c r="BC61" s="192"/>
      <c r="BD61" s="5">
        <f t="shared" si="57"/>
        <v>0.552752338518603</v>
      </c>
      <c r="BE61" s="5">
        <f t="shared" si="89"/>
        <v>0.36382653454935</v>
      </c>
      <c r="BF61" s="5">
        <f t="shared" si="90"/>
        <v>0.275490050852182</v>
      </c>
      <c r="BG61" s="5"/>
      <c r="BH61" s="217">
        <f t="shared" si="34"/>
        <v>0.106937301708224</v>
      </c>
      <c r="BI61" s="217">
        <f t="shared" si="35"/>
        <v>0.023731819308831</v>
      </c>
      <c r="BJ61" s="217">
        <f t="shared" si="36"/>
        <v>0.00162952078793485</v>
      </c>
      <c r="BK61" s="217">
        <f t="shared" si="37"/>
        <v>0.00384025135812928</v>
      </c>
      <c r="BL61">
        <f t="shared" si="38"/>
        <v>0.00348</v>
      </c>
      <c r="BM61">
        <f t="shared" si="91"/>
        <v>2.28132910310879e-6</v>
      </c>
      <c r="BN61">
        <f t="shared" si="92"/>
        <v>0.197198820196669</v>
      </c>
      <c r="BO61" s="220">
        <f t="shared" si="58"/>
        <v>197.198820196669</v>
      </c>
      <c r="BP61" s="5">
        <f t="shared" si="93"/>
        <v>0.268872223112531</v>
      </c>
      <c r="BQ61" s="5">
        <f t="shared" si="94"/>
        <v>0.196060625109618</v>
      </c>
      <c r="BR61" s="217"/>
      <c r="BT61" s="220">
        <f t="shared" si="59"/>
        <v>464.93284822215</v>
      </c>
      <c r="BU61" s="217">
        <f t="shared" si="43"/>
        <v>0.0125269410572491</v>
      </c>
      <c r="BV61" s="217">
        <f t="shared" si="60"/>
        <v>0.0132369747242189</v>
      </c>
      <c r="BW61" s="217">
        <f t="shared" si="95"/>
        <v>0.00531263376829767</v>
      </c>
      <c r="BX61" s="217">
        <f t="shared" si="45"/>
        <v>0</v>
      </c>
      <c r="BY61" s="217">
        <f t="shared" si="96"/>
        <v>0.0429925231206791</v>
      </c>
      <c r="BZ61" s="217">
        <f t="shared" si="61"/>
        <v>0.0310765495497657</v>
      </c>
      <c r="CA61" s="225">
        <f t="shared" si="97"/>
        <v>0.0117325496731309</v>
      </c>
      <c r="CB61" s="220">
        <f t="shared" si="62"/>
        <v>54.72507279381</v>
      </c>
      <c r="CC61" s="5">
        <f t="shared" si="63"/>
        <v>0.716856741212629</v>
      </c>
      <c r="CD61" s="192">
        <f t="shared" si="64"/>
        <v>4.09551761642662</v>
      </c>
      <c r="CE61" s="5">
        <f t="shared" si="65"/>
        <v>0.85103886606937</v>
      </c>
      <c r="CF61" s="192">
        <f t="shared" si="66"/>
        <v>85.103886606937</v>
      </c>
      <c r="CG61">
        <f t="shared" si="102"/>
        <v>56</v>
      </c>
      <c r="CI61" s="227">
        <f t="shared" si="98"/>
        <v>-50</v>
      </c>
      <c r="CJ61">
        <f t="shared" si="99"/>
        <v>-50</v>
      </c>
    </row>
    <row r="62" spans="5:88">
      <c r="E62" s="22">
        <v>57</v>
      </c>
      <c r="F62" s="25">
        <f t="shared" si="103"/>
        <v>0.285</v>
      </c>
      <c r="G62" s="25">
        <f t="shared" si="100"/>
        <v>0.228</v>
      </c>
      <c r="H62" s="25">
        <f t="shared" si="70"/>
        <v>5.13</v>
      </c>
      <c r="I62" s="25">
        <f t="shared" si="104"/>
        <v>1.14</v>
      </c>
      <c r="J62" s="212">
        <f t="shared" si="1"/>
        <v>12</v>
      </c>
      <c r="K62" s="131">
        <f t="shared" si="2"/>
        <v>8.10903038322456</v>
      </c>
      <c r="L62" s="131">
        <f t="shared" si="3"/>
        <v>24.2728</v>
      </c>
      <c r="M62" s="131"/>
      <c r="N62" s="25">
        <f t="shared" si="4"/>
        <v>0.505619458818101</v>
      </c>
      <c r="O62" s="27">
        <f t="shared" si="101"/>
        <v>3.3508780498036</v>
      </c>
      <c r="P62" s="27">
        <f t="shared" si="71"/>
        <v>0.744639566623021</v>
      </c>
      <c r="Q62" s="25">
        <f t="shared" si="6"/>
        <v>0.186159891655755</v>
      </c>
      <c r="R62" s="25">
        <f t="shared" si="72"/>
        <v>0.670175609960719</v>
      </c>
      <c r="S62" s="131">
        <f t="shared" si="73"/>
        <v>11.7574668414161</v>
      </c>
      <c r="T62" s="25">
        <f t="shared" si="74"/>
        <v>1.5</v>
      </c>
      <c r="U62" s="25">
        <f t="shared" si="10"/>
        <v>3.125</v>
      </c>
      <c r="V62" s="25">
        <f t="shared" si="11"/>
        <v>4.6244739787358</v>
      </c>
      <c r="W62" s="24">
        <f t="shared" si="12"/>
        <v>350</v>
      </c>
      <c r="X62" s="131">
        <f t="shared" si="52"/>
        <v>129.041016557247</v>
      </c>
      <c r="Z62" s="25">
        <f t="shared" si="13"/>
        <v>0.553032928102486</v>
      </c>
      <c r="AA62" s="5">
        <f t="shared" si="14"/>
        <v>1.70499092359601</v>
      </c>
      <c r="AB62" s="5">
        <f t="shared" si="75"/>
        <v>0.0900506327247447</v>
      </c>
      <c r="AC62" s="5"/>
      <c r="AD62" s="5">
        <f t="shared" si="16"/>
        <v>0.924894795747161</v>
      </c>
      <c r="AE62" s="216">
        <f t="shared" si="76"/>
        <v>3764.31195534218</v>
      </c>
      <c r="AF62" s="217">
        <f t="shared" si="77"/>
        <v>0.0264988665082442</v>
      </c>
      <c r="AH62" s="5">
        <f t="shared" si="78"/>
        <v>1.19713944765965</v>
      </c>
      <c r="AI62" s="5">
        <f t="shared" si="79"/>
        <v>1.5</v>
      </c>
      <c r="AJ62" s="5">
        <f t="shared" si="80"/>
        <v>2.08888888888889</v>
      </c>
      <c r="AL62" s="216">
        <f t="shared" si="81"/>
        <v>285</v>
      </c>
      <c r="AM62" s="220">
        <f t="shared" si="82"/>
        <v>129.041016557247</v>
      </c>
      <c r="AO62" t="str">
        <f t="shared" si="53"/>
        <v/>
      </c>
      <c r="AP62" t="str">
        <f t="shared" si="24"/>
        <v/>
      </c>
      <c r="AR62" s="192">
        <f t="shared" si="54"/>
        <v>7.7494739787358</v>
      </c>
      <c r="AS62" s="192">
        <f t="shared" si="25"/>
        <v>3.125</v>
      </c>
      <c r="AT62" s="192">
        <f t="shared" si="55"/>
        <v>4.6244739787358</v>
      </c>
      <c r="AU62" s="5">
        <f t="shared" si="56"/>
        <v>0.403253176741396</v>
      </c>
      <c r="AW62" s="192">
        <f t="shared" si="83"/>
        <v>20.1076373742966</v>
      </c>
      <c r="AX62" s="192">
        <f t="shared" si="84"/>
        <v>54.3065840419825</v>
      </c>
      <c r="AY62" s="192">
        <f t="shared" si="85"/>
        <v>14.3647440975709</v>
      </c>
      <c r="AZ62" s="192">
        <f t="shared" si="86"/>
        <v>23.7915267865039</v>
      </c>
      <c r="BA62" s="192">
        <f t="shared" si="87"/>
        <v>4.47460676646196</v>
      </c>
      <c r="BB62" s="220">
        <f t="shared" si="88"/>
        <v>18.6743240106916</v>
      </c>
      <c r="BC62" s="192"/>
      <c r="BD62" s="5">
        <f t="shared" si="57"/>
        <v>0.549945345062623</v>
      </c>
      <c r="BE62" s="5">
        <f t="shared" si="89"/>
        <v>0.365091185488072</v>
      </c>
      <c r="BF62" s="5">
        <f t="shared" si="90"/>
        <v>0.276447646624712</v>
      </c>
      <c r="BG62" s="5"/>
      <c r="BH62" s="217">
        <f t="shared" si="34"/>
        <v>0.105853958894616</v>
      </c>
      <c r="BI62" s="217">
        <f t="shared" si="35"/>
        <v>0.0234914009001806</v>
      </c>
      <c r="BJ62" s="217">
        <f t="shared" si="36"/>
        <v>0.00161301270696558</v>
      </c>
      <c r="BK62" s="217">
        <f t="shared" si="37"/>
        <v>0.00380134717179935</v>
      </c>
      <c r="BL62">
        <f t="shared" si="38"/>
        <v>0.00348</v>
      </c>
      <c r="BM62">
        <f t="shared" si="91"/>
        <v>2.25821778975182e-6</v>
      </c>
      <c r="BN62">
        <f t="shared" si="92"/>
        <v>0.195112074681195</v>
      </c>
      <c r="BO62" s="220">
        <f t="shared" si="58"/>
        <v>195.112074681195</v>
      </c>
      <c r="BP62" s="5">
        <f t="shared" si="93"/>
        <v>0.272758543104715</v>
      </c>
      <c r="BQ62" s="5">
        <f t="shared" si="94"/>
        <v>0.199037105855361</v>
      </c>
      <c r="BR62" s="217"/>
      <c r="BT62" s="220">
        <f t="shared" si="59"/>
        <v>471.795648960076</v>
      </c>
      <c r="BU62" s="217">
        <f t="shared" si="43"/>
        <v>0.0124000351847979</v>
      </c>
      <c r="BV62" s="217">
        <f t="shared" si="60"/>
        <v>0.0133291573721086</v>
      </c>
      <c r="BW62" s="217">
        <f t="shared" si="95"/>
        <v>0.00534963109270393</v>
      </c>
      <c r="BX62" s="217">
        <f t="shared" si="45"/>
        <v>0</v>
      </c>
      <c r="BY62" s="217">
        <f t="shared" si="96"/>
        <v>0.0429956770416201</v>
      </c>
      <c r="BZ62" s="217">
        <f t="shared" si="61"/>
        <v>0.0310788236496104</v>
      </c>
      <c r="CA62" s="225">
        <f t="shared" si="97"/>
        <v>0.0116136914901522</v>
      </c>
      <c r="CB62" s="220">
        <f t="shared" si="62"/>
        <v>54.6093685317724</v>
      </c>
      <c r="CC62" s="5">
        <f t="shared" si="63"/>
        <v>0.721517092173043</v>
      </c>
      <c r="CD62" s="192">
        <f t="shared" si="64"/>
        <v>4.09551761642662</v>
      </c>
      <c r="CE62" s="5">
        <f t="shared" si="65"/>
        <v>0.850215508955136</v>
      </c>
      <c r="CF62" s="192">
        <f t="shared" si="66"/>
        <v>85.0215508955136</v>
      </c>
      <c r="CG62">
        <f t="shared" si="102"/>
        <v>57</v>
      </c>
      <c r="CI62" s="227">
        <f t="shared" si="98"/>
        <v>-50</v>
      </c>
      <c r="CJ62">
        <f t="shared" si="99"/>
        <v>-50</v>
      </c>
    </row>
    <row r="63" spans="5:88">
      <c r="E63" s="22">
        <v>58</v>
      </c>
      <c r="F63" s="25">
        <f t="shared" si="103"/>
        <v>0.29</v>
      </c>
      <c r="G63" s="25">
        <f t="shared" si="100"/>
        <v>0.232</v>
      </c>
      <c r="H63" s="25">
        <f t="shared" si="70"/>
        <v>5.22</v>
      </c>
      <c r="I63" s="25">
        <f t="shared" si="104"/>
        <v>1.16</v>
      </c>
      <c r="J63" s="212">
        <f t="shared" si="1"/>
        <v>12</v>
      </c>
      <c r="K63" s="131">
        <f t="shared" si="2"/>
        <v>7.97381951454827</v>
      </c>
      <c r="L63" s="131">
        <f t="shared" si="3"/>
        <v>24.2728</v>
      </c>
      <c r="M63" s="131"/>
      <c r="N63" s="25">
        <f t="shared" si="4"/>
        <v>0.505619458818101</v>
      </c>
      <c r="O63" s="27">
        <f t="shared" si="101"/>
        <v>3.3508780498036</v>
      </c>
      <c r="P63" s="27">
        <f t="shared" si="71"/>
        <v>0.744639566623021</v>
      </c>
      <c r="Q63" s="25">
        <f t="shared" si="6"/>
        <v>0.186159891655755</v>
      </c>
      <c r="R63" s="25">
        <f t="shared" si="72"/>
        <v>0.670175609960719</v>
      </c>
      <c r="S63" s="131">
        <f t="shared" si="73"/>
        <v>11.5547518958745</v>
      </c>
      <c r="T63" s="25">
        <f t="shared" si="74"/>
        <v>1.5</v>
      </c>
      <c r="U63" s="25">
        <f t="shared" si="10"/>
        <v>3.125</v>
      </c>
      <c r="V63" s="25">
        <f t="shared" si="11"/>
        <v>4.70289049452161</v>
      </c>
      <c r="W63" s="24">
        <f t="shared" si="12"/>
        <v>350</v>
      </c>
      <c r="X63" s="131">
        <f t="shared" si="52"/>
        <v>127.748337907876</v>
      </c>
      <c r="Z63" s="25">
        <f t="shared" si="13"/>
        <v>0.547492876748041</v>
      </c>
      <c r="AA63" s="5">
        <f t="shared" si="14"/>
        <v>1.7165326972511</v>
      </c>
      <c r="AB63" s="5">
        <f t="shared" si="75"/>
        <v>0.0897520259200384</v>
      </c>
      <c r="AC63" s="5"/>
      <c r="AD63" s="5">
        <f t="shared" si="16"/>
        <v>0.940578098904323</v>
      </c>
      <c r="AE63" s="216">
        <f t="shared" si="76"/>
        <v>3766.48479484835</v>
      </c>
      <c r="AF63" s="217">
        <f t="shared" si="77"/>
        <v>0.0269482038368581</v>
      </c>
      <c r="AH63" s="5">
        <f t="shared" si="78"/>
        <v>1.20759501252933</v>
      </c>
      <c r="AI63" s="5">
        <f t="shared" si="79"/>
        <v>1.5</v>
      </c>
      <c r="AJ63" s="5">
        <f t="shared" si="80"/>
        <v>2.08888888888889</v>
      </c>
      <c r="AL63" s="216">
        <f t="shared" si="81"/>
        <v>290</v>
      </c>
      <c r="AM63" s="220">
        <f t="shared" si="82"/>
        <v>127.748337907876</v>
      </c>
      <c r="AO63" t="str">
        <f t="shared" si="53"/>
        <v/>
      </c>
      <c r="AP63" t="str">
        <f t="shared" si="24"/>
        <v/>
      </c>
      <c r="AR63" s="192">
        <f t="shared" si="54"/>
        <v>7.82789049452161</v>
      </c>
      <c r="AS63" s="192">
        <f t="shared" si="25"/>
        <v>3.125</v>
      </c>
      <c r="AT63" s="192">
        <f t="shared" si="55"/>
        <v>4.70289049452161</v>
      </c>
      <c r="AU63" s="5">
        <f t="shared" si="56"/>
        <v>0.399213555962113</v>
      </c>
      <c r="AW63" s="192">
        <f t="shared" si="83"/>
        <v>20.1076373742966</v>
      </c>
      <c r="AX63" s="192">
        <f t="shared" si="84"/>
        <v>56.2135299222004</v>
      </c>
      <c r="AY63" s="192">
        <f t="shared" si="85"/>
        <v>14.3647440975709</v>
      </c>
      <c r="AZ63" s="192">
        <f t="shared" si="86"/>
        <v>24.6254995721142</v>
      </c>
      <c r="BA63" s="192">
        <f t="shared" si="87"/>
        <v>4.63031502392714</v>
      </c>
      <c r="BB63" s="220">
        <f t="shared" si="88"/>
        <v>18.9716908827468</v>
      </c>
      <c r="BC63" s="192"/>
      <c r="BD63" s="5">
        <f t="shared" si="57"/>
        <v>0.547183851161184</v>
      </c>
      <c r="BE63" s="5">
        <f t="shared" si="89"/>
        <v>0.366324826258373</v>
      </c>
      <c r="BF63" s="5">
        <f t="shared" si="90"/>
        <v>0.277381761446669</v>
      </c>
      <c r="BG63" s="5"/>
      <c r="BH63" s="217">
        <f t="shared" si="34"/>
        <v>0.104793558440055</v>
      </c>
      <c r="BI63" s="217">
        <f t="shared" si="35"/>
        <v>0.0232560739227773</v>
      </c>
      <c r="BJ63" s="217">
        <f t="shared" si="36"/>
        <v>0.00159685422384845</v>
      </c>
      <c r="BK63" s="217">
        <f t="shared" si="37"/>
        <v>0.00376326687408525</v>
      </c>
      <c r="BL63">
        <f t="shared" si="38"/>
        <v>0.00348</v>
      </c>
      <c r="BM63">
        <f t="shared" si="91"/>
        <v>2.23559591338784e-6</v>
      </c>
      <c r="BN63">
        <f t="shared" si="92"/>
        <v>0.193072138267432</v>
      </c>
      <c r="BO63" s="220">
        <f t="shared" si="58"/>
        <v>193.072138267432</v>
      </c>
      <c r="BP63" s="5">
        <f t="shared" si="93"/>
        <v>0.276632475496349</v>
      </c>
      <c r="BQ63" s="5">
        <f t="shared" si="94"/>
        <v>0.202006484116656</v>
      </c>
      <c r="BR63" s="217"/>
      <c r="BT63" s="220">
        <f t="shared" si="59"/>
        <v>478.638959613005</v>
      </c>
      <c r="BU63" s="217">
        <f t="shared" si="43"/>
        <v>0.012275816845835</v>
      </c>
      <c r="BV63" s="217">
        <f t="shared" si="60"/>
        <v>0.0134193878333227</v>
      </c>
      <c r="BW63" s="217">
        <f t="shared" si="95"/>
        <v>0.00538584491082797</v>
      </c>
      <c r="BX63" s="217">
        <f t="shared" si="45"/>
        <v>0</v>
      </c>
      <c r="BY63" s="217">
        <f t="shared" si="96"/>
        <v>0.042998764171903</v>
      </c>
      <c r="BZ63" s="217">
        <f t="shared" si="61"/>
        <v>0.0310810495899857</v>
      </c>
      <c r="CA63" s="225">
        <f t="shared" si="97"/>
        <v>0.0114973504117089</v>
      </c>
      <c r="CB63" s="220">
        <f t="shared" si="62"/>
        <v>54.4961145836119</v>
      </c>
      <c r="CC63" s="5">
        <f t="shared" si="63"/>
        <v>0.726207212464049</v>
      </c>
      <c r="CD63" s="192">
        <f t="shared" si="64"/>
        <v>4.09551761642662</v>
      </c>
      <c r="CE63" s="5">
        <f t="shared" si="65"/>
        <v>0.84938849929536</v>
      </c>
      <c r="CF63" s="192">
        <f t="shared" si="66"/>
        <v>84.938849929536</v>
      </c>
      <c r="CG63">
        <f t="shared" si="102"/>
        <v>58</v>
      </c>
      <c r="CI63" s="227">
        <f t="shared" si="98"/>
        <v>-50</v>
      </c>
      <c r="CJ63">
        <f t="shared" si="99"/>
        <v>-50</v>
      </c>
    </row>
    <row r="64" spans="5:88">
      <c r="E64" s="22">
        <v>59</v>
      </c>
      <c r="F64" s="25">
        <f t="shared" si="103"/>
        <v>0.295</v>
      </c>
      <c r="G64" s="25">
        <f t="shared" si="100"/>
        <v>0.236</v>
      </c>
      <c r="H64" s="25">
        <f t="shared" si="70"/>
        <v>5.31</v>
      </c>
      <c r="I64" s="25">
        <f t="shared" si="104"/>
        <v>1.18</v>
      </c>
      <c r="J64" s="212">
        <f t="shared" si="1"/>
        <v>12</v>
      </c>
      <c r="K64" s="131">
        <f t="shared" si="2"/>
        <v>7.84319206514915</v>
      </c>
      <c r="L64" s="131">
        <f t="shared" si="3"/>
        <v>24.2728</v>
      </c>
      <c r="M64" s="131"/>
      <c r="N64" s="25">
        <f t="shared" si="4"/>
        <v>0.505619458818101</v>
      </c>
      <c r="O64" s="27">
        <f t="shared" si="101"/>
        <v>3.3508780498036</v>
      </c>
      <c r="P64" s="27">
        <f t="shared" si="71"/>
        <v>0.744639566623021</v>
      </c>
      <c r="Q64" s="25">
        <f t="shared" si="6"/>
        <v>0.186159891655755</v>
      </c>
      <c r="R64" s="25">
        <f t="shared" si="72"/>
        <v>0.670175609960719</v>
      </c>
      <c r="S64" s="131">
        <f t="shared" si="73"/>
        <v>11.358908643402</v>
      </c>
      <c r="T64" s="25">
        <f t="shared" si="74"/>
        <v>1.5</v>
      </c>
      <c r="U64" s="25">
        <f t="shared" si="10"/>
        <v>3.125</v>
      </c>
      <c r="V64" s="25">
        <f t="shared" si="11"/>
        <v>4.78121658739297</v>
      </c>
      <c r="W64" s="24">
        <f t="shared" si="12"/>
        <v>350</v>
      </c>
      <c r="X64" s="131">
        <f t="shared" si="52"/>
        <v>126.482747967539</v>
      </c>
      <c r="Z64" s="25">
        <f t="shared" si="13"/>
        <v>0.542068919860881</v>
      </c>
      <c r="AA64" s="5">
        <f t="shared" si="14"/>
        <v>1.72783260743269</v>
      </c>
      <c r="AB64" s="5">
        <f t="shared" si="75"/>
        <v>0.0894478445689551</v>
      </c>
      <c r="AC64" s="5"/>
      <c r="AD64" s="5">
        <f t="shared" si="16"/>
        <v>0.956243317478593</v>
      </c>
      <c r="AE64" s="216">
        <f t="shared" si="76"/>
        <v>3768.65763435452</v>
      </c>
      <c r="AF64" s="217">
        <f t="shared" si="77"/>
        <v>0.0273970230298418</v>
      </c>
      <c r="AH64" s="5">
        <f t="shared" si="78"/>
        <v>1.2179608250796</v>
      </c>
      <c r="AI64" s="5">
        <f t="shared" si="79"/>
        <v>1.5</v>
      </c>
      <c r="AJ64" s="5">
        <f t="shared" si="80"/>
        <v>2.08888888888889</v>
      </c>
      <c r="AL64" s="216">
        <f t="shared" si="81"/>
        <v>295</v>
      </c>
      <c r="AM64" s="220">
        <f t="shared" si="82"/>
        <v>126.482747967539</v>
      </c>
      <c r="AO64" t="str">
        <f t="shared" si="53"/>
        <v/>
      </c>
      <c r="AP64" t="str">
        <f t="shared" si="24"/>
        <v/>
      </c>
      <c r="AR64" s="192">
        <f t="shared" si="54"/>
        <v>7.90621658739297</v>
      </c>
      <c r="AS64" s="192">
        <f t="shared" si="25"/>
        <v>3.125</v>
      </c>
      <c r="AT64" s="192">
        <f t="shared" si="55"/>
        <v>4.78121658739297</v>
      </c>
      <c r="AU64" s="5">
        <f t="shared" si="56"/>
        <v>0.395258587398559</v>
      </c>
      <c r="AW64" s="192">
        <f t="shared" si="83"/>
        <v>20.1076373742966</v>
      </c>
      <c r="AX64" s="192">
        <f t="shared" si="84"/>
        <v>58.1533792090308</v>
      </c>
      <c r="AY64" s="192">
        <f t="shared" si="85"/>
        <v>14.3647440975709</v>
      </c>
      <c r="AZ64" s="192">
        <f t="shared" si="86"/>
        <v>25.4738371018221</v>
      </c>
      <c r="BA64" s="192">
        <f t="shared" si="87"/>
        <v>4.78859500805252</v>
      </c>
      <c r="BB64" s="220">
        <f t="shared" si="88"/>
        <v>19.2687148579139</v>
      </c>
      <c r="BC64" s="192"/>
      <c r="BD64" s="5">
        <f t="shared" si="57"/>
        <v>0.54446665696709</v>
      </c>
      <c r="BE64" s="5">
        <f t="shared" si="89"/>
        <v>0.367528603939768</v>
      </c>
      <c r="BF64" s="5">
        <f t="shared" si="90"/>
        <v>0.278293263888548</v>
      </c>
      <c r="BG64" s="5"/>
      <c r="BH64" s="217">
        <f t="shared" si="34"/>
        <v>0.103755379192122</v>
      </c>
      <c r="BI64" s="217">
        <f t="shared" si="35"/>
        <v>0.0230256783364986</v>
      </c>
      <c r="BJ64" s="217">
        <f t="shared" si="36"/>
        <v>0.00158103434959424</v>
      </c>
      <c r="BK64" s="217">
        <f t="shared" si="37"/>
        <v>0.00372598456750775</v>
      </c>
      <c r="BL64">
        <f t="shared" si="38"/>
        <v>0.00348</v>
      </c>
      <c r="BM64">
        <f t="shared" si="91"/>
        <v>2.21344808943193e-6</v>
      </c>
      <c r="BN64">
        <f t="shared" si="92"/>
        <v>0.191077453417811</v>
      </c>
      <c r="BO64" s="220">
        <f t="shared" si="58"/>
        <v>191.077453417811</v>
      </c>
      <c r="BP64" s="5">
        <f t="shared" si="93"/>
        <v>0.280494409669715</v>
      </c>
      <c r="BQ64" s="5">
        <f t="shared" si="94"/>
        <v>0.204968983147519</v>
      </c>
      <c r="BR64" s="217"/>
      <c r="BT64" s="220">
        <f t="shared" si="59"/>
        <v>485.463392817234</v>
      </c>
      <c r="BU64" s="217">
        <f t="shared" si="43"/>
        <v>0.0121542015625057</v>
      </c>
      <c r="BV64" s="217">
        <f t="shared" si="60"/>
        <v>0.0135077274713915</v>
      </c>
      <c r="BW64" s="217">
        <f t="shared" si="95"/>
        <v>0.00542129985080189</v>
      </c>
      <c r="BX64" s="217">
        <f t="shared" si="45"/>
        <v>0</v>
      </c>
      <c r="BY64" s="217">
        <f t="shared" si="96"/>
        <v>0.043001786610939</v>
      </c>
      <c r="BZ64" s="217">
        <f t="shared" si="61"/>
        <v>0.0310832288846991</v>
      </c>
      <c r="CA64" s="225">
        <f t="shared" si="97"/>
        <v>0.0113834473170785</v>
      </c>
      <c r="CB64" s="220">
        <f t="shared" si="62"/>
        <v>54.3852339280175</v>
      </c>
      <c r="CC64" s="5">
        <f t="shared" si="63"/>
        <v>0.730926080163062</v>
      </c>
      <c r="CD64" s="192">
        <f t="shared" si="64"/>
        <v>4.09551761642662</v>
      </c>
      <c r="CE64" s="5">
        <f t="shared" si="65"/>
        <v>0.848558042709681</v>
      </c>
      <c r="CF64" s="192">
        <f t="shared" si="66"/>
        <v>84.8558042709681</v>
      </c>
      <c r="CG64">
        <f t="shared" si="102"/>
        <v>59</v>
      </c>
      <c r="CI64" s="227">
        <f t="shared" si="98"/>
        <v>-50</v>
      </c>
      <c r="CJ64">
        <f t="shared" si="99"/>
        <v>-50</v>
      </c>
    </row>
    <row r="65" spans="5:88">
      <c r="E65" s="22">
        <v>60</v>
      </c>
      <c r="F65" s="25">
        <f t="shared" si="103"/>
        <v>0.3</v>
      </c>
      <c r="G65" s="25">
        <f t="shared" si="100"/>
        <v>0.24</v>
      </c>
      <c r="H65" s="25">
        <f t="shared" si="70"/>
        <v>5.4</v>
      </c>
      <c r="I65" s="25">
        <f t="shared" si="104"/>
        <v>1.2</v>
      </c>
      <c r="J65" s="212">
        <f t="shared" si="1"/>
        <v>12</v>
      </c>
      <c r="K65" s="131">
        <f t="shared" si="2"/>
        <v>7.71691886406333</v>
      </c>
      <c r="L65" s="131">
        <f t="shared" si="3"/>
        <v>24.2728</v>
      </c>
      <c r="M65" s="131"/>
      <c r="N65" s="25">
        <f t="shared" si="4"/>
        <v>0.505619458818101</v>
      </c>
      <c r="O65" s="27">
        <f t="shared" si="101"/>
        <v>3.3508780498036</v>
      </c>
      <c r="P65" s="27">
        <f t="shared" si="71"/>
        <v>0.744639566623021</v>
      </c>
      <c r="Q65" s="25">
        <f t="shared" si="6"/>
        <v>0.186159891655755</v>
      </c>
      <c r="R65" s="25">
        <f t="shared" si="72"/>
        <v>0.670175609960719</v>
      </c>
      <c r="S65" s="131">
        <f t="shared" si="73"/>
        <v>11.1695934993453</v>
      </c>
      <c r="T65" s="25">
        <f t="shared" si="74"/>
        <v>1.5</v>
      </c>
      <c r="U65" s="25">
        <f t="shared" si="10"/>
        <v>3.125</v>
      </c>
      <c r="V65" s="25">
        <f t="shared" si="11"/>
        <v>4.85945241366117</v>
      </c>
      <c r="W65" s="24">
        <f t="shared" si="12"/>
        <v>350</v>
      </c>
      <c r="X65" s="131">
        <f t="shared" si="52"/>
        <v>125.243404079787</v>
      </c>
      <c r="Z65" s="25">
        <f t="shared" si="13"/>
        <v>0.536757446056232</v>
      </c>
      <c r="AA65" s="5">
        <f t="shared" si="14"/>
        <v>1.73889817785904</v>
      </c>
      <c r="AB65" s="5">
        <f t="shared" si="75"/>
        <v>0.0891386263254999</v>
      </c>
      <c r="AC65" s="5"/>
      <c r="AD65" s="5">
        <f t="shared" si="16"/>
        <v>0.971890482732235</v>
      </c>
      <c r="AE65" s="216">
        <f t="shared" si="76"/>
        <v>3770.8304738607</v>
      </c>
      <c r="AF65" s="217">
        <f t="shared" si="77"/>
        <v>0.0278453249828804</v>
      </c>
      <c r="AH65" s="5">
        <f t="shared" si="78"/>
        <v>1.22823915772598</v>
      </c>
      <c r="AI65" s="5">
        <f t="shared" si="79"/>
        <v>1.5</v>
      </c>
      <c r="AJ65" s="5">
        <f t="shared" si="80"/>
        <v>2.08888888888889</v>
      </c>
      <c r="AL65" s="216">
        <f t="shared" si="81"/>
        <v>300</v>
      </c>
      <c r="AM65" s="220">
        <f t="shared" si="82"/>
        <v>125.243404079787</v>
      </c>
      <c r="AO65" t="str">
        <f t="shared" si="53"/>
        <v/>
      </c>
      <c r="AP65" t="str">
        <f t="shared" si="24"/>
        <v/>
      </c>
      <c r="AR65" s="192">
        <f t="shared" si="54"/>
        <v>7.98445241366118</v>
      </c>
      <c r="AS65" s="192">
        <f t="shared" si="25"/>
        <v>3.125</v>
      </c>
      <c r="AT65" s="192">
        <f t="shared" si="55"/>
        <v>4.85945241366118</v>
      </c>
      <c r="AU65" s="5">
        <f t="shared" si="56"/>
        <v>0.391385637749335</v>
      </c>
      <c r="AW65" s="192">
        <f t="shared" si="83"/>
        <v>20.1076373742966</v>
      </c>
      <c r="AX65" s="192">
        <f t="shared" si="84"/>
        <v>60.1261319024737</v>
      </c>
      <c r="AY65" s="192">
        <f t="shared" si="85"/>
        <v>14.3647440975709</v>
      </c>
      <c r="AZ65" s="192">
        <f t="shared" si="86"/>
        <v>26.3365393756276</v>
      </c>
      <c r="BA65" s="192">
        <f t="shared" si="87"/>
        <v>4.94944227317342</v>
      </c>
      <c r="BB65" s="220">
        <f t="shared" si="88"/>
        <v>19.5653965289483</v>
      </c>
      <c r="BC65" s="192"/>
      <c r="BD65" s="5">
        <f t="shared" si="57"/>
        <v>0.541792606365205</v>
      </c>
      <c r="BE65" s="5">
        <f t="shared" si="89"/>
        <v>0.368703608671073</v>
      </c>
      <c r="BF65" s="5">
        <f t="shared" si="90"/>
        <v>0.279182979405257</v>
      </c>
      <c r="BG65" s="5"/>
      <c r="BH65" s="217">
        <f t="shared" si="34"/>
        <v>0.102738729909201</v>
      </c>
      <c r="BI65" s="217">
        <f t="shared" si="35"/>
        <v>0.022800060739109</v>
      </c>
      <c r="BJ65" s="217">
        <f t="shared" si="36"/>
        <v>0.00156554255099734</v>
      </c>
      <c r="BK65" s="217">
        <f t="shared" si="37"/>
        <v>0.00368947542872163</v>
      </c>
      <c r="BL65">
        <f t="shared" si="38"/>
        <v>0.00348</v>
      </c>
      <c r="BM65">
        <f t="shared" si="91"/>
        <v>2.19175957139628e-6</v>
      </c>
      <c r="BN65">
        <f t="shared" si="92"/>
        <v>0.189126530937924</v>
      </c>
      <c r="BO65" s="220">
        <f t="shared" si="58"/>
        <v>189.126530937924</v>
      </c>
      <c r="BP65" s="5">
        <f t="shared" si="93"/>
        <v>0.284344718856919</v>
      </c>
      <c r="BQ65" s="5">
        <f t="shared" si="94"/>
        <v>0.207924816942198</v>
      </c>
      <c r="BR65" s="217"/>
      <c r="BT65" s="220">
        <f t="shared" si="59"/>
        <v>492.269535799117</v>
      </c>
      <c r="BU65" s="217">
        <f t="shared" si="43"/>
        <v>0.0120351083607921</v>
      </c>
      <c r="BV65" s="217">
        <f t="shared" si="60"/>
        <v>0.0135942351047072</v>
      </c>
      <c r="BW65" s="217">
        <f t="shared" si="95"/>
        <v>0.00545601951927172</v>
      </c>
      <c r="BX65" s="217">
        <f t="shared" si="45"/>
        <v>0</v>
      </c>
      <c r="BY65" s="217">
        <f t="shared" si="96"/>
        <v>0.0430047463710649</v>
      </c>
      <c r="BZ65" s="217">
        <f t="shared" si="61"/>
        <v>0.0310853629847709</v>
      </c>
      <c r="CA65" s="225">
        <f t="shared" si="97"/>
        <v>0.0112719063671809</v>
      </c>
      <c r="CB65" s="220">
        <f t="shared" si="62"/>
        <v>54.2766527382458</v>
      </c>
      <c r="CC65" s="5">
        <f t="shared" si="63"/>
        <v>0.735672719475287</v>
      </c>
      <c r="CD65" s="192">
        <f t="shared" si="64"/>
        <v>4.09551761642662</v>
      </c>
      <c r="CE65" s="5">
        <f t="shared" si="65"/>
        <v>0.847724335344791</v>
      </c>
      <c r="CF65" s="192">
        <f t="shared" si="66"/>
        <v>84.772433534479</v>
      </c>
      <c r="CG65">
        <f t="shared" si="102"/>
        <v>60</v>
      </c>
      <c r="CI65" s="227">
        <f t="shared" si="98"/>
        <v>-50</v>
      </c>
      <c r="CJ65">
        <f t="shared" si="99"/>
        <v>-50</v>
      </c>
    </row>
    <row r="66" spans="5:88">
      <c r="E66" s="22">
        <v>61</v>
      </c>
      <c r="F66" s="25">
        <f t="shared" si="103"/>
        <v>0.305</v>
      </c>
      <c r="G66" s="25">
        <f t="shared" si="100"/>
        <v>0.244</v>
      </c>
      <c r="H66" s="25">
        <f t="shared" si="70"/>
        <v>5.49</v>
      </c>
      <c r="I66" s="25">
        <f t="shared" si="104"/>
        <v>1.22</v>
      </c>
      <c r="J66" s="212">
        <f t="shared" si="1"/>
        <v>12</v>
      </c>
      <c r="K66" s="131">
        <f t="shared" si="2"/>
        <v>7.59478576793114</v>
      </c>
      <c r="L66" s="131">
        <f t="shared" si="3"/>
        <v>24.2728</v>
      </c>
      <c r="M66" s="131"/>
      <c r="N66" s="25">
        <f t="shared" si="4"/>
        <v>0.505619458818101</v>
      </c>
      <c r="O66" s="27">
        <f t="shared" si="101"/>
        <v>3.3508780498036</v>
      </c>
      <c r="P66" s="27">
        <f t="shared" si="71"/>
        <v>0.744639566623021</v>
      </c>
      <c r="Q66" s="25">
        <f t="shared" si="6"/>
        <v>0.186159891655755</v>
      </c>
      <c r="R66" s="25">
        <f t="shared" si="72"/>
        <v>0.670175609960719</v>
      </c>
      <c r="S66" s="131">
        <f t="shared" si="73"/>
        <v>10.9864854091921</v>
      </c>
      <c r="T66" s="25">
        <f t="shared" si="74"/>
        <v>1.5</v>
      </c>
      <c r="U66" s="25">
        <f t="shared" si="10"/>
        <v>3.125</v>
      </c>
      <c r="V66" s="25">
        <f t="shared" si="11"/>
        <v>4.93759812927748</v>
      </c>
      <c r="W66" s="24">
        <f t="shared" si="12"/>
        <v>350</v>
      </c>
      <c r="X66" s="131">
        <f t="shared" si="52"/>
        <v>124.02949817984</v>
      </c>
      <c r="Z66" s="25">
        <f t="shared" si="13"/>
        <v>0.531554992199313</v>
      </c>
      <c r="AA66" s="5">
        <f t="shared" si="14"/>
        <v>1.74973662339429</v>
      </c>
      <c r="AB66" s="5">
        <f t="shared" si="75"/>
        <v>0.0888248719735176</v>
      </c>
      <c r="AC66" s="5"/>
      <c r="AD66" s="5">
        <f t="shared" si="16"/>
        <v>0.987519625855495</v>
      </c>
      <c r="AE66" s="216">
        <f t="shared" si="76"/>
        <v>3773.00331336687</v>
      </c>
      <c r="AF66" s="217">
        <f t="shared" si="77"/>
        <v>0.0282931105895958</v>
      </c>
      <c r="AH66" s="5">
        <f t="shared" si="78"/>
        <v>1.23843218858131</v>
      </c>
      <c r="AI66" s="5">
        <f t="shared" si="79"/>
        <v>1.5</v>
      </c>
      <c r="AJ66" s="5">
        <f t="shared" si="80"/>
        <v>2.08888888888889</v>
      </c>
      <c r="AL66" s="216">
        <f t="shared" si="81"/>
        <v>305</v>
      </c>
      <c r="AM66" s="220">
        <f t="shared" si="82"/>
        <v>124.02949817984</v>
      </c>
      <c r="AO66" t="str">
        <f t="shared" si="53"/>
        <v/>
      </c>
      <c r="AP66" t="str">
        <f t="shared" si="24"/>
        <v/>
      </c>
      <c r="AR66" s="192">
        <f t="shared" si="54"/>
        <v>8.06259812927748</v>
      </c>
      <c r="AS66" s="192">
        <f t="shared" si="25"/>
        <v>3.125</v>
      </c>
      <c r="AT66" s="192">
        <f t="shared" si="55"/>
        <v>4.93759812927748</v>
      </c>
      <c r="AU66" s="5">
        <f t="shared" si="56"/>
        <v>0.387592181811999</v>
      </c>
      <c r="AW66" s="192">
        <f t="shared" si="83"/>
        <v>20.1076373742966</v>
      </c>
      <c r="AX66" s="192">
        <f t="shared" si="84"/>
        <v>62.131788002529</v>
      </c>
      <c r="AY66" s="192">
        <f t="shared" si="85"/>
        <v>14.3647440975709</v>
      </c>
      <c r="AZ66" s="192">
        <f t="shared" si="86"/>
        <v>27.2136063935306</v>
      </c>
      <c r="BA66" s="192">
        <f t="shared" si="87"/>
        <v>5.11285238386603</v>
      </c>
      <c r="BB66" s="220">
        <f t="shared" si="88"/>
        <v>19.8617364872398</v>
      </c>
      <c r="BC66" s="192"/>
      <c r="BD66" s="5">
        <f t="shared" si="57"/>
        <v>0.539160584945709</v>
      </c>
      <c r="BE66" s="5">
        <f t="shared" si="89"/>
        <v>0.36985087720761</v>
      </c>
      <c r="BF66" s="5">
        <f t="shared" si="90"/>
        <v>0.280051693029631</v>
      </c>
      <c r="BG66" s="5"/>
      <c r="BH66" s="217">
        <f t="shared" si="34"/>
        <v>0.10174294772565</v>
      </c>
      <c r="BI66" s="217">
        <f t="shared" si="35"/>
        <v>0.0225790740256471</v>
      </c>
      <c r="BJ66" s="217">
        <f t="shared" si="36"/>
        <v>0.001550368727248</v>
      </c>
      <c r="BK66" s="217">
        <f t="shared" si="37"/>
        <v>0.00365371565339818</v>
      </c>
      <c r="BL66">
        <f t="shared" si="38"/>
        <v>0.00348</v>
      </c>
      <c r="BM66">
        <f t="shared" si="91"/>
        <v>2.1705162181472e-6</v>
      </c>
      <c r="BN66">
        <f t="shared" si="92"/>
        <v>0.187217946268667</v>
      </c>
      <c r="BO66" s="220">
        <f t="shared" si="58"/>
        <v>187.217946268667</v>
      </c>
      <c r="BP66" s="5">
        <f t="shared" si="93"/>
        <v>0.288183760968619</v>
      </c>
      <c r="BQ66" s="5">
        <f t="shared" si="94"/>
        <v>0.210874190710318</v>
      </c>
      <c r="BR66" s="217"/>
      <c r="BT66" s="220">
        <f t="shared" si="59"/>
        <v>499.057951678938</v>
      </c>
      <c r="BU66" s="217">
        <f t="shared" si="43"/>
        <v>0.011918459590719</v>
      </c>
      <c r="BV66" s="217">
        <f t="shared" si="60"/>
        <v>0.0136789671371239</v>
      </c>
      <c r="BW66" s="217">
        <f t="shared" si="95"/>
        <v>0.00549002655381337</v>
      </c>
      <c r="BX66" s="217">
        <f t="shared" si="45"/>
        <v>0</v>
      </c>
      <c r="BY66" s="217">
        <f t="shared" si="96"/>
        <v>0.0430076453820109</v>
      </c>
      <c r="BZ66" s="217">
        <f t="shared" si="61"/>
        <v>0.0310874532816562</v>
      </c>
      <c r="CA66" s="225">
        <f t="shared" si="97"/>
        <v>0.0111626548361856</v>
      </c>
      <c r="CB66" s="220">
        <f t="shared" si="62"/>
        <v>54.1703002181965</v>
      </c>
      <c r="CC66" s="5">
        <f t="shared" si="63"/>
        <v>0.740446198165801</v>
      </c>
      <c r="CD66" s="192">
        <f t="shared" si="64"/>
        <v>4.09551761642662</v>
      </c>
      <c r="CE66" s="5">
        <f t="shared" si="65"/>
        <v>0.84688756439171</v>
      </c>
      <c r="CF66" s="192">
        <f t="shared" si="66"/>
        <v>84.688756439171</v>
      </c>
      <c r="CG66">
        <f t="shared" si="102"/>
        <v>61</v>
      </c>
      <c r="CI66" s="227">
        <f t="shared" si="98"/>
        <v>-50</v>
      </c>
      <c r="CJ66">
        <f t="shared" si="99"/>
        <v>-50</v>
      </c>
    </row>
    <row r="67" spans="5:88">
      <c r="E67" s="22">
        <v>62</v>
      </c>
      <c r="F67" s="25">
        <f t="shared" si="103"/>
        <v>0.31</v>
      </c>
      <c r="G67" s="25">
        <f t="shared" si="100"/>
        <v>0.248</v>
      </c>
      <c r="H67" s="25">
        <f t="shared" si="70"/>
        <v>5.58</v>
      </c>
      <c r="I67" s="25">
        <f t="shared" si="104"/>
        <v>1.24</v>
      </c>
      <c r="J67" s="212">
        <f t="shared" si="1"/>
        <v>12</v>
      </c>
      <c r="K67" s="131">
        <f t="shared" si="2"/>
        <v>7.47659244909354</v>
      </c>
      <c r="L67" s="131">
        <f t="shared" si="3"/>
        <v>24.2728</v>
      </c>
      <c r="M67" s="131"/>
      <c r="N67" s="25">
        <f t="shared" si="4"/>
        <v>0.505619458818101</v>
      </c>
      <c r="O67" s="27">
        <f t="shared" si="101"/>
        <v>3.3508780498036</v>
      </c>
      <c r="P67" s="27">
        <f t="shared" si="71"/>
        <v>0.744639566623021</v>
      </c>
      <c r="Q67" s="25">
        <f t="shared" si="6"/>
        <v>0.186159891655755</v>
      </c>
      <c r="R67" s="25">
        <f t="shared" si="72"/>
        <v>0.670175609960719</v>
      </c>
      <c r="S67" s="131">
        <f t="shared" si="73"/>
        <v>10.8092840316245</v>
      </c>
      <c r="T67" s="25">
        <f t="shared" si="74"/>
        <v>1.5</v>
      </c>
      <c r="U67" s="25">
        <f t="shared" si="10"/>
        <v>3.125</v>
      </c>
      <c r="V67" s="25">
        <f t="shared" si="11"/>
        <v>5.01565388983406</v>
      </c>
      <c r="W67" s="24">
        <f t="shared" si="12"/>
        <v>350</v>
      </c>
      <c r="X67" s="131">
        <f t="shared" si="52"/>
        <v>122.840255037594</v>
      </c>
      <c r="Z67" s="25">
        <f t="shared" si="13"/>
        <v>0.526458235875404</v>
      </c>
      <c r="AA67" s="5">
        <f t="shared" si="14"/>
        <v>1.76035486573577</v>
      </c>
      <c r="AB67" s="5">
        <f t="shared" si="75"/>
        <v>0.0885070480434477</v>
      </c>
      <c r="AC67" s="5"/>
      <c r="AD67" s="5">
        <f t="shared" si="16"/>
        <v>1.00313077796681</v>
      </c>
      <c r="AE67" s="216">
        <f t="shared" si="76"/>
        <v>3775.17615287304</v>
      </c>
      <c r="AF67" s="217">
        <f t="shared" si="77"/>
        <v>0.0287403807415523</v>
      </c>
      <c r="AH67" s="5">
        <f t="shared" si="78"/>
        <v>1.24854200684524</v>
      </c>
      <c r="AI67" s="5">
        <f t="shared" si="79"/>
        <v>1.5</v>
      </c>
      <c r="AJ67" s="5">
        <f t="shared" si="80"/>
        <v>2.08888888888889</v>
      </c>
      <c r="AL67" s="216">
        <f t="shared" si="81"/>
        <v>310</v>
      </c>
      <c r="AM67" s="220">
        <f t="shared" si="82"/>
        <v>122.840255037594</v>
      </c>
      <c r="AO67" t="str">
        <f t="shared" si="53"/>
        <v/>
      </c>
      <c r="AP67" t="str">
        <f t="shared" si="24"/>
        <v/>
      </c>
      <c r="AR67" s="192">
        <f t="shared" si="54"/>
        <v>8.14065388983406</v>
      </c>
      <c r="AS67" s="192">
        <f t="shared" si="25"/>
        <v>3.125</v>
      </c>
      <c r="AT67" s="192">
        <f t="shared" si="55"/>
        <v>5.01565388983406</v>
      </c>
      <c r="AU67" s="5">
        <f t="shared" si="56"/>
        <v>0.383875796992482</v>
      </c>
      <c r="AW67" s="192">
        <f t="shared" si="83"/>
        <v>20.1076373742966</v>
      </c>
      <c r="AX67" s="192">
        <f t="shared" si="84"/>
        <v>64.1703475091969</v>
      </c>
      <c r="AY67" s="192">
        <f t="shared" si="85"/>
        <v>14.3647440975709</v>
      </c>
      <c r="AZ67" s="192">
        <f t="shared" si="86"/>
        <v>28.1050381555312</v>
      </c>
      <c r="BA67" s="192">
        <f t="shared" si="87"/>
        <v>5.27882091491795</v>
      </c>
      <c r="BB67" s="220">
        <f t="shared" si="88"/>
        <v>20.1577353228167</v>
      </c>
      <c r="BC67" s="192"/>
      <c r="BD67" s="5">
        <f t="shared" si="57"/>
        <v>0.536569518090957</v>
      </c>
      <c r="BE67" s="5">
        <f t="shared" si="89"/>
        <v>0.370971396209966</v>
      </c>
      <c r="BF67" s="5">
        <f t="shared" si="90"/>
        <v>0.28090015186269</v>
      </c>
      <c r="BG67" s="5"/>
      <c r="BH67" s="217">
        <f t="shared" si="34"/>
        <v>0.100767396710527</v>
      </c>
      <c r="BI67" s="217">
        <f t="shared" si="35"/>
        <v>0.0223625770685739</v>
      </c>
      <c r="BJ67" s="217">
        <f t="shared" si="36"/>
        <v>0.00153550318796993</v>
      </c>
      <c r="BK67" s="217">
        <f t="shared" si="37"/>
        <v>0.0036186824044672</v>
      </c>
      <c r="BL67">
        <f t="shared" si="38"/>
        <v>0.00348</v>
      </c>
      <c r="BM67">
        <f t="shared" si="91"/>
        <v>2.1497044631579e-6</v>
      </c>
      <c r="BN67">
        <f t="shared" si="92"/>
        <v>0.185350336017179</v>
      </c>
      <c r="BO67" s="220">
        <f t="shared" si="58"/>
        <v>185.350336017179</v>
      </c>
      <c r="BP67" s="5">
        <f t="shared" si="93"/>
        <v>0.292011879372229</v>
      </c>
      <c r="BQ67" s="5">
        <f t="shared" si="94"/>
        <v>0.213817301323074</v>
      </c>
      <c r="BR67" s="217"/>
      <c r="BT67" s="220">
        <f t="shared" si="59"/>
        <v>505.829180695303</v>
      </c>
      <c r="BU67" s="217">
        <f t="shared" si="43"/>
        <v>0.0118041807575188</v>
      </c>
      <c r="BV67" s="217">
        <f t="shared" si="60"/>
        <v>0.0137619776805972</v>
      </c>
      <c r="BW67" s="217">
        <f t="shared" si="95"/>
        <v>0.00552334267215377</v>
      </c>
      <c r="BX67" s="217">
        <f t="shared" si="45"/>
        <v>0</v>
      </c>
      <c r="BY67" s="217">
        <f t="shared" si="96"/>
        <v>0.0430104854950965</v>
      </c>
      <c r="BZ67" s="217">
        <f t="shared" si="61"/>
        <v>0.0310895011102698</v>
      </c>
      <c r="CA67" s="225">
        <f t="shared" si="97"/>
        <v>0.0110556229533835</v>
      </c>
      <c r="CB67" s="220">
        <f t="shared" si="62"/>
        <v>54.06610844848</v>
      </c>
      <c r="CC67" s="5">
        <f t="shared" si="63"/>
        <v>0.745245625160962</v>
      </c>
      <c r="CD67" s="192">
        <f t="shared" si="64"/>
        <v>4.09551761642662</v>
      </c>
      <c r="CE67" s="5">
        <f t="shared" si="65"/>
        <v>0.846047908569775</v>
      </c>
      <c r="CF67" s="192">
        <f t="shared" si="66"/>
        <v>84.6047908569775</v>
      </c>
      <c r="CG67">
        <f t="shared" si="102"/>
        <v>62</v>
      </c>
      <c r="CI67" s="227">
        <f t="shared" si="98"/>
        <v>-50</v>
      </c>
      <c r="CJ67">
        <f t="shared" si="99"/>
        <v>-50</v>
      </c>
    </row>
    <row r="68" spans="5:88">
      <c r="E68" s="22">
        <v>63</v>
      </c>
      <c r="F68" s="25">
        <f t="shared" si="103"/>
        <v>0.315</v>
      </c>
      <c r="G68" s="25">
        <f t="shared" si="100"/>
        <v>0.252</v>
      </c>
      <c r="H68" s="25">
        <f t="shared" si="70"/>
        <v>5.67</v>
      </c>
      <c r="I68" s="25">
        <f t="shared" si="104"/>
        <v>1.26</v>
      </c>
      <c r="J68" s="212">
        <f t="shared" si="1"/>
        <v>12</v>
      </c>
      <c r="K68" s="131">
        <f t="shared" si="2"/>
        <v>7.36215129910793</v>
      </c>
      <c r="L68" s="131">
        <f t="shared" si="3"/>
        <v>24.2728</v>
      </c>
      <c r="M68" s="131"/>
      <c r="N68" s="25">
        <f t="shared" si="4"/>
        <v>0.505619458818101</v>
      </c>
      <c r="O68" s="27">
        <f t="shared" si="101"/>
        <v>3.3508780498036</v>
      </c>
      <c r="P68" s="27">
        <f t="shared" si="71"/>
        <v>0.744639566623021</v>
      </c>
      <c r="Q68" s="25">
        <f t="shared" si="6"/>
        <v>0.186159891655755</v>
      </c>
      <c r="R68" s="25">
        <f t="shared" si="72"/>
        <v>0.670175609960719</v>
      </c>
      <c r="S68" s="131">
        <f t="shared" si="73"/>
        <v>10.6377080946146</v>
      </c>
      <c r="T68" s="25">
        <f t="shared" si="74"/>
        <v>1.5</v>
      </c>
      <c r="U68" s="25">
        <f t="shared" si="10"/>
        <v>3.125</v>
      </c>
      <c r="V68" s="25">
        <f t="shared" si="11"/>
        <v>5.09361985056513</v>
      </c>
      <c r="W68" s="24">
        <f t="shared" si="12"/>
        <v>350</v>
      </c>
      <c r="X68" s="131">
        <f t="shared" si="52"/>
        <v>121.674930606656</v>
      </c>
      <c r="Z68" s="25">
        <f t="shared" si="13"/>
        <v>0.521463988314241</v>
      </c>
      <c r="AA68" s="5">
        <f t="shared" si="14"/>
        <v>1.77075954815485</v>
      </c>
      <c r="AB68" s="5">
        <f t="shared" si="75"/>
        <v>0.0881855892267494</v>
      </c>
      <c r="AC68" s="5"/>
      <c r="AD68" s="5">
        <f t="shared" si="16"/>
        <v>1.01872397011303</v>
      </c>
      <c r="AE68" s="216">
        <f t="shared" si="76"/>
        <v>3777.34899237921</v>
      </c>
      <c r="AF68" s="217">
        <f t="shared" si="77"/>
        <v>0.0291871363282633</v>
      </c>
      <c r="AH68" s="5">
        <f t="shared" si="78"/>
        <v>1.25857061780418</v>
      </c>
      <c r="AI68" s="5">
        <f t="shared" si="79"/>
        <v>1.5</v>
      </c>
      <c r="AJ68" s="5">
        <f t="shared" si="80"/>
        <v>2.08888888888889</v>
      </c>
      <c r="AL68" s="216">
        <f t="shared" si="81"/>
        <v>315</v>
      </c>
      <c r="AM68" s="220">
        <f t="shared" si="82"/>
        <v>121.674930606656</v>
      </c>
      <c r="AO68" t="str">
        <f t="shared" si="53"/>
        <v/>
      </c>
      <c r="AP68" t="str">
        <f t="shared" si="24"/>
        <v/>
      </c>
      <c r="AR68" s="192">
        <f t="shared" si="54"/>
        <v>8.21861985056513</v>
      </c>
      <c r="AS68" s="192">
        <f t="shared" si="25"/>
        <v>3.125</v>
      </c>
      <c r="AT68" s="192">
        <f t="shared" si="55"/>
        <v>5.09361985056513</v>
      </c>
      <c r="AU68" s="5">
        <f t="shared" si="56"/>
        <v>0.380234158145801</v>
      </c>
      <c r="AW68" s="192">
        <f t="shared" si="83"/>
        <v>20.1076373742966</v>
      </c>
      <c r="AX68" s="192">
        <f t="shared" si="84"/>
        <v>66.2418104224772</v>
      </c>
      <c r="AY68" s="192">
        <f t="shared" si="85"/>
        <v>14.3647440975709</v>
      </c>
      <c r="AZ68" s="192">
        <f t="shared" si="86"/>
        <v>29.0108346616294</v>
      </c>
      <c r="BA68" s="192">
        <f t="shared" si="87"/>
        <v>5.44734345129882</v>
      </c>
      <c r="BB68" s="220">
        <f t="shared" si="88"/>
        <v>20.4533936243498</v>
      </c>
      <c r="BC68" s="192"/>
      <c r="BD68" s="5">
        <f t="shared" si="57"/>
        <v>0.534018369168468</v>
      </c>
      <c r="BE68" s="5">
        <f t="shared" si="89"/>
        <v>0.372066105288077</v>
      </c>
      <c r="BF68" s="5">
        <f t="shared" si="90"/>
        <v>0.281729067378626</v>
      </c>
      <c r="BG68" s="5"/>
      <c r="BH68" s="217">
        <f t="shared" si="34"/>
        <v>0.0998114665132727</v>
      </c>
      <c r="BI68" s="217">
        <f t="shared" si="35"/>
        <v>0.0221504344172193</v>
      </c>
      <c r="BJ68" s="217">
        <f t="shared" si="36"/>
        <v>0.0015209366325832</v>
      </c>
      <c r="BK68" s="217">
        <f t="shared" si="37"/>
        <v>0.00358435376348188</v>
      </c>
      <c r="BL68">
        <f t="shared" si="38"/>
        <v>0.00348</v>
      </c>
      <c r="BM68">
        <f t="shared" si="91"/>
        <v>2.12931128561648e-6</v>
      </c>
      <c r="BN68">
        <f t="shared" si="92"/>
        <v>0.183522394708845</v>
      </c>
      <c r="BO68" s="220">
        <f t="shared" si="58"/>
        <v>183.522394708845</v>
      </c>
      <c r="BP68" s="5">
        <f t="shared" si="93"/>
        <v>0.295829403623175</v>
      </c>
      <c r="BQ68" s="5">
        <f t="shared" si="94"/>
        <v>0.216754337732497</v>
      </c>
      <c r="BR68" s="217"/>
      <c r="BT68" s="220">
        <f t="shared" si="59"/>
        <v>512.583741355671</v>
      </c>
      <c r="BU68" s="217">
        <f t="shared" si="43"/>
        <v>0.0116922003629834</v>
      </c>
      <c r="BV68" s="217">
        <f t="shared" si="60"/>
        <v>0.0138433186704239</v>
      </c>
      <c r="BW68" s="217">
        <f t="shared" si="95"/>
        <v>0.00555598871842214</v>
      </c>
      <c r="BX68" s="217">
        <f t="shared" si="45"/>
        <v>0</v>
      </c>
      <c r="BY68" s="217">
        <f t="shared" si="96"/>
        <v>0.0430132684871726</v>
      </c>
      <c r="BZ68" s="217">
        <f t="shared" si="61"/>
        <v>0.0310915077518294</v>
      </c>
      <c r="CA68" s="225">
        <f t="shared" si="97"/>
        <v>0.0109507437545991</v>
      </c>
      <c r="CB68" s="220">
        <f t="shared" si="62"/>
        <v>53.9640122417717</v>
      </c>
      <c r="CC68" s="5">
        <f t="shared" si="63"/>
        <v>0.750070148306288</v>
      </c>
      <c r="CD68" s="192">
        <f t="shared" si="64"/>
        <v>4.09551761642662</v>
      </c>
      <c r="CE68" s="5">
        <f t="shared" si="65"/>
        <v>0.84520553857977</v>
      </c>
      <c r="CF68" s="192">
        <f t="shared" si="66"/>
        <v>84.520553857977</v>
      </c>
      <c r="CG68">
        <f t="shared" si="102"/>
        <v>63</v>
      </c>
      <c r="CI68" s="227">
        <f t="shared" si="98"/>
        <v>-50</v>
      </c>
      <c r="CJ68">
        <f t="shared" si="99"/>
        <v>-50</v>
      </c>
    </row>
    <row r="69" spans="5:88">
      <c r="E69" s="22">
        <v>64</v>
      </c>
      <c r="F69" s="25">
        <f t="shared" si="103"/>
        <v>0.32</v>
      </c>
      <c r="G69" s="25">
        <f t="shared" si="100"/>
        <v>0.256</v>
      </c>
      <c r="H69" s="25">
        <f t="shared" ref="H69:H105" si="105">F69*Vout</f>
        <v>5.76</v>
      </c>
      <c r="I69" s="25">
        <f t="shared" si="104"/>
        <v>1.28</v>
      </c>
      <c r="J69" s="212">
        <f t="shared" ref="J69:J105" si="106">Vin</f>
        <v>12</v>
      </c>
      <c r="K69" s="131">
        <f t="shared" ref="K69:K105" si="107">(S69+Vfwd1)*Nps</f>
        <v>7.25128643505937</v>
      </c>
      <c r="L69" s="131">
        <f t="shared" ref="L69:L105" si="108">(Vout+Vfwd1)*Nps+J69</f>
        <v>24.2728</v>
      </c>
      <c r="M69" s="131"/>
      <c r="N69" s="25">
        <f t="shared" ref="N69:N105" si="109">(Vout+Vfwd1)*Nps/((Vout+Vfwd1)*Nps+J69)</f>
        <v>0.505619458818101</v>
      </c>
      <c r="O69" s="27">
        <f t="shared" si="101"/>
        <v>3.3508780498036</v>
      </c>
      <c r="P69" s="27">
        <f t="shared" ref="P69:P105" si="110">N69*J69*Isw_max*0.5*Efficiency*(Pout2/Pout_total)</f>
        <v>0.744639566623021</v>
      </c>
      <c r="Q69" s="25">
        <f t="shared" ref="Q69:Q105" si="111">O69/Vout</f>
        <v>0.186159891655755</v>
      </c>
      <c r="R69" s="25">
        <f t="shared" ref="R69:R105" si="112">O69/Vout2</f>
        <v>0.670175609960719</v>
      </c>
      <c r="S69" s="131">
        <f t="shared" ref="S69:S105" si="113">MIN(Vout,O69/F69)</f>
        <v>10.4714939056362</v>
      </c>
      <c r="T69" s="25">
        <f t="shared" ref="T69:T105" si="114">MIN(2*(Vout*F69+Vout2*G69)/(Efficiency*J69*N69),Isw_max)</f>
        <v>1.5</v>
      </c>
      <c r="U69" s="25">
        <f t="shared" ref="U69:U105" si="115">L*T69/J69*1000000</f>
        <v>3.125</v>
      </c>
      <c r="V69" s="25">
        <f t="shared" ref="V69:V105" si="116">L*T69/K69*1000000</f>
        <v>5.17149616634789</v>
      </c>
      <c r="W69" s="24">
        <f t="shared" ref="W69:W105" si="117">IF(1/((350000*L)*(1/J69+1/K69))&gt;Isw_min,350,0.001/((Isw_min*L)*(1/J69+1/K69)))</f>
        <v>350</v>
      </c>
      <c r="X69" s="131">
        <f t="shared" si="52"/>
        <v>120.53281047199</v>
      </c>
      <c r="Z69" s="25">
        <f t="shared" ref="Z69:Z105" si="118">1/((W69*1000*L)*(1/J69+1/K69))</f>
        <v>0.516569187737099</v>
      </c>
      <c r="AA69" s="5">
        <f t="shared" ref="AA69:AA105" si="119">L*Z69/K69*1000000</f>
        <v>1.78095704935723</v>
      </c>
      <c r="AB69" s="5">
        <f t="shared" ref="AB69:AB100" si="120">0.5*AA69*Z69*Nps*W69/1000*(Pout/Pout_total)</f>
        <v>0.0878609006051621</v>
      </c>
      <c r="AC69" s="5"/>
      <c r="AD69" s="5">
        <f t="shared" ref="AD69:AD105" si="121">L*Isw_min/K69*1000000</f>
        <v>1.03429923326958</v>
      </c>
      <c r="AE69" s="216">
        <f t="shared" ref="AE69:AE100" si="122">MAX(10,F69/(0.5*AD69/1000000*Isw_min*Nps)/1000*Pout_total/Pout)</f>
        <v>3779.52183188539</v>
      </c>
      <c r="AF69" s="217">
        <f t="shared" ref="AF69:AF105" si="123">0.5*AD69/1000000*Isw_min*Nps*W69*1000*(Pout/Pout_total)</f>
        <v>0.0296333782371961</v>
      </c>
      <c r="AH69" s="5">
        <f t="shared" ref="AH69:AH105" si="124">SQRT((H69+I69)/(0.5*L*Fsw_DCM))</f>
        <v>1.26851994747535</v>
      </c>
      <c r="AI69" s="5">
        <f t="shared" ref="AI69:AI100" si="125">MAX(IF(F69&gt;AB69,T69,AH69),Isw_min)</f>
        <v>1.5</v>
      </c>
      <c r="AJ69" s="5">
        <f t="shared" ref="AJ69:AJ100" si="126">IF(F69&gt;AF69,(AI69-Isw_min)/1.08*0.8+1.2,AE69*0.2/350+1)</f>
        <v>2.08888888888889</v>
      </c>
      <c r="AL69" s="216">
        <f t="shared" ref="AL69:AL105" si="127">F69*1000</f>
        <v>320</v>
      </c>
      <c r="AM69" s="220">
        <f t="shared" ref="AM69:AM105" si="128">IF(F69&gt;AF69,X69,AE69)</f>
        <v>120.53281047199</v>
      </c>
      <c r="AO69" t="str">
        <f t="shared" si="53"/>
        <v/>
      </c>
      <c r="AP69" t="str">
        <f t="shared" ref="AP69:AP105" si="129">IF(H69&gt;O69,"",AM69)</f>
        <v/>
      </c>
      <c r="AR69" s="192">
        <f t="shared" si="54"/>
        <v>8.29649616634789</v>
      </c>
      <c r="AS69" s="192">
        <f t="shared" ref="AS69:AS105" si="130">L*AI69/J69*1000000</f>
        <v>3.125</v>
      </c>
      <c r="AT69" s="192">
        <f t="shared" si="55"/>
        <v>5.17149616634789</v>
      </c>
      <c r="AU69" s="5">
        <f t="shared" si="56"/>
        <v>0.376665032724968</v>
      </c>
      <c r="AW69" s="192">
        <f t="shared" ref="AW69:AW105" si="131">L*Iout^2/(2*Vripple1_spec*Vout*Npri_sec1^2)*1000000000*((1+N69)/(1-N69))^2</f>
        <v>20.1076373742966</v>
      </c>
      <c r="AX69" s="192">
        <f t="shared" ref="AX69:AX105" si="132">L*F69^2/(2*Cout*Vout*Nps^2)*1000000000*((1+N69)/(1-N69))^2+F69*RCoutEsr</f>
        <v>68.34617674237</v>
      </c>
      <c r="AY69" s="192">
        <f t="shared" ref="AY69:AY105" si="133">L*Iout2^2/(2*Vripple2_spec*Vout2*Npri_sec2^2)*1000000000*((1+N69)/(1-N69))^2</f>
        <v>14.3647440975709</v>
      </c>
      <c r="AZ69" s="192">
        <f t="shared" ref="AZ69:AZ105" si="134">L*G69^2/(2*Cout2*Vout2*Npri_sec2^2)*1000000000*((1+N69)/(1-N69))^2+G69*CoutEsr2</f>
        <v>29.9309959118251</v>
      </c>
      <c r="BA69" s="192">
        <f t="shared" ref="BA69:BA105" si="135">(H69+I69)/Efficiency/J69*AT69/Vinripple1</f>
        <v>5.61841558813104</v>
      </c>
      <c r="BB69" s="220">
        <f t="shared" ref="BB69:BB105" si="136">((CD69/J69/Efficiency)*AT69/Cin+(CD69/J69/Efficiency)*RCinEsr)*1000</f>
        <v>20.748711979156</v>
      </c>
      <c r="BC69" s="192"/>
      <c r="BD69" s="5">
        <f t="shared" si="57"/>
        <v>0.531506137823192</v>
      </c>
      <c r="BE69" s="5">
        <f t="shared" ref="BE69:BE105" si="137">AI69*Npri_sec1*SQRT((1-AU69)/3)*(Pout/Pout_total)</f>
        <v>0.373135899822006</v>
      </c>
      <c r="BF69" s="5">
        <f t="shared" ref="BF69:BF105" si="138">AI69*Npri_sec2*SQRT((1-AU69)/3)*(Pout2/Pout_total)</f>
        <v>0.282539117560696</v>
      </c>
      <c r="BG69" s="5"/>
      <c r="BH69" s="217">
        <f t="shared" ref="BH69:BH105" si="139">Rdson*BD69^2</f>
        <v>0.0988745710903041</v>
      </c>
      <c r="BI69" s="217">
        <f t="shared" ref="BI69:BI105" si="140">0.5*L69*AI69*AM69*1000*Trise</f>
        <v>0.0219425160151838</v>
      </c>
      <c r="BJ69" s="217">
        <f t="shared" ref="BJ69:BJ105" si="141">Qg*Vdd*AM69*1000</f>
        <v>0.00150666013089987</v>
      </c>
      <c r="BK69" s="217">
        <f t="shared" ref="BK69:BK105" si="142">0.5*(Coss+Csw)*L69^2*AM69*1000</f>
        <v>0.00355070868488903</v>
      </c>
      <c r="BL69">
        <f t="shared" ref="BL69:BL105" si="143">J69*IQ</f>
        <v>0.00348</v>
      </c>
      <c r="BM69">
        <f t="shared" ref="BM69:BM105" si="144">(J69-Vdd)*Qg*AM69</f>
        <v>2.10932418325982e-6</v>
      </c>
      <c r="BN69">
        <f t="shared" ref="BN69:BN100" si="145">(BI69+BJ69+BK69+BL69+BM69+BH69*(1+RdsonTC*(Ta-25)))/(1-BH69*RdsonTC*ThetaJA)</f>
        <v>0.181732871744087</v>
      </c>
      <c r="BO69" s="220">
        <f t="shared" si="58"/>
        <v>181.732871744087</v>
      </c>
      <c r="BP69" s="5">
        <f t="shared" ref="BP69:BP105" si="146">(Vfwd2*F69+BE69^2*Rdiode)*(1+Diode_TC/1000*(Ta-25))</f>
        <v>0.299636650152465</v>
      </c>
      <c r="BQ69" s="5">
        <f t="shared" ref="BQ69:BQ105" si="147">(Vfwd2*G69+BF69^2*Rdiode)*(1+Diode_TC/1000*(Ta-25))</f>
        <v>0.219685481365677</v>
      </c>
      <c r="BR69" s="217"/>
      <c r="BT69" s="220">
        <f t="shared" si="59"/>
        <v>519.322131518142</v>
      </c>
      <c r="BU69" s="217">
        <f t="shared" ref="BU69:BU105" si="148">Rdcr_pri*BD69^2</f>
        <v>0.0115824497562928</v>
      </c>
      <c r="BV69" s="217">
        <f t="shared" ref="BV69:BV105" si="149">Rdcr_sec*BE69^2</f>
        <v>0.0139230399735978</v>
      </c>
      <c r="BW69" s="217">
        <f t="shared" ref="BW69:BW105" si="150">Rdcr_sec2*BF69^2</f>
        <v>0.00558798470663836</v>
      </c>
      <c r="BX69" s="217">
        <f t="shared" ref="BX69:BX105" si="151">AI69^2.5*AM69^2.5*k_core</f>
        <v>0</v>
      </c>
      <c r="BY69" s="217">
        <f t="shared" ref="BY69:BY100" si="152">(BX69+(BU69+BV69+BW69)*(1+Ltc*(Ta-25)))/(1-(BU69+BV69+BW69)*Ltc*ThetaCa)</f>
        <v>0.043015996064329</v>
      </c>
      <c r="BZ69" s="217">
        <f t="shared" si="61"/>
        <v>0.0310934744365289</v>
      </c>
      <c r="CA69" s="225">
        <f t="shared" ref="CA69:CA105" si="153">0.5*Lleak*0.000000001*AI69^2*AM69*1000</f>
        <v>0.0108479529424791</v>
      </c>
      <c r="CB69" s="220">
        <f t="shared" si="62"/>
        <v>53.863949006808</v>
      </c>
      <c r="CC69" s="5">
        <f t="shared" si="63"/>
        <v>0.754918952269037</v>
      </c>
      <c r="CD69" s="192">
        <f t="shared" si="64"/>
        <v>4.09551761642662</v>
      </c>
      <c r="CE69" s="5">
        <f t="shared" si="65"/>
        <v>0.844360617528487</v>
      </c>
      <c r="CF69" s="192">
        <f t="shared" si="66"/>
        <v>84.4360617528487</v>
      </c>
      <c r="CG69">
        <f t="shared" si="102"/>
        <v>64</v>
      </c>
      <c r="CI69" s="227">
        <f t="shared" ref="CI69:CI105" si="154">IF(ABS(F69-Ioutmax_Vinnom)&lt;Iout/200,AM69,-50)</f>
        <v>-50</v>
      </c>
      <c r="CJ69">
        <f t="shared" ref="CJ69:CJ105" si="155">IF(ABS(F69-Ioutmax_Vinnom)&lt;Iout/200,(O69+P69)*CE69,-50)</f>
        <v>-50</v>
      </c>
    </row>
    <row r="70" spans="5:88">
      <c r="E70" s="22">
        <v>65</v>
      </c>
      <c r="F70" s="25">
        <f t="shared" si="103"/>
        <v>0.325</v>
      </c>
      <c r="G70" s="25">
        <f t="shared" ref="G70:G105" si="156">IF(PLOT_TYPE=1,E70/100*Iout2,min_I*EXP(Q70*rr/100))</f>
        <v>0.26</v>
      </c>
      <c r="H70" s="25">
        <f t="shared" si="105"/>
        <v>5.85</v>
      </c>
      <c r="I70" s="25">
        <f t="shared" si="104"/>
        <v>1.3</v>
      </c>
      <c r="J70" s="212">
        <f t="shared" si="106"/>
        <v>12</v>
      </c>
      <c r="K70" s="131">
        <f t="shared" si="107"/>
        <v>7.14383279759692</v>
      </c>
      <c r="L70" s="131">
        <f t="shared" si="108"/>
        <v>24.2728</v>
      </c>
      <c r="M70" s="131"/>
      <c r="N70" s="25">
        <f t="shared" si="109"/>
        <v>0.505619458818101</v>
      </c>
      <c r="O70" s="27">
        <f t="shared" ref="O70:O101" si="157">N70*J70*Isw_max*0.5*Efficiency*Pout/(Pout+Pout2)</f>
        <v>3.3508780498036</v>
      </c>
      <c r="P70" s="27">
        <f t="shared" si="110"/>
        <v>0.744639566623021</v>
      </c>
      <c r="Q70" s="25">
        <f t="shared" si="111"/>
        <v>0.186159891655755</v>
      </c>
      <c r="R70" s="25">
        <f t="shared" si="112"/>
        <v>0.670175609960719</v>
      </c>
      <c r="S70" s="131">
        <f t="shared" si="113"/>
        <v>10.3103939993957</v>
      </c>
      <c r="T70" s="25">
        <f t="shared" si="114"/>
        <v>1.5</v>
      </c>
      <c r="U70" s="25">
        <f t="shared" si="115"/>
        <v>3.125</v>
      </c>
      <c r="V70" s="25">
        <f t="shared" si="116"/>
        <v>5.24928299170362</v>
      </c>
      <c r="W70" s="24">
        <f t="shared" si="117"/>
        <v>350</v>
      </c>
      <c r="X70" s="131">
        <f t="shared" ref="X70:X105" si="158">MIN(1/(U70+V70)*1000,350)</f>
        <v>119.413208389387</v>
      </c>
      <c r="Z70" s="25">
        <f t="shared" si="118"/>
        <v>0.511770893097371</v>
      </c>
      <c r="AA70" s="5">
        <f t="shared" si="119"/>
        <v>1.79095349652333</v>
      </c>
      <c r="AB70" s="5">
        <f t="shared" si="120"/>
        <v>0.0875333597103775</v>
      </c>
      <c r="AC70" s="5"/>
      <c r="AD70" s="5">
        <f t="shared" si="121"/>
        <v>1.04985659834072</v>
      </c>
      <c r="AE70" s="216">
        <f t="shared" si="122"/>
        <v>3781.69467139156</v>
      </c>
      <c r="AF70" s="217">
        <f t="shared" si="123"/>
        <v>0.0300791073537788</v>
      </c>
      <c r="AH70" s="5">
        <f t="shared" si="124"/>
        <v>1.27839184692555</v>
      </c>
      <c r="AI70" s="5">
        <f t="shared" si="125"/>
        <v>1.5</v>
      </c>
      <c r="AJ70" s="5">
        <f t="shared" si="126"/>
        <v>2.08888888888889</v>
      </c>
      <c r="AL70" s="216">
        <f t="shared" si="127"/>
        <v>325</v>
      </c>
      <c r="AM70" s="220">
        <f t="shared" si="128"/>
        <v>119.413208389387</v>
      </c>
      <c r="AO70" t="str">
        <f t="shared" ref="AO70:AO105" si="159">IF(H70&gt;O70,"",AL70)</f>
        <v/>
      </c>
      <c r="AP70" t="str">
        <f t="shared" si="129"/>
        <v/>
      </c>
      <c r="AR70" s="192">
        <f t="shared" ref="AR70:AR133" si="160">1/AM70*1000</f>
        <v>8.37428299170362</v>
      </c>
      <c r="AS70" s="192">
        <f t="shared" si="130"/>
        <v>3.125</v>
      </c>
      <c r="AT70" s="192">
        <f t="shared" ref="AT70:AT105" si="161">AR70-AS70</f>
        <v>5.24928299170362</v>
      </c>
      <c r="AU70" s="5">
        <f t="shared" ref="AU70:AU105" si="162">AS70/AR70</f>
        <v>0.373166276216833</v>
      </c>
      <c r="AW70" s="192">
        <f t="shared" si="131"/>
        <v>20.1076373742966</v>
      </c>
      <c r="AX70" s="192">
        <f t="shared" si="132"/>
        <v>70.4834464688753</v>
      </c>
      <c r="AY70" s="192">
        <f t="shared" si="133"/>
        <v>14.3647440975709</v>
      </c>
      <c r="AZ70" s="192">
        <f t="shared" si="134"/>
        <v>30.8655219061185</v>
      </c>
      <c r="BA70" s="192">
        <f t="shared" si="135"/>
        <v>5.79203293066063</v>
      </c>
      <c r="BB70" s="220">
        <f t="shared" si="136"/>
        <v>21.0436909732026</v>
      </c>
      <c r="BC70" s="192"/>
      <c r="BD70" s="5">
        <f t="shared" ref="BD70:BD105" si="163">AI70*SQRT(AU70/3)</f>
        <v>0.529031858362637</v>
      </c>
      <c r="BE70" s="5">
        <f t="shared" si="137"/>
        <v>0.37418163357862</v>
      </c>
      <c r="BF70" s="5">
        <f t="shared" si="138"/>
        <v>0.283330948882576</v>
      </c>
      <c r="BG70" s="5"/>
      <c r="BH70" s="217">
        <f t="shared" si="139"/>
        <v>0.0979561475069187</v>
      </c>
      <c r="BI70" s="217">
        <f t="shared" si="140"/>
        <v>0.0217386969344543</v>
      </c>
      <c r="BJ70" s="217">
        <f t="shared" si="141"/>
        <v>0.00149266510486733</v>
      </c>
      <c r="BK70" s="217">
        <f t="shared" si="142"/>
        <v>0.00351772695300414</v>
      </c>
      <c r="BL70">
        <f t="shared" si="143"/>
        <v>0.00348</v>
      </c>
      <c r="BM70">
        <f t="shared" si="144"/>
        <v>2.08973114681427e-6</v>
      </c>
      <c r="BN70">
        <f t="shared" si="145"/>
        <v>0.179980568545036</v>
      </c>
      <c r="BO70" s="220">
        <f t="shared" ref="BO70:BO105" si="164">BN70*1000</f>
        <v>179.980568545036</v>
      </c>
      <c r="BP70" s="5">
        <f t="shared" si="146"/>
        <v>0.303433922913595</v>
      </c>
      <c r="BQ70" s="5">
        <f t="shared" si="147"/>
        <v>0.222610906495668</v>
      </c>
      <c r="BR70" s="217"/>
      <c r="BT70" s="220">
        <f t="shared" ref="BT70:BT105" si="165">SUM(BP70:BS70)*1000</f>
        <v>526.044829409263</v>
      </c>
      <c r="BU70" s="217">
        <f t="shared" si="148"/>
        <v>0.0114748629936676</v>
      </c>
      <c r="BV70" s="217">
        <f t="shared" si="149"/>
        <v>0.0140011894907564</v>
      </c>
      <c r="BW70" s="217">
        <f t="shared" si="150"/>
        <v>0.00561934986162907</v>
      </c>
      <c r="BX70" s="217">
        <f t="shared" si="151"/>
        <v>0</v>
      </c>
      <c r="BY70" s="217">
        <f t="shared" si="152"/>
        <v>0.0430186698653818</v>
      </c>
      <c r="BZ70" s="217">
        <f t="shared" ref="BZ70:BZ133" si="166">SUM(BU70:BX70)</f>
        <v>0.0310954023460531</v>
      </c>
      <c r="CA70" s="225">
        <f t="shared" si="153"/>
        <v>0.0107471887550448</v>
      </c>
      <c r="CB70" s="220">
        <f t="shared" ref="CB70:CB105" si="167">(BY70+CA70)*1000</f>
        <v>53.7658586204266</v>
      </c>
      <c r="CC70" s="5">
        <f t="shared" ref="CC70:CC133" si="168">SUM(BN70,BP70:BS70,BY70,CA70)</f>
        <v>0.759791256574725</v>
      </c>
      <c r="CD70" s="192">
        <f t="shared" ref="CD70:CD105" si="169">MIN(H70+I70,O70+P70)</f>
        <v>4.09551761642662</v>
      </c>
      <c r="CE70" s="5">
        <f t="shared" ref="CE70:CE105" si="170">CD70/(CD70+CC70)</f>
        <v>0.84351330132679</v>
      </c>
      <c r="CF70" s="192">
        <f t="shared" ref="CF70:CF105" si="171">CE70*100</f>
        <v>84.351330132679</v>
      </c>
      <c r="CG70">
        <f t="shared" ref="CG70:CG105" si="172">F70/Iout*100</f>
        <v>65</v>
      </c>
      <c r="CI70" s="227">
        <f t="shared" si="154"/>
        <v>-50</v>
      </c>
      <c r="CJ70">
        <f t="shared" si="155"/>
        <v>-50</v>
      </c>
    </row>
    <row r="71" spans="5:88">
      <c r="E71" s="22">
        <v>66</v>
      </c>
      <c r="F71" s="25">
        <f t="shared" si="103"/>
        <v>0.33</v>
      </c>
      <c r="G71" s="25">
        <f t="shared" si="156"/>
        <v>0.264</v>
      </c>
      <c r="H71" s="25">
        <f t="shared" si="105"/>
        <v>5.94</v>
      </c>
      <c r="I71" s="25">
        <f t="shared" si="104"/>
        <v>1.32</v>
      </c>
      <c r="J71" s="212">
        <f t="shared" si="106"/>
        <v>12</v>
      </c>
      <c r="K71" s="131">
        <f t="shared" si="107"/>
        <v>7.03963533096666</v>
      </c>
      <c r="L71" s="131">
        <f t="shared" si="108"/>
        <v>24.2728</v>
      </c>
      <c r="M71" s="131"/>
      <c r="N71" s="25">
        <f t="shared" si="109"/>
        <v>0.505619458818101</v>
      </c>
      <c r="O71" s="27">
        <f t="shared" si="157"/>
        <v>3.3508780498036</v>
      </c>
      <c r="P71" s="27">
        <f t="shared" si="110"/>
        <v>0.744639566623021</v>
      </c>
      <c r="Q71" s="25">
        <f t="shared" si="111"/>
        <v>0.186159891655755</v>
      </c>
      <c r="R71" s="25">
        <f t="shared" si="112"/>
        <v>0.670175609960719</v>
      </c>
      <c r="S71" s="131">
        <f t="shared" si="113"/>
        <v>10.1541759084957</v>
      </c>
      <c r="T71" s="25">
        <f t="shared" si="114"/>
        <v>1.5</v>
      </c>
      <c r="U71" s="25">
        <f t="shared" si="115"/>
        <v>3.125</v>
      </c>
      <c r="V71" s="25">
        <f t="shared" si="116"/>
        <v>5.32698048079866</v>
      </c>
      <c r="W71" s="24">
        <f t="shared" si="117"/>
        <v>350</v>
      </c>
      <c r="X71" s="131">
        <f t="shared" si="158"/>
        <v>118.315464910481</v>
      </c>
      <c r="Z71" s="25">
        <f t="shared" si="118"/>
        <v>0.507066278187774</v>
      </c>
      <c r="AA71" s="5">
        <f t="shared" si="119"/>
        <v>1.800754777585</v>
      </c>
      <c r="AB71" s="5">
        <f t="shared" si="120"/>
        <v>0.0872033184282631</v>
      </c>
      <c r="AC71" s="5"/>
      <c r="AD71" s="5">
        <f t="shared" si="121"/>
        <v>1.06539609615973</v>
      </c>
      <c r="AE71" s="216">
        <f t="shared" si="122"/>
        <v>3783.86751089773</v>
      </c>
      <c r="AF71" s="217">
        <f t="shared" si="123"/>
        <v>0.0305243245614055</v>
      </c>
      <c r="AH71" s="5">
        <f t="shared" si="124"/>
        <v>1.28818809629206</v>
      </c>
      <c r="AI71" s="5">
        <f t="shared" si="125"/>
        <v>1.5</v>
      </c>
      <c r="AJ71" s="5">
        <f t="shared" si="126"/>
        <v>2.08888888888889</v>
      </c>
      <c r="AL71" s="216">
        <f t="shared" si="127"/>
        <v>330</v>
      </c>
      <c r="AM71" s="220">
        <f t="shared" si="128"/>
        <v>118.315464910481</v>
      </c>
      <c r="AO71" t="str">
        <f t="shared" si="159"/>
        <v/>
      </c>
      <c r="AP71" t="str">
        <f t="shared" si="129"/>
        <v/>
      </c>
      <c r="AR71" s="192">
        <f t="shared" si="160"/>
        <v>8.45198048079866</v>
      </c>
      <c r="AS71" s="192">
        <f t="shared" si="130"/>
        <v>3.125</v>
      </c>
      <c r="AT71" s="192">
        <f t="shared" si="161"/>
        <v>5.32698048079866</v>
      </c>
      <c r="AU71" s="5">
        <f t="shared" si="162"/>
        <v>0.369735827845252</v>
      </c>
      <c r="AW71" s="192">
        <f t="shared" si="131"/>
        <v>20.1076373742966</v>
      </c>
      <c r="AX71" s="192">
        <f t="shared" si="132"/>
        <v>72.6536196019931</v>
      </c>
      <c r="AY71" s="192">
        <f t="shared" si="133"/>
        <v>14.3647440975709</v>
      </c>
      <c r="AZ71" s="192">
        <f t="shared" si="134"/>
        <v>31.8144126445093</v>
      </c>
      <c r="BA71" s="192">
        <f t="shared" si="135"/>
        <v>5.96819109422813</v>
      </c>
      <c r="BB71" s="220">
        <f t="shared" si="136"/>
        <v>21.3383311911108</v>
      </c>
      <c r="BC71" s="192"/>
      <c r="BD71" s="5">
        <f t="shared" si="163"/>
        <v>0.526594598228978</v>
      </c>
      <c r="BE71" s="5">
        <f t="shared" si="137"/>
        <v>0.375204121141502</v>
      </c>
      <c r="BF71" s="5">
        <f t="shared" si="138"/>
        <v>0.284105178148297</v>
      </c>
      <c r="BG71" s="5"/>
      <c r="BH71" s="217">
        <f t="shared" si="139"/>
        <v>0.0970556548093785</v>
      </c>
      <c r="BI71" s="217">
        <f t="shared" si="140"/>
        <v>0.0215388571250933</v>
      </c>
      <c r="BJ71" s="217">
        <f t="shared" si="141"/>
        <v>0.00147894331138101</v>
      </c>
      <c r="BK71" s="217">
        <f t="shared" si="142"/>
        <v>0.00348538914150644</v>
      </c>
      <c r="BL71">
        <f t="shared" si="143"/>
        <v>0.00348</v>
      </c>
      <c r="BM71">
        <f t="shared" si="144"/>
        <v>2.07052063593341e-6</v>
      </c>
      <c r="BN71">
        <f t="shared" si="145"/>
        <v>0.178264335878414</v>
      </c>
      <c r="BO71" s="220">
        <f t="shared" si="164"/>
        <v>178.264335878414</v>
      </c>
      <c r="BP71" s="5">
        <f t="shared" si="146"/>
        <v>0.30722151399156</v>
      </c>
      <c r="BQ71" s="5">
        <f t="shared" si="147"/>
        <v>0.225530780590666</v>
      </c>
      <c r="BR71" s="217"/>
      <c r="BT71" s="220">
        <f t="shared" si="165"/>
        <v>532.752294582226</v>
      </c>
      <c r="BU71" s="217">
        <f t="shared" si="148"/>
        <v>0.0113693767062415</v>
      </c>
      <c r="BV71" s="217">
        <f t="shared" si="149"/>
        <v>0.0140778132521567</v>
      </c>
      <c r="BW71" s="217">
        <f t="shared" si="150"/>
        <v>0.0056501026575473</v>
      </c>
      <c r="BX71" s="217">
        <f t="shared" si="151"/>
        <v>0</v>
      </c>
      <c r="BY71" s="217">
        <f t="shared" si="152"/>
        <v>0.0430212914651573</v>
      </c>
      <c r="BZ71" s="217">
        <f t="shared" si="166"/>
        <v>0.0310972926159454</v>
      </c>
      <c r="CA71" s="225">
        <f t="shared" si="153"/>
        <v>0.0106483918419432</v>
      </c>
      <c r="CB71" s="220">
        <f t="shared" si="167"/>
        <v>53.6696833071006</v>
      </c>
      <c r="CC71" s="5">
        <f t="shared" si="168"/>
        <v>0.764686313767741</v>
      </c>
      <c r="CD71" s="192">
        <f t="shared" si="169"/>
        <v>4.09551761642662</v>
      </c>
      <c r="CE71" s="5">
        <f t="shared" si="170"/>
        <v>0.842663739063072</v>
      </c>
      <c r="CF71" s="192">
        <f t="shared" si="171"/>
        <v>84.2663739063073</v>
      </c>
      <c r="CG71">
        <f t="shared" si="172"/>
        <v>66</v>
      </c>
      <c r="CI71" s="227">
        <f t="shared" si="154"/>
        <v>-50</v>
      </c>
      <c r="CJ71">
        <f t="shared" si="155"/>
        <v>-50</v>
      </c>
    </row>
    <row r="72" spans="5:88">
      <c r="E72" s="22">
        <v>67</v>
      </c>
      <c r="F72" s="25">
        <f t="shared" ref="F72:F103" si="173">IF(PLOT_TYPE=1,E72/100*Iout_max,min_I*EXP(O72*rr/100))</f>
        <v>0.335</v>
      </c>
      <c r="G72" s="25">
        <f t="shared" si="156"/>
        <v>0.268</v>
      </c>
      <c r="H72" s="25">
        <f t="shared" si="105"/>
        <v>6.03</v>
      </c>
      <c r="I72" s="25">
        <f t="shared" ref="I72:I105" si="174">Vout2*G72</f>
        <v>1.34</v>
      </c>
      <c r="J72" s="212">
        <f t="shared" si="106"/>
        <v>12</v>
      </c>
      <c r="K72" s="131">
        <f t="shared" si="107"/>
        <v>6.93854823647462</v>
      </c>
      <c r="L72" s="131">
        <f t="shared" si="108"/>
        <v>24.2728</v>
      </c>
      <c r="M72" s="131"/>
      <c r="N72" s="25">
        <f t="shared" si="109"/>
        <v>0.505619458818101</v>
      </c>
      <c r="O72" s="27">
        <f t="shared" si="157"/>
        <v>3.3508780498036</v>
      </c>
      <c r="P72" s="27">
        <f t="shared" si="110"/>
        <v>0.744639566623021</v>
      </c>
      <c r="Q72" s="25">
        <f t="shared" si="111"/>
        <v>0.186159891655755</v>
      </c>
      <c r="R72" s="25">
        <f t="shared" si="112"/>
        <v>0.670175609960719</v>
      </c>
      <c r="S72" s="131">
        <f t="shared" si="113"/>
        <v>10.0026210441898</v>
      </c>
      <c r="T72" s="25">
        <f t="shared" si="114"/>
        <v>1.5</v>
      </c>
      <c r="U72" s="25">
        <f t="shared" si="115"/>
        <v>3.125</v>
      </c>
      <c r="V72" s="25">
        <f t="shared" si="116"/>
        <v>5.40458878744543</v>
      </c>
      <c r="W72" s="24">
        <f t="shared" si="117"/>
        <v>350</v>
      </c>
      <c r="X72" s="131">
        <f t="shared" si="158"/>
        <v>117.238946087517</v>
      </c>
      <c r="Z72" s="25">
        <f t="shared" si="118"/>
        <v>0.502452626089356</v>
      </c>
      <c r="AA72" s="5">
        <f t="shared" si="119"/>
        <v>1.81036655279003</v>
      </c>
      <c r="AB72" s="5">
        <f t="shared" si="120"/>
        <v>0.0868711047604912</v>
      </c>
      <c r="AC72" s="5"/>
      <c r="AD72" s="5">
        <f t="shared" si="121"/>
        <v>1.08091775748909</v>
      </c>
      <c r="AE72" s="216">
        <f t="shared" si="122"/>
        <v>3786.0403504039</v>
      </c>
      <c r="AF72" s="217">
        <f t="shared" si="123"/>
        <v>0.0309690307414424</v>
      </c>
      <c r="AH72" s="5">
        <f t="shared" si="124"/>
        <v>1.29791040853035</v>
      </c>
      <c r="AI72" s="5">
        <f t="shared" si="125"/>
        <v>1.5</v>
      </c>
      <c r="AJ72" s="5">
        <f t="shared" si="126"/>
        <v>2.08888888888889</v>
      </c>
      <c r="AL72" s="216">
        <f t="shared" si="127"/>
        <v>335</v>
      </c>
      <c r="AM72" s="220">
        <f t="shared" si="128"/>
        <v>117.238946087517</v>
      </c>
      <c r="AO72" t="str">
        <f t="shared" si="159"/>
        <v/>
      </c>
      <c r="AP72" t="str">
        <f t="shared" si="129"/>
        <v/>
      </c>
      <c r="AR72" s="192">
        <f t="shared" si="160"/>
        <v>8.52958878744543</v>
      </c>
      <c r="AS72" s="192">
        <f t="shared" si="130"/>
        <v>3.125</v>
      </c>
      <c r="AT72" s="192">
        <f t="shared" si="161"/>
        <v>5.40458878744543</v>
      </c>
      <c r="AU72" s="5">
        <f t="shared" si="162"/>
        <v>0.366371706523489</v>
      </c>
      <c r="AW72" s="192">
        <f t="shared" si="131"/>
        <v>20.1076373742966</v>
      </c>
      <c r="AX72" s="192">
        <f t="shared" si="132"/>
        <v>74.8566961417234</v>
      </c>
      <c r="AY72" s="192">
        <f t="shared" si="133"/>
        <v>14.3647440975709</v>
      </c>
      <c r="AZ72" s="192">
        <f t="shared" si="134"/>
        <v>32.7776681269978</v>
      </c>
      <c r="BA72" s="192">
        <f t="shared" si="135"/>
        <v>6.14688570423963</v>
      </c>
      <c r="BB72" s="220">
        <f t="shared" si="136"/>
        <v>21.6326332161597</v>
      </c>
      <c r="BC72" s="192"/>
      <c r="BD72" s="5">
        <f t="shared" si="163"/>
        <v>0.524193456552652</v>
      </c>
      <c r="BE72" s="5">
        <f t="shared" si="137"/>
        <v>0.376204140169711</v>
      </c>
      <c r="BF72" s="5">
        <f t="shared" si="138"/>
        <v>0.28486239420258</v>
      </c>
      <c r="BG72" s="5"/>
      <c r="BH72" s="217">
        <f t="shared" si="139"/>
        <v>0.0961725729624159</v>
      </c>
      <c r="BI72" s="217">
        <f t="shared" si="140"/>
        <v>0.021342881179448</v>
      </c>
      <c r="BJ72" s="217">
        <f t="shared" si="141"/>
        <v>0.00146548682609396</v>
      </c>
      <c r="BK72" s="217">
        <f t="shared" si="142"/>
        <v>0.00345367657528337</v>
      </c>
      <c r="BL72">
        <f t="shared" si="143"/>
        <v>0.00348</v>
      </c>
      <c r="BM72">
        <f t="shared" si="144"/>
        <v>2.05168155653154e-6</v>
      </c>
      <c r="BN72">
        <f t="shared" si="145"/>
        <v>0.176583071342052</v>
      </c>
      <c r="BO72" s="220">
        <f t="shared" si="164"/>
        <v>176.583071342052</v>
      </c>
      <c r="BP72" s="5">
        <f t="shared" si="146"/>
        <v>0.310999704176542</v>
      </c>
      <c r="BQ72" s="5">
        <f t="shared" si="147"/>
        <v>0.228445264642941</v>
      </c>
      <c r="BR72" s="217"/>
      <c r="BT72" s="220">
        <f t="shared" si="165"/>
        <v>539.444968819482</v>
      </c>
      <c r="BU72" s="217">
        <f t="shared" si="148"/>
        <v>0.0112659299755973</v>
      </c>
      <c r="BV72" s="217">
        <f t="shared" si="149"/>
        <v>0.0141529555080832</v>
      </c>
      <c r="BW72" s="217">
        <f t="shared" si="150"/>
        <v>0.00568026085415781</v>
      </c>
      <c r="BX72" s="217">
        <f t="shared" si="151"/>
        <v>0</v>
      </c>
      <c r="BY72" s="217">
        <f t="shared" si="152"/>
        <v>0.0430238623775848</v>
      </c>
      <c r="BZ72" s="217">
        <f t="shared" si="166"/>
        <v>0.0310991463378383</v>
      </c>
      <c r="CA72" s="225">
        <f t="shared" si="153"/>
        <v>0.0105515051478765</v>
      </c>
      <c r="CB72" s="220">
        <f t="shared" si="167"/>
        <v>53.5753675254613</v>
      </c>
      <c r="CC72" s="5">
        <f t="shared" si="168"/>
        <v>0.769603407686995</v>
      </c>
      <c r="CD72" s="192">
        <f t="shared" si="169"/>
        <v>4.09551761642662</v>
      </c>
      <c r="CE72" s="5">
        <f t="shared" si="170"/>
        <v>0.841812073353877</v>
      </c>
      <c r="CF72" s="192">
        <f t="shared" si="171"/>
        <v>84.1812073353877</v>
      </c>
      <c r="CG72">
        <f t="shared" si="172"/>
        <v>67</v>
      </c>
      <c r="CI72" s="227">
        <f t="shared" si="154"/>
        <v>-50</v>
      </c>
      <c r="CJ72">
        <f t="shared" si="155"/>
        <v>-50</v>
      </c>
    </row>
    <row r="73" spans="5:88">
      <c r="E73" s="22">
        <v>68</v>
      </c>
      <c r="F73" s="25">
        <f t="shared" si="173"/>
        <v>0.34</v>
      </c>
      <c r="G73" s="25">
        <f t="shared" si="156"/>
        <v>0.272</v>
      </c>
      <c r="H73" s="25">
        <f t="shared" si="105"/>
        <v>6.12</v>
      </c>
      <c r="I73" s="25">
        <f t="shared" si="174"/>
        <v>1.36</v>
      </c>
      <c r="J73" s="212">
        <f t="shared" si="106"/>
        <v>12</v>
      </c>
      <c r="K73" s="131">
        <f t="shared" si="107"/>
        <v>6.84043429182058</v>
      </c>
      <c r="L73" s="131">
        <f t="shared" si="108"/>
        <v>24.2728</v>
      </c>
      <c r="M73" s="131"/>
      <c r="N73" s="25">
        <f t="shared" si="109"/>
        <v>0.505619458818101</v>
      </c>
      <c r="O73" s="27">
        <f t="shared" si="157"/>
        <v>3.3508780498036</v>
      </c>
      <c r="P73" s="27">
        <f t="shared" si="110"/>
        <v>0.744639566623021</v>
      </c>
      <c r="Q73" s="25">
        <f t="shared" si="111"/>
        <v>0.186159891655755</v>
      </c>
      <c r="R73" s="25">
        <f t="shared" si="112"/>
        <v>0.670175609960719</v>
      </c>
      <c r="S73" s="131">
        <f t="shared" si="113"/>
        <v>9.85552367589293</v>
      </c>
      <c r="T73" s="25">
        <f t="shared" si="114"/>
        <v>1.5</v>
      </c>
      <c r="U73" s="25">
        <f t="shared" si="115"/>
        <v>3.125</v>
      </c>
      <c r="V73" s="25">
        <f t="shared" si="116"/>
        <v>5.48210806510348</v>
      </c>
      <c r="W73" s="24">
        <f t="shared" si="117"/>
        <v>350</v>
      </c>
      <c r="X73" s="131">
        <f t="shared" si="158"/>
        <v>116.183042252529</v>
      </c>
      <c r="Z73" s="25">
        <f t="shared" si="118"/>
        <v>0.49792732393941</v>
      </c>
      <c r="AA73" s="5">
        <f t="shared" si="119"/>
        <v>1.81979426560242</v>
      </c>
      <c r="AB73" s="5">
        <f t="shared" si="120"/>
        <v>0.0865370244552634</v>
      </c>
      <c r="AC73" s="5"/>
      <c r="AD73" s="5">
        <f t="shared" si="121"/>
        <v>1.0964216130207</v>
      </c>
      <c r="AE73" s="216">
        <f t="shared" si="122"/>
        <v>3788.21318991008</v>
      </c>
      <c r="AF73" s="217">
        <f t="shared" si="123"/>
        <v>0.0314132267732336</v>
      </c>
      <c r="AH73" s="5">
        <f t="shared" si="124"/>
        <v>1.30756043291096</v>
      </c>
      <c r="AI73" s="5">
        <f t="shared" si="125"/>
        <v>1.5</v>
      </c>
      <c r="AJ73" s="5">
        <f t="shared" si="126"/>
        <v>2.08888888888889</v>
      </c>
      <c r="AL73" s="216">
        <f t="shared" si="127"/>
        <v>340</v>
      </c>
      <c r="AM73" s="220">
        <f t="shared" si="128"/>
        <v>116.183042252529</v>
      </c>
      <c r="AO73" t="str">
        <f t="shared" si="159"/>
        <v/>
      </c>
      <c r="AP73" t="str">
        <f t="shared" si="129"/>
        <v/>
      </c>
      <c r="AR73" s="192">
        <f t="shared" si="160"/>
        <v>8.60710806510348</v>
      </c>
      <c r="AS73" s="192">
        <f t="shared" si="130"/>
        <v>3.125</v>
      </c>
      <c r="AT73" s="192">
        <f t="shared" si="161"/>
        <v>5.48210806510348</v>
      </c>
      <c r="AU73" s="5">
        <f t="shared" si="162"/>
        <v>0.363072007039153</v>
      </c>
      <c r="AW73" s="192">
        <f t="shared" si="131"/>
        <v>20.1076373742966</v>
      </c>
      <c r="AX73" s="192">
        <f t="shared" si="132"/>
        <v>77.0926760880662</v>
      </c>
      <c r="AY73" s="192">
        <f t="shared" si="133"/>
        <v>14.3647440975709</v>
      </c>
      <c r="AZ73" s="192">
        <f t="shared" si="134"/>
        <v>33.7552883535838</v>
      </c>
      <c r="BA73" s="192">
        <f t="shared" si="135"/>
        <v>6.32811239613797</v>
      </c>
      <c r="BB73" s="220">
        <f t="shared" si="136"/>
        <v>21.9265976302905</v>
      </c>
      <c r="BC73" s="192"/>
      <c r="BD73" s="5">
        <f t="shared" si="163"/>
        <v>0.521827562782347</v>
      </c>
      <c r="BE73" s="5">
        <f t="shared" si="137"/>
        <v>0.377182433499539</v>
      </c>
      <c r="BF73" s="5">
        <f t="shared" si="138"/>
        <v>0.285603159522285</v>
      </c>
      <c r="BG73" s="5"/>
      <c r="BH73" s="217">
        <f t="shared" si="139"/>
        <v>0.0953064018477777</v>
      </c>
      <c r="BI73" s="217">
        <f t="shared" si="140"/>
        <v>0.0211506581099039</v>
      </c>
      <c r="BJ73" s="217">
        <f t="shared" si="141"/>
        <v>0.00145228802815661</v>
      </c>
      <c r="BK73" s="217">
        <f t="shared" si="142"/>
        <v>0.00342257129446717</v>
      </c>
      <c r="BL73">
        <f t="shared" si="143"/>
        <v>0.00348</v>
      </c>
      <c r="BM73">
        <f t="shared" si="144"/>
        <v>2.03320323941926e-6</v>
      </c>
      <c r="BN73">
        <f t="shared" si="145"/>
        <v>0.174935717003493</v>
      </c>
      <c r="BO73" s="220">
        <f t="shared" si="164"/>
        <v>174.935717003493</v>
      </c>
      <c r="BP73" s="5">
        <f t="shared" si="146"/>
        <v>0.31476876350464</v>
      </c>
      <c r="BQ73" s="5">
        <f t="shared" si="147"/>
        <v>0.231354513478858</v>
      </c>
      <c r="BR73" s="217"/>
      <c r="BT73" s="220">
        <f t="shared" si="165"/>
        <v>546.123276983497</v>
      </c>
      <c r="BU73" s="217">
        <f t="shared" si="148"/>
        <v>0.011164464216454</v>
      </c>
      <c r="BV73" s="217">
        <f t="shared" si="149"/>
        <v>0.0142266588140635</v>
      </c>
      <c r="BW73" s="217">
        <f t="shared" si="150"/>
        <v>0.00570984153103782</v>
      </c>
      <c r="BX73" s="217">
        <f t="shared" si="151"/>
        <v>0</v>
      </c>
      <c r="BY73" s="217">
        <f t="shared" si="152"/>
        <v>0.0430263840586117</v>
      </c>
      <c r="BZ73" s="217">
        <f t="shared" si="166"/>
        <v>0.0311009645615552</v>
      </c>
      <c r="CA73" s="225">
        <f t="shared" si="153"/>
        <v>0.0104564738027276</v>
      </c>
      <c r="CB73" s="220">
        <f t="shared" si="167"/>
        <v>53.4828578613393</v>
      </c>
      <c r="CC73" s="5">
        <f t="shared" si="168"/>
        <v>0.77454185184833</v>
      </c>
      <c r="CD73" s="192">
        <f t="shared" si="169"/>
        <v>4.09551761642662</v>
      </c>
      <c r="CE73" s="5">
        <f t="shared" si="170"/>
        <v>0.840958440673275</v>
      </c>
      <c r="CF73" s="192">
        <f t="shared" si="171"/>
        <v>84.0958440673275</v>
      </c>
      <c r="CG73">
        <f t="shared" si="172"/>
        <v>68</v>
      </c>
      <c r="CI73" s="227">
        <f t="shared" si="154"/>
        <v>-50</v>
      </c>
      <c r="CJ73">
        <f t="shared" si="155"/>
        <v>-50</v>
      </c>
    </row>
    <row r="74" spans="5:88">
      <c r="E74" s="22">
        <v>69</v>
      </c>
      <c r="F74" s="25">
        <f t="shared" si="173"/>
        <v>0.345</v>
      </c>
      <c r="G74" s="25">
        <f t="shared" si="156"/>
        <v>0.276</v>
      </c>
      <c r="H74" s="25">
        <f t="shared" si="105"/>
        <v>6.21</v>
      </c>
      <c r="I74" s="25">
        <f t="shared" si="174"/>
        <v>1.38</v>
      </c>
      <c r="J74" s="212">
        <f t="shared" si="106"/>
        <v>12</v>
      </c>
      <c r="K74" s="131">
        <f t="shared" si="107"/>
        <v>6.74516422962029</v>
      </c>
      <c r="L74" s="131">
        <f t="shared" si="108"/>
        <v>24.2728</v>
      </c>
      <c r="M74" s="131"/>
      <c r="N74" s="25">
        <f t="shared" si="109"/>
        <v>0.505619458818101</v>
      </c>
      <c r="O74" s="27">
        <f t="shared" si="157"/>
        <v>3.3508780498036</v>
      </c>
      <c r="P74" s="27">
        <f t="shared" si="110"/>
        <v>0.744639566623021</v>
      </c>
      <c r="Q74" s="25">
        <f t="shared" si="111"/>
        <v>0.186159891655755</v>
      </c>
      <c r="R74" s="25">
        <f t="shared" si="112"/>
        <v>0.670175609960719</v>
      </c>
      <c r="S74" s="131">
        <f t="shared" si="113"/>
        <v>9.71268999943071</v>
      </c>
      <c r="T74" s="25">
        <f t="shared" si="114"/>
        <v>1.5</v>
      </c>
      <c r="U74" s="25">
        <f t="shared" si="115"/>
        <v>3.125</v>
      </c>
      <c r="V74" s="25">
        <f t="shared" si="116"/>
        <v>5.55953846688045</v>
      </c>
      <c r="W74" s="24">
        <f t="shared" si="117"/>
        <v>350</v>
      </c>
      <c r="X74" s="131">
        <f t="shared" si="158"/>
        <v>115.147166865991</v>
      </c>
      <c r="Z74" s="25">
        <f t="shared" si="118"/>
        <v>0.493487857997104</v>
      </c>
      <c r="AA74" s="5">
        <f t="shared" si="119"/>
        <v>1.82904315298222</v>
      </c>
      <c r="AB74" s="5">
        <f t="shared" si="120"/>
        <v>0.0862013625177736</v>
      </c>
      <c r="AC74" s="5"/>
      <c r="AD74" s="5">
        <f t="shared" si="121"/>
        <v>1.11190769337609</v>
      </c>
      <c r="AE74" s="216">
        <f t="shared" si="122"/>
        <v>3790.38602941625</v>
      </c>
      <c r="AF74" s="217">
        <f t="shared" si="123"/>
        <v>0.0318569135341068</v>
      </c>
      <c r="AH74" s="5">
        <f t="shared" si="124"/>
        <v>1.31713975828579</v>
      </c>
      <c r="AI74" s="5">
        <f t="shared" si="125"/>
        <v>1.5</v>
      </c>
      <c r="AJ74" s="5">
        <f t="shared" si="126"/>
        <v>2.08888888888889</v>
      </c>
      <c r="AL74" s="216">
        <f t="shared" si="127"/>
        <v>345</v>
      </c>
      <c r="AM74" s="220">
        <f t="shared" si="128"/>
        <v>115.147166865991</v>
      </c>
      <c r="AO74" t="str">
        <f t="shared" si="159"/>
        <v/>
      </c>
      <c r="AP74" t="str">
        <f t="shared" si="129"/>
        <v/>
      </c>
      <c r="AR74" s="192">
        <f t="shared" si="160"/>
        <v>8.68453846688044</v>
      </c>
      <c r="AS74" s="192">
        <f t="shared" si="130"/>
        <v>3.125</v>
      </c>
      <c r="AT74" s="192">
        <f t="shared" si="161"/>
        <v>5.55953846688044</v>
      </c>
      <c r="AU74" s="5">
        <f t="shared" si="162"/>
        <v>0.359834896456222</v>
      </c>
      <c r="AW74" s="192">
        <f t="shared" si="131"/>
        <v>20.1076373742966</v>
      </c>
      <c r="AX74" s="192">
        <f t="shared" si="132"/>
        <v>79.3615594410214</v>
      </c>
      <c r="AY74" s="192">
        <f t="shared" si="133"/>
        <v>14.3647440975709</v>
      </c>
      <c r="AZ74" s="192">
        <f t="shared" si="134"/>
        <v>34.7472733242674</v>
      </c>
      <c r="BA74" s="192">
        <f t="shared" si="135"/>
        <v>6.51186681537385</v>
      </c>
      <c r="BB74" s="220">
        <f t="shared" si="136"/>
        <v>22.2202250141095</v>
      </c>
      <c r="BC74" s="192"/>
      <c r="BD74" s="5">
        <f t="shared" si="163"/>
        <v>0.519496075386683</v>
      </c>
      <c r="BE74" s="5">
        <f t="shared" si="137"/>
        <v>0.378139711102037</v>
      </c>
      <c r="BF74" s="5">
        <f t="shared" si="138"/>
        <v>0.286328011698661</v>
      </c>
      <c r="BG74" s="5"/>
      <c r="BH74" s="217">
        <f t="shared" si="139"/>
        <v>0.0944566603197582</v>
      </c>
      <c r="BI74" s="217">
        <f t="shared" si="140"/>
        <v>0.0209620811392862</v>
      </c>
      <c r="BJ74" s="217">
        <f t="shared" si="141"/>
        <v>0.00143933958582489</v>
      </c>
      <c r="BK74" s="217">
        <f t="shared" si="142"/>
        <v>0.00339205602051777</v>
      </c>
      <c r="BL74">
        <f t="shared" si="143"/>
        <v>0.00348</v>
      </c>
      <c r="BM74">
        <f t="shared" si="144"/>
        <v>2.01507542015484e-6</v>
      </c>
      <c r="BN74">
        <f t="shared" si="145"/>
        <v>0.173321257180057</v>
      </c>
      <c r="BO74" s="220">
        <f t="shared" si="164"/>
        <v>173.321257180057</v>
      </c>
      <c r="BP74" s="5">
        <f t="shared" si="146"/>
        <v>0.31852895176783</v>
      </c>
      <c r="BQ74" s="5">
        <f t="shared" si="147"/>
        <v>0.234258676051274</v>
      </c>
      <c r="BR74" s="217"/>
      <c r="BT74" s="220">
        <f t="shared" si="165"/>
        <v>552.787627819104</v>
      </c>
      <c r="BU74" s="217">
        <f t="shared" si="148"/>
        <v>0.0110649230660288</v>
      </c>
      <c r="BV74" s="217">
        <f t="shared" si="149"/>
        <v>0.0142989641112332</v>
      </c>
      <c r="BW74" s="217">
        <f t="shared" si="150"/>
        <v>0.00573886111983162</v>
      </c>
      <c r="BX74" s="217">
        <f t="shared" si="151"/>
        <v>0</v>
      </c>
      <c r="BY74" s="217">
        <f t="shared" si="152"/>
        <v>0.0430288579089535</v>
      </c>
      <c r="BZ74" s="217">
        <f t="shared" si="166"/>
        <v>0.0311027482970936</v>
      </c>
      <c r="CA74" s="225">
        <f t="shared" si="153"/>
        <v>0.0103632450179392</v>
      </c>
      <c r="CB74" s="220">
        <f t="shared" si="167"/>
        <v>53.3921029268927</v>
      </c>
      <c r="CC74" s="5">
        <f t="shared" si="168"/>
        <v>0.779500987926053</v>
      </c>
      <c r="CD74" s="192">
        <f t="shared" si="169"/>
        <v>4.09551761642662</v>
      </c>
      <c r="CE74" s="5">
        <f t="shared" si="170"/>
        <v>0.840102971662493</v>
      </c>
      <c r="CF74" s="192">
        <f t="shared" si="171"/>
        <v>84.0102971662493</v>
      </c>
      <c r="CG74">
        <f t="shared" si="172"/>
        <v>69</v>
      </c>
      <c r="CI74" s="227">
        <f t="shared" si="154"/>
        <v>-50</v>
      </c>
      <c r="CJ74">
        <f t="shared" si="155"/>
        <v>-50</v>
      </c>
    </row>
    <row r="75" spans="5:88">
      <c r="E75" s="22">
        <v>70</v>
      </c>
      <c r="F75" s="25">
        <f t="shared" si="173"/>
        <v>0.35</v>
      </c>
      <c r="G75" s="25">
        <f t="shared" si="156"/>
        <v>0.28</v>
      </c>
      <c r="H75" s="25">
        <f t="shared" si="105"/>
        <v>6.3</v>
      </c>
      <c r="I75" s="25">
        <f t="shared" si="174"/>
        <v>1.4</v>
      </c>
      <c r="J75" s="212">
        <f t="shared" si="106"/>
        <v>12</v>
      </c>
      <c r="K75" s="131">
        <f t="shared" si="107"/>
        <v>6.65261616919714</v>
      </c>
      <c r="L75" s="131">
        <f t="shared" si="108"/>
        <v>24.2728</v>
      </c>
      <c r="M75" s="131"/>
      <c r="N75" s="25">
        <f t="shared" si="109"/>
        <v>0.505619458818101</v>
      </c>
      <c r="O75" s="27">
        <f t="shared" si="157"/>
        <v>3.3508780498036</v>
      </c>
      <c r="P75" s="27">
        <f t="shared" si="110"/>
        <v>0.744639566623021</v>
      </c>
      <c r="Q75" s="25">
        <f t="shared" si="111"/>
        <v>0.186159891655755</v>
      </c>
      <c r="R75" s="25">
        <f t="shared" si="112"/>
        <v>0.670175609960719</v>
      </c>
      <c r="S75" s="131">
        <f t="shared" si="113"/>
        <v>9.57393728515313</v>
      </c>
      <c r="T75" s="25">
        <f t="shared" si="114"/>
        <v>1.5</v>
      </c>
      <c r="U75" s="25">
        <f t="shared" si="115"/>
        <v>3.125</v>
      </c>
      <c r="V75" s="25">
        <f t="shared" si="116"/>
        <v>5.63688014553313</v>
      </c>
      <c r="W75" s="24">
        <f t="shared" si="117"/>
        <v>350</v>
      </c>
      <c r="X75" s="131">
        <f t="shared" si="158"/>
        <v>114.130755430364</v>
      </c>
      <c r="Z75" s="25">
        <f t="shared" si="118"/>
        <v>0.489131808987273</v>
      </c>
      <c r="AA75" s="5">
        <f t="shared" si="119"/>
        <v>1.83811825508604</v>
      </c>
      <c r="AB75" s="5">
        <f t="shared" si="120"/>
        <v>0.0858643846101095</v>
      </c>
      <c r="AC75" s="5"/>
      <c r="AD75" s="5">
        <f t="shared" si="121"/>
        <v>1.12737602910663</v>
      </c>
      <c r="AE75" s="216">
        <f t="shared" si="122"/>
        <v>3792.55886892243</v>
      </c>
      <c r="AF75" s="217">
        <f t="shared" si="123"/>
        <v>0.0323000918993792</v>
      </c>
      <c r="AH75" s="5">
        <f t="shared" si="124"/>
        <v>1.32664991614216</v>
      </c>
      <c r="AI75" s="5">
        <f t="shared" si="125"/>
        <v>1.5</v>
      </c>
      <c r="AJ75" s="5">
        <f t="shared" si="126"/>
        <v>2.08888888888889</v>
      </c>
      <c r="AL75" s="216">
        <f t="shared" si="127"/>
        <v>350</v>
      </c>
      <c r="AM75" s="220">
        <f t="shared" si="128"/>
        <v>114.130755430364</v>
      </c>
      <c r="AO75" t="str">
        <f t="shared" si="159"/>
        <v/>
      </c>
      <c r="AP75" t="str">
        <f t="shared" si="129"/>
        <v/>
      </c>
      <c r="AR75" s="192">
        <f t="shared" si="160"/>
        <v>8.76188014553313</v>
      </c>
      <c r="AS75" s="192">
        <f t="shared" si="130"/>
        <v>3.125</v>
      </c>
      <c r="AT75" s="192">
        <f t="shared" si="161"/>
        <v>5.63688014553313</v>
      </c>
      <c r="AU75" s="5">
        <f t="shared" si="162"/>
        <v>0.356658610719886</v>
      </c>
      <c r="AW75" s="192">
        <f t="shared" si="131"/>
        <v>20.1076373742966</v>
      </c>
      <c r="AX75" s="192">
        <f t="shared" si="132"/>
        <v>81.6633462005891</v>
      </c>
      <c r="AY75" s="192">
        <f t="shared" si="133"/>
        <v>14.3647440975709</v>
      </c>
      <c r="AZ75" s="192">
        <f t="shared" si="134"/>
        <v>35.7536230390486</v>
      </c>
      <c r="BA75" s="192">
        <f t="shared" si="135"/>
        <v>6.69814461737733</v>
      </c>
      <c r="BB75" s="220">
        <f t="shared" si="136"/>
        <v>22.5135159468929</v>
      </c>
      <c r="BC75" s="192"/>
      <c r="BD75" s="5">
        <f t="shared" si="163"/>
        <v>0.517198180623168</v>
      </c>
      <c r="BE75" s="5">
        <f t="shared" si="137"/>
        <v>0.379076651907921</v>
      </c>
      <c r="BF75" s="5">
        <f t="shared" si="138"/>
        <v>0.287037464819166</v>
      </c>
      <c r="BG75" s="5"/>
      <c r="BH75" s="217">
        <f t="shared" si="139"/>
        <v>0.0936228853139701</v>
      </c>
      <c r="BI75" s="217">
        <f t="shared" si="140"/>
        <v>0.020777047503076</v>
      </c>
      <c r="BJ75" s="217">
        <f t="shared" si="141"/>
        <v>0.00142663444287955</v>
      </c>
      <c r="BK75" s="217">
        <f t="shared" si="142"/>
        <v>0.00336211412421775</v>
      </c>
      <c r="BL75">
        <f t="shared" si="143"/>
        <v>0.00348</v>
      </c>
      <c r="BM75">
        <f t="shared" si="144"/>
        <v>1.99728822003136e-6</v>
      </c>
      <c r="BN75">
        <f t="shared" si="145"/>
        <v>0.171738716350568</v>
      </c>
      <c r="BO75" s="220">
        <f t="shared" si="164"/>
        <v>171.738716350568</v>
      </c>
      <c r="BP75" s="5">
        <f t="shared" si="146"/>
        <v>0.322280518995182</v>
      </c>
      <c r="BQ75" s="5">
        <f t="shared" si="147"/>
        <v>0.237157895715438</v>
      </c>
      <c r="BR75" s="217"/>
      <c r="BT75" s="220">
        <f t="shared" si="165"/>
        <v>559.43841471062</v>
      </c>
      <c r="BU75" s="217">
        <f t="shared" si="148"/>
        <v>0.0109672522796365</v>
      </c>
      <c r="BV75" s="217">
        <f t="shared" si="149"/>
        <v>0.0143699108021719</v>
      </c>
      <c r="BW75" s="217">
        <f t="shared" si="150"/>
        <v>0.00576733543468699</v>
      </c>
      <c r="BX75" s="217">
        <f t="shared" si="151"/>
        <v>0</v>
      </c>
      <c r="BY75" s="217">
        <f t="shared" si="152"/>
        <v>0.0430312852766878</v>
      </c>
      <c r="BZ75" s="217">
        <f t="shared" si="166"/>
        <v>0.0311044985164954</v>
      </c>
      <c r="CA75" s="225">
        <f t="shared" si="153"/>
        <v>0.0102717679887327</v>
      </c>
      <c r="CB75" s="220">
        <f t="shared" si="167"/>
        <v>53.3030532654205</v>
      </c>
      <c r="CC75" s="5">
        <f t="shared" si="168"/>
        <v>0.784480184326608</v>
      </c>
      <c r="CD75" s="192">
        <f t="shared" si="169"/>
        <v>4.09551761642662</v>
      </c>
      <c r="CE75" s="5">
        <f t="shared" si="170"/>
        <v>0.839245791421151</v>
      </c>
      <c r="CF75" s="192">
        <f t="shared" si="171"/>
        <v>83.9245791421151</v>
      </c>
      <c r="CG75">
        <f t="shared" si="172"/>
        <v>70</v>
      </c>
      <c r="CI75" s="227">
        <f t="shared" si="154"/>
        <v>-50</v>
      </c>
      <c r="CJ75">
        <f t="shared" si="155"/>
        <v>-50</v>
      </c>
    </row>
    <row r="76" spans="5:88">
      <c r="E76" s="22">
        <v>71</v>
      </c>
      <c r="F76" s="25">
        <f t="shared" si="173"/>
        <v>0.355</v>
      </c>
      <c r="G76" s="25">
        <f t="shared" si="156"/>
        <v>0.284</v>
      </c>
      <c r="H76" s="25">
        <f t="shared" si="105"/>
        <v>6.39</v>
      </c>
      <c r="I76" s="25">
        <f t="shared" si="174"/>
        <v>1.42</v>
      </c>
      <c r="J76" s="212">
        <f t="shared" si="106"/>
        <v>12</v>
      </c>
      <c r="K76" s="131">
        <f t="shared" si="107"/>
        <v>6.56267509639155</v>
      </c>
      <c r="L76" s="131">
        <f t="shared" si="108"/>
        <v>24.2728</v>
      </c>
      <c r="M76" s="131"/>
      <c r="N76" s="25">
        <f t="shared" si="109"/>
        <v>0.505619458818101</v>
      </c>
      <c r="O76" s="27">
        <f t="shared" si="157"/>
        <v>3.3508780498036</v>
      </c>
      <c r="P76" s="27">
        <f t="shared" si="110"/>
        <v>0.744639566623021</v>
      </c>
      <c r="Q76" s="25">
        <f t="shared" si="111"/>
        <v>0.186159891655755</v>
      </c>
      <c r="R76" s="25">
        <f t="shared" si="112"/>
        <v>0.670175609960719</v>
      </c>
      <c r="S76" s="131">
        <f t="shared" si="113"/>
        <v>9.4390930980383</v>
      </c>
      <c r="T76" s="25">
        <f t="shared" si="114"/>
        <v>1.5</v>
      </c>
      <c r="U76" s="25">
        <f t="shared" si="115"/>
        <v>3.125</v>
      </c>
      <c r="V76" s="25">
        <f t="shared" si="116"/>
        <v>5.71413325346842</v>
      </c>
      <c r="W76" s="24">
        <f t="shared" si="117"/>
        <v>350</v>
      </c>
      <c r="X76" s="131">
        <f t="shared" si="158"/>
        <v>113.133264464319</v>
      </c>
      <c r="Z76" s="25">
        <f t="shared" si="118"/>
        <v>0.484856847704225</v>
      </c>
      <c r="AA76" s="5">
        <f t="shared" si="119"/>
        <v>1.84702442442572</v>
      </c>
      <c r="AB76" s="5">
        <f t="shared" si="120"/>
        <v>0.0855263383494351</v>
      </c>
      <c r="AC76" s="5"/>
      <c r="AD76" s="5">
        <f t="shared" si="121"/>
        <v>1.14282665069368</v>
      </c>
      <c r="AE76" s="216">
        <f t="shared" si="122"/>
        <v>3794.7317084286</v>
      </c>
      <c r="AF76" s="217">
        <f t="shared" si="123"/>
        <v>0.0327427627423631</v>
      </c>
      <c r="AH76" s="5">
        <f t="shared" si="124"/>
        <v>1.33609238346114</v>
      </c>
      <c r="AI76" s="5">
        <f t="shared" si="125"/>
        <v>1.5</v>
      </c>
      <c r="AJ76" s="5">
        <f t="shared" si="126"/>
        <v>2.08888888888889</v>
      </c>
      <c r="AL76" s="216">
        <f t="shared" si="127"/>
        <v>355</v>
      </c>
      <c r="AM76" s="220">
        <f t="shared" si="128"/>
        <v>113.133264464319</v>
      </c>
      <c r="AO76" t="str">
        <f t="shared" si="159"/>
        <v/>
      </c>
      <c r="AP76" t="str">
        <f t="shared" si="129"/>
        <v/>
      </c>
      <c r="AR76" s="192">
        <f t="shared" si="160"/>
        <v>8.83913325346841</v>
      </c>
      <c r="AS76" s="192">
        <f t="shared" si="130"/>
        <v>3.125</v>
      </c>
      <c r="AT76" s="192">
        <f t="shared" si="161"/>
        <v>5.71413325346841</v>
      </c>
      <c r="AU76" s="5">
        <f t="shared" si="162"/>
        <v>0.353541451450997</v>
      </c>
      <c r="AW76" s="192">
        <f t="shared" si="131"/>
        <v>20.1076373742966</v>
      </c>
      <c r="AX76" s="192">
        <f t="shared" si="132"/>
        <v>83.9980363667694</v>
      </c>
      <c r="AY76" s="192">
        <f t="shared" si="133"/>
        <v>14.3647440975709</v>
      </c>
      <c r="AZ76" s="192">
        <f t="shared" si="134"/>
        <v>36.7743374979274</v>
      </c>
      <c r="BA76" s="192">
        <f t="shared" si="135"/>
        <v>6.88694146752906</v>
      </c>
      <c r="BB76" s="220">
        <f t="shared" si="136"/>
        <v>22.8064710065898</v>
      </c>
      <c r="BC76" s="192"/>
      <c r="BD76" s="5">
        <f t="shared" si="163"/>
        <v>0.514933091370372</v>
      </c>
      <c r="BE76" s="5">
        <f t="shared" si="137"/>
        <v>0.379993905510383</v>
      </c>
      <c r="BF76" s="5">
        <f t="shared" si="138"/>
        <v>0.287732010756833</v>
      </c>
      <c r="BG76" s="5"/>
      <c r="BH76" s="217">
        <f t="shared" si="139"/>
        <v>0.0928046310058868</v>
      </c>
      <c r="BI76" s="217">
        <f t="shared" si="140"/>
        <v>0.0205954582626714</v>
      </c>
      <c r="BJ76" s="217">
        <f t="shared" si="141"/>
        <v>0.00141416580580399</v>
      </c>
      <c r="BK76" s="217">
        <f t="shared" si="142"/>
        <v>0.00333272959545448</v>
      </c>
      <c r="BL76">
        <f t="shared" si="143"/>
        <v>0.00348</v>
      </c>
      <c r="BM76">
        <f t="shared" si="144"/>
        <v>1.97983212812559e-6</v>
      </c>
      <c r="BN76">
        <f t="shared" si="145"/>
        <v>0.170187157189737</v>
      </c>
      <c r="BO76" s="220">
        <f t="shared" si="164"/>
        <v>170.187157189737</v>
      </c>
      <c r="BP76" s="5">
        <f t="shared" si="146"/>
        <v>0.326023705907195</v>
      </c>
      <c r="BQ76" s="5">
        <f t="shared" si="147"/>
        <v>0.240052310489492</v>
      </c>
      <c r="BR76" s="217"/>
      <c r="BT76" s="220">
        <f t="shared" si="165"/>
        <v>566.076016396687</v>
      </c>
      <c r="BU76" s="217">
        <f t="shared" si="148"/>
        <v>0.0108713996321182</v>
      </c>
      <c r="BV76" s="217">
        <f t="shared" si="149"/>
        <v>0.0144395368225034</v>
      </c>
      <c r="BW76" s="217">
        <f t="shared" si="150"/>
        <v>0.00579527970099192</v>
      </c>
      <c r="BX76" s="217">
        <f t="shared" si="151"/>
        <v>0</v>
      </c>
      <c r="BY76" s="217">
        <f t="shared" si="152"/>
        <v>0.0430336674597042</v>
      </c>
      <c r="BZ76" s="217">
        <f t="shared" si="166"/>
        <v>0.0311062161556135</v>
      </c>
      <c r="CA76" s="225">
        <f t="shared" si="153"/>
        <v>0.0101819938017887</v>
      </c>
      <c r="CB76" s="220">
        <f t="shared" si="167"/>
        <v>53.215661261493</v>
      </c>
      <c r="CC76" s="5">
        <f t="shared" si="168"/>
        <v>0.789478834847917</v>
      </c>
      <c r="CD76" s="192">
        <f t="shared" si="169"/>
        <v>4.09551761642662</v>
      </c>
      <c r="CE76" s="5">
        <f t="shared" si="170"/>
        <v>0.838387019781368</v>
      </c>
      <c r="CF76" s="192">
        <f t="shared" si="171"/>
        <v>83.8387019781368</v>
      </c>
      <c r="CG76">
        <f t="shared" si="172"/>
        <v>71</v>
      </c>
      <c r="CI76" s="227">
        <f t="shared" si="154"/>
        <v>-50</v>
      </c>
      <c r="CJ76">
        <f t="shared" si="155"/>
        <v>-50</v>
      </c>
    </row>
    <row r="77" spans="5:88">
      <c r="E77" s="22">
        <v>72</v>
      </c>
      <c r="F77" s="25">
        <f t="shared" si="173"/>
        <v>0.36</v>
      </c>
      <c r="G77" s="25">
        <f t="shared" si="156"/>
        <v>0.288</v>
      </c>
      <c r="H77" s="25">
        <f t="shared" si="105"/>
        <v>6.48</v>
      </c>
      <c r="I77" s="25">
        <f t="shared" si="174"/>
        <v>1.44</v>
      </c>
      <c r="J77" s="212">
        <f t="shared" si="106"/>
        <v>12</v>
      </c>
      <c r="K77" s="131">
        <f t="shared" si="107"/>
        <v>6.47523238671944</v>
      </c>
      <c r="L77" s="131">
        <f t="shared" si="108"/>
        <v>24.2728</v>
      </c>
      <c r="M77" s="131"/>
      <c r="N77" s="25">
        <f t="shared" si="109"/>
        <v>0.505619458818101</v>
      </c>
      <c r="O77" s="27">
        <f t="shared" si="157"/>
        <v>3.3508780498036</v>
      </c>
      <c r="P77" s="27">
        <f t="shared" si="110"/>
        <v>0.744639566623021</v>
      </c>
      <c r="Q77" s="25">
        <f t="shared" si="111"/>
        <v>0.186159891655755</v>
      </c>
      <c r="R77" s="25">
        <f t="shared" si="112"/>
        <v>0.670175609960719</v>
      </c>
      <c r="S77" s="131">
        <f t="shared" si="113"/>
        <v>9.30799458278777</v>
      </c>
      <c r="T77" s="25">
        <f t="shared" si="114"/>
        <v>1.5</v>
      </c>
      <c r="U77" s="25">
        <f t="shared" si="115"/>
        <v>3.125</v>
      </c>
      <c r="V77" s="25">
        <f t="shared" si="116"/>
        <v>5.79129794274437</v>
      </c>
      <c r="W77" s="24">
        <f t="shared" si="117"/>
        <v>350</v>
      </c>
      <c r="X77" s="131">
        <f t="shared" si="158"/>
        <v>112.154170533719</v>
      </c>
      <c r="Z77" s="25">
        <f t="shared" si="118"/>
        <v>0.480660730858796</v>
      </c>
      <c r="AA77" s="5">
        <f t="shared" si="119"/>
        <v>1.85576633452037</v>
      </c>
      <c r="AB77" s="5">
        <f t="shared" si="120"/>
        <v>0.085187454512526</v>
      </c>
      <c r="AC77" s="5"/>
      <c r="AD77" s="5">
        <f t="shared" si="121"/>
        <v>1.15825958854887</v>
      </c>
      <c r="AE77" s="216">
        <f t="shared" si="122"/>
        <v>3796.90454793477</v>
      </c>
      <c r="AF77" s="217">
        <f t="shared" si="123"/>
        <v>0.033184926934372</v>
      </c>
      <c r="AH77" s="5">
        <f t="shared" si="124"/>
        <v>1.34546858539533</v>
      </c>
      <c r="AI77" s="5">
        <f t="shared" si="125"/>
        <v>1.5</v>
      </c>
      <c r="AJ77" s="5">
        <f t="shared" si="126"/>
        <v>2.08888888888889</v>
      </c>
      <c r="AL77" s="216">
        <f t="shared" si="127"/>
        <v>360</v>
      </c>
      <c r="AM77" s="220">
        <f t="shared" si="128"/>
        <v>112.154170533719</v>
      </c>
      <c r="AO77" t="str">
        <f t="shared" si="159"/>
        <v/>
      </c>
      <c r="AP77" t="str">
        <f t="shared" si="129"/>
        <v/>
      </c>
      <c r="AR77" s="192">
        <f t="shared" si="160"/>
        <v>8.91629794274437</v>
      </c>
      <c r="AS77" s="192">
        <f t="shared" si="130"/>
        <v>3.125</v>
      </c>
      <c r="AT77" s="192">
        <f t="shared" si="161"/>
        <v>5.79129794274437</v>
      </c>
      <c r="AU77" s="5">
        <f t="shared" si="162"/>
        <v>0.350481782917872</v>
      </c>
      <c r="AW77" s="192">
        <f t="shared" si="131"/>
        <v>20.1076373742966</v>
      </c>
      <c r="AX77" s="192">
        <f t="shared" si="132"/>
        <v>86.3656299395621</v>
      </c>
      <c r="AY77" s="192">
        <f t="shared" si="133"/>
        <v>14.3647440975709</v>
      </c>
      <c r="AZ77" s="192">
        <f t="shared" si="134"/>
        <v>37.8094167009037</v>
      </c>
      <c r="BA77" s="192">
        <f t="shared" si="135"/>
        <v>7.07825304113201</v>
      </c>
      <c r="BB77" s="220">
        <f t="shared" si="136"/>
        <v>23.0990907698267</v>
      </c>
      <c r="BC77" s="192"/>
      <c r="BD77" s="5">
        <f t="shared" si="163"/>
        <v>0.512700046019506</v>
      </c>
      <c r="BE77" s="5">
        <f t="shared" si="137"/>
        <v>0.380892093755363</v>
      </c>
      <c r="BF77" s="5">
        <f t="shared" si="138"/>
        <v>0.288412120374431</v>
      </c>
      <c r="BG77" s="5"/>
      <c r="BH77" s="217">
        <f t="shared" si="139"/>
        <v>0.0920014680159414</v>
      </c>
      <c r="BI77" s="217">
        <f t="shared" si="140"/>
        <v>0.0204172181289814</v>
      </c>
      <c r="BJ77" s="217">
        <f t="shared" si="141"/>
        <v>0.00140192713167149</v>
      </c>
      <c r="BK77" s="217">
        <f t="shared" si="142"/>
        <v>0.00330388701467427</v>
      </c>
      <c r="BL77">
        <f t="shared" si="143"/>
        <v>0.00348</v>
      </c>
      <c r="BM77">
        <f t="shared" si="144"/>
        <v>1.96269798434008e-6</v>
      </c>
      <c r="BN77">
        <f t="shared" si="145"/>
        <v>0.168665678716862</v>
      </c>
      <c r="BO77" s="220">
        <f t="shared" si="164"/>
        <v>168.665678716862</v>
      </c>
      <c r="BP77" s="5">
        <f t="shared" si="146"/>
        <v>0.329758744345005</v>
      </c>
      <c r="BQ77" s="5">
        <f t="shared" si="147"/>
        <v>0.242942053300555</v>
      </c>
      <c r="BR77" s="217"/>
      <c r="BT77" s="220">
        <f t="shared" si="165"/>
        <v>572.70079764556</v>
      </c>
      <c r="BU77" s="217">
        <f t="shared" si="148"/>
        <v>0.0107773148247246</v>
      </c>
      <c r="BV77" s="217">
        <f t="shared" si="149"/>
        <v>0.0145078787085344</v>
      </c>
      <c r="BW77" s="217">
        <f t="shared" si="150"/>
        <v>0.00582270858252127</v>
      </c>
      <c r="BX77" s="217">
        <f t="shared" si="151"/>
        <v>0</v>
      </c>
      <c r="BY77" s="217">
        <f t="shared" si="152"/>
        <v>0.0430360057080183</v>
      </c>
      <c r="BZ77" s="217">
        <f t="shared" si="166"/>
        <v>0.0311079021157803</v>
      </c>
      <c r="CA77" s="225">
        <f t="shared" si="153"/>
        <v>0.0100938753480347</v>
      </c>
      <c r="CB77" s="220">
        <f t="shared" si="167"/>
        <v>53.129881056053</v>
      </c>
      <c r="CC77" s="5">
        <f t="shared" si="168"/>
        <v>0.794496357418475</v>
      </c>
      <c r="CD77" s="192">
        <f t="shared" si="169"/>
        <v>4.09551761642662</v>
      </c>
      <c r="CE77" s="5">
        <f t="shared" si="170"/>
        <v>0.8375267715659</v>
      </c>
      <c r="CF77" s="192">
        <f t="shared" si="171"/>
        <v>83.75267715659</v>
      </c>
      <c r="CG77">
        <f t="shared" si="172"/>
        <v>72</v>
      </c>
      <c r="CI77" s="227">
        <f t="shared" si="154"/>
        <v>-50</v>
      </c>
      <c r="CJ77">
        <f t="shared" si="155"/>
        <v>-50</v>
      </c>
    </row>
    <row r="78" spans="5:88">
      <c r="E78" s="22">
        <v>73</v>
      </c>
      <c r="F78" s="25">
        <f t="shared" si="173"/>
        <v>0.365</v>
      </c>
      <c r="G78" s="25">
        <f t="shared" si="156"/>
        <v>0.292</v>
      </c>
      <c r="H78" s="25">
        <f t="shared" si="105"/>
        <v>6.57</v>
      </c>
      <c r="I78" s="25">
        <f t="shared" si="174"/>
        <v>1.46</v>
      </c>
      <c r="J78" s="212">
        <f t="shared" si="106"/>
        <v>12</v>
      </c>
      <c r="K78" s="131">
        <f t="shared" si="107"/>
        <v>6.39018536772328</v>
      </c>
      <c r="L78" s="131">
        <f t="shared" si="108"/>
        <v>24.2728</v>
      </c>
      <c r="M78" s="131"/>
      <c r="N78" s="25">
        <f t="shared" si="109"/>
        <v>0.505619458818101</v>
      </c>
      <c r="O78" s="27">
        <f t="shared" si="157"/>
        <v>3.3508780498036</v>
      </c>
      <c r="P78" s="27">
        <f t="shared" si="110"/>
        <v>0.744639566623021</v>
      </c>
      <c r="Q78" s="25">
        <f t="shared" si="111"/>
        <v>0.186159891655755</v>
      </c>
      <c r="R78" s="25">
        <f t="shared" si="112"/>
        <v>0.670175609960719</v>
      </c>
      <c r="S78" s="131">
        <f t="shared" si="113"/>
        <v>9.18048780768109</v>
      </c>
      <c r="T78" s="25">
        <f t="shared" si="114"/>
        <v>1.5</v>
      </c>
      <c r="U78" s="25">
        <f t="shared" si="115"/>
        <v>3.125</v>
      </c>
      <c r="V78" s="25">
        <f t="shared" si="116"/>
        <v>5.86837436507114</v>
      </c>
      <c r="W78" s="24">
        <f t="shared" si="117"/>
        <v>350</v>
      </c>
      <c r="X78" s="131">
        <f t="shared" si="158"/>
        <v>111.192969335719</v>
      </c>
      <c r="Z78" s="25">
        <f t="shared" si="118"/>
        <v>0.476541297153083</v>
      </c>
      <c r="AA78" s="5">
        <f t="shared" si="119"/>
        <v>1.86434848807393</v>
      </c>
      <c r="AB78" s="5">
        <f t="shared" si="120"/>
        <v>0.0848479481540315</v>
      </c>
      <c r="AC78" s="5"/>
      <c r="AD78" s="5">
        <f t="shared" si="121"/>
        <v>1.17367487301423</v>
      </c>
      <c r="AE78" s="216">
        <f t="shared" si="122"/>
        <v>3799.07738744094</v>
      </c>
      <c r="AF78" s="217">
        <f t="shared" si="123"/>
        <v>0.0336265853447256</v>
      </c>
      <c r="AH78" s="5">
        <f t="shared" si="124"/>
        <v>1.35477989777992</v>
      </c>
      <c r="AI78" s="5">
        <f t="shared" si="125"/>
        <v>1.5</v>
      </c>
      <c r="AJ78" s="5">
        <f t="shared" si="126"/>
        <v>2.08888888888889</v>
      </c>
      <c r="AL78" s="216">
        <f t="shared" si="127"/>
        <v>365</v>
      </c>
      <c r="AM78" s="220">
        <f t="shared" si="128"/>
        <v>111.192969335719</v>
      </c>
      <c r="AO78" t="str">
        <f t="shared" si="159"/>
        <v/>
      </c>
      <c r="AP78" t="str">
        <f t="shared" si="129"/>
        <v/>
      </c>
      <c r="AR78" s="192">
        <f t="shared" si="160"/>
        <v>8.99337436507114</v>
      </c>
      <c r="AS78" s="192">
        <f t="shared" si="130"/>
        <v>3.125</v>
      </c>
      <c r="AT78" s="192">
        <f t="shared" si="161"/>
        <v>5.86837436507114</v>
      </c>
      <c r="AU78" s="5">
        <f t="shared" si="162"/>
        <v>0.347478029174123</v>
      </c>
      <c r="AW78" s="192">
        <f t="shared" si="131"/>
        <v>20.1076373742966</v>
      </c>
      <c r="AX78" s="192">
        <f t="shared" si="132"/>
        <v>88.7661269189673</v>
      </c>
      <c r="AY78" s="192">
        <f t="shared" si="133"/>
        <v>14.3647440975709</v>
      </c>
      <c r="AZ78" s="192">
        <f t="shared" si="134"/>
        <v>38.8588606479776</v>
      </c>
      <c r="BA78" s="192">
        <f t="shared" si="135"/>
        <v>7.27207502338291</v>
      </c>
      <c r="BB78" s="220">
        <f t="shared" si="136"/>
        <v>23.3913758119104</v>
      </c>
      <c r="BC78" s="192"/>
      <c r="BD78" s="5">
        <f t="shared" si="163"/>
        <v>0.510498307421868</v>
      </c>
      <c r="BE78" s="5">
        <f t="shared" si="137"/>
        <v>0.381771812228003</v>
      </c>
      <c r="BF78" s="5">
        <f t="shared" si="138"/>
        <v>0.28907824465001</v>
      </c>
      <c r="BG78" s="5"/>
      <c r="BH78" s="217">
        <f t="shared" si="139"/>
        <v>0.0912129826582073</v>
      </c>
      <c r="BI78" s="217">
        <f t="shared" si="140"/>
        <v>0.0202422352956904</v>
      </c>
      <c r="BJ78" s="217">
        <f t="shared" si="141"/>
        <v>0.00138991211669649</v>
      </c>
      <c r="BK78" s="217">
        <f t="shared" si="142"/>
        <v>0.00327557152590155</v>
      </c>
      <c r="BL78">
        <f t="shared" si="143"/>
        <v>0.00348</v>
      </c>
      <c r="BM78">
        <f t="shared" si="144"/>
        <v>1.94587696337509e-6</v>
      </c>
      <c r="BN78">
        <f t="shared" si="145"/>
        <v>0.167173414551176</v>
      </c>
      <c r="BO78" s="220">
        <f t="shared" si="164"/>
        <v>167.173414551176</v>
      </c>
      <c r="BP78" s="5">
        <f t="shared" si="146"/>
        <v>0.333485857676052</v>
      </c>
      <c r="BQ78" s="5">
        <f t="shared" si="147"/>
        <v>0.245827252217318</v>
      </c>
      <c r="BR78" s="217"/>
      <c r="BT78" s="220">
        <f t="shared" si="165"/>
        <v>579.31310989337</v>
      </c>
      <c r="BU78" s="217">
        <f t="shared" si="148"/>
        <v>0.0106849493971043</v>
      </c>
      <c r="BV78" s="217">
        <f t="shared" si="149"/>
        <v>0.0145749716611854</v>
      </c>
      <c r="BW78" s="217">
        <f t="shared" si="150"/>
        <v>0.00584963620709519</v>
      </c>
      <c r="BX78" s="217">
        <f t="shared" si="151"/>
        <v>0</v>
      </c>
      <c r="BY78" s="217">
        <f t="shared" si="152"/>
        <v>0.0430383012259586</v>
      </c>
      <c r="BZ78" s="217">
        <f t="shared" si="166"/>
        <v>0.0311095572653848</v>
      </c>
      <c r="CA78" s="225">
        <f t="shared" si="153"/>
        <v>0.0100073672402147</v>
      </c>
      <c r="CB78" s="220">
        <f t="shared" si="167"/>
        <v>53.0456684661733</v>
      </c>
      <c r="CC78" s="5">
        <f t="shared" si="168"/>
        <v>0.799532192910719</v>
      </c>
      <c r="CD78" s="192">
        <f t="shared" si="169"/>
        <v>4.09551761642662</v>
      </c>
      <c r="CE78" s="5">
        <f t="shared" si="170"/>
        <v>0.836665156831376</v>
      </c>
      <c r="CF78" s="192">
        <f t="shared" si="171"/>
        <v>83.6665156831376</v>
      </c>
      <c r="CG78">
        <f t="shared" si="172"/>
        <v>73</v>
      </c>
      <c r="CI78" s="227">
        <f t="shared" si="154"/>
        <v>-50</v>
      </c>
      <c r="CJ78">
        <f t="shared" si="155"/>
        <v>-50</v>
      </c>
    </row>
    <row r="79" spans="5:88">
      <c r="E79" s="22">
        <v>74</v>
      </c>
      <c r="F79" s="25">
        <f t="shared" si="173"/>
        <v>0.37</v>
      </c>
      <c r="G79" s="25">
        <f t="shared" si="156"/>
        <v>0.296</v>
      </c>
      <c r="H79" s="25">
        <f t="shared" si="105"/>
        <v>6.66</v>
      </c>
      <c r="I79" s="25">
        <f t="shared" si="174"/>
        <v>1.48</v>
      </c>
      <c r="J79" s="212">
        <f t="shared" si="106"/>
        <v>12</v>
      </c>
      <c r="K79" s="131">
        <f t="shared" si="107"/>
        <v>6.30743691680811</v>
      </c>
      <c r="L79" s="131">
        <f t="shared" si="108"/>
        <v>24.2728</v>
      </c>
      <c r="M79" s="131"/>
      <c r="N79" s="25">
        <f t="shared" si="109"/>
        <v>0.505619458818101</v>
      </c>
      <c r="O79" s="27">
        <f t="shared" si="157"/>
        <v>3.3508780498036</v>
      </c>
      <c r="P79" s="27">
        <f t="shared" si="110"/>
        <v>0.744639566623021</v>
      </c>
      <c r="Q79" s="25">
        <f t="shared" si="111"/>
        <v>0.186159891655755</v>
      </c>
      <c r="R79" s="25">
        <f t="shared" si="112"/>
        <v>0.670175609960719</v>
      </c>
      <c r="S79" s="131">
        <f t="shared" si="113"/>
        <v>9.05642716163134</v>
      </c>
      <c r="T79" s="25">
        <f t="shared" si="114"/>
        <v>1.5</v>
      </c>
      <c r="U79" s="25">
        <f t="shared" si="115"/>
        <v>3.125</v>
      </c>
      <c r="V79" s="25">
        <f t="shared" si="116"/>
        <v>5.94536267181201</v>
      </c>
      <c r="W79" s="24">
        <f t="shared" si="117"/>
        <v>350</v>
      </c>
      <c r="X79" s="131">
        <f t="shared" si="158"/>
        <v>110.249174832634</v>
      </c>
      <c r="Z79" s="25">
        <f t="shared" si="118"/>
        <v>0.472496463568432</v>
      </c>
      <c r="AA79" s="5">
        <f t="shared" si="119"/>
        <v>1.87277522470863</v>
      </c>
      <c r="AB79" s="5">
        <f t="shared" si="120"/>
        <v>0.0845080196452005</v>
      </c>
      <c r="AC79" s="5"/>
      <c r="AD79" s="5">
        <f t="shared" si="121"/>
        <v>1.1890725343624</v>
      </c>
      <c r="AE79" s="216">
        <f t="shared" si="122"/>
        <v>3801.25022694712</v>
      </c>
      <c r="AF79" s="217">
        <f t="shared" si="123"/>
        <v>0.0340677388407563</v>
      </c>
      <c r="AH79" s="5">
        <f t="shared" si="124"/>
        <v>1.36402764948935</v>
      </c>
      <c r="AI79" s="5">
        <f t="shared" si="125"/>
        <v>1.5</v>
      </c>
      <c r="AJ79" s="5">
        <f t="shared" si="126"/>
        <v>2.08888888888889</v>
      </c>
      <c r="AL79" s="216">
        <f t="shared" si="127"/>
        <v>370</v>
      </c>
      <c r="AM79" s="220">
        <f t="shared" si="128"/>
        <v>110.249174832634</v>
      </c>
      <c r="AO79" t="str">
        <f t="shared" si="159"/>
        <v/>
      </c>
      <c r="AP79" t="str">
        <f t="shared" si="129"/>
        <v/>
      </c>
      <c r="AR79" s="192">
        <f t="shared" si="160"/>
        <v>9.07036267181201</v>
      </c>
      <c r="AS79" s="192">
        <f t="shared" si="130"/>
        <v>3.125</v>
      </c>
      <c r="AT79" s="192">
        <f t="shared" si="161"/>
        <v>5.94536267181201</v>
      </c>
      <c r="AU79" s="5">
        <f t="shared" si="162"/>
        <v>0.344528671351981</v>
      </c>
      <c r="AW79" s="192">
        <f t="shared" si="131"/>
        <v>20.1076373742966</v>
      </c>
      <c r="AX79" s="192">
        <f t="shared" si="132"/>
        <v>91.1995273049849</v>
      </c>
      <c r="AY79" s="192">
        <f t="shared" si="133"/>
        <v>14.3647440975709</v>
      </c>
      <c r="AZ79" s="192">
        <f t="shared" si="134"/>
        <v>39.922669339149</v>
      </c>
      <c r="BA79" s="192">
        <f t="shared" si="135"/>
        <v>7.4684031093441</v>
      </c>
      <c r="BB79" s="220">
        <f t="shared" si="136"/>
        <v>23.6833267068327</v>
      </c>
      <c r="BC79" s="192"/>
      <c r="BD79" s="5">
        <f t="shared" si="163"/>
        <v>0.508327161888863</v>
      </c>
      <c r="BE79" s="5">
        <f t="shared" si="137"/>
        <v>0.382633631643214</v>
      </c>
      <c r="BF79" s="5">
        <f t="shared" si="138"/>
        <v>0.289730815729841</v>
      </c>
      <c r="BG79" s="5"/>
      <c r="BH79" s="217">
        <f t="shared" si="139"/>
        <v>0.0904387762298951</v>
      </c>
      <c r="BI79" s="217">
        <f t="shared" si="140"/>
        <v>0.0200704212815817</v>
      </c>
      <c r="BJ79" s="217">
        <f t="shared" si="141"/>
        <v>0.00137811468540793</v>
      </c>
      <c r="BK79" s="217">
        <f t="shared" si="142"/>
        <v>0.00324776881122384</v>
      </c>
      <c r="BL79">
        <f t="shared" si="143"/>
        <v>0.00348</v>
      </c>
      <c r="BM79">
        <f t="shared" si="144"/>
        <v>1.9293605595711e-6</v>
      </c>
      <c r="BN79">
        <f t="shared" si="145"/>
        <v>0.165709531266732</v>
      </c>
      <c r="BO79" s="220">
        <f t="shared" si="164"/>
        <v>165.709531266732</v>
      </c>
      <c r="BP79" s="5">
        <f t="shared" si="146"/>
        <v>0.337205261177713</v>
      </c>
      <c r="BQ79" s="5">
        <f t="shared" si="147"/>
        <v>0.248708030669997</v>
      </c>
      <c r="BR79" s="217"/>
      <c r="BT79" s="220">
        <f t="shared" si="165"/>
        <v>585.913291847709</v>
      </c>
      <c r="BU79" s="217">
        <f t="shared" si="148"/>
        <v>0.0105942566440734</v>
      </c>
      <c r="BV79" s="217">
        <f t="shared" si="149"/>
        <v>0.0146408496064475</v>
      </c>
      <c r="BW79" s="217">
        <f t="shared" si="150"/>
        <v>0.00587607619084354</v>
      </c>
      <c r="BX79" s="217">
        <f t="shared" si="151"/>
        <v>0</v>
      </c>
      <c r="BY79" s="217">
        <f t="shared" si="152"/>
        <v>0.0430405551742352</v>
      </c>
      <c r="BZ79" s="217">
        <f t="shared" si="166"/>
        <v>0.0311111824413645</v>
      </c>
      <c r="CA79" s="225">
        <f t="shared" si="153"/>
        <v>0.00992242573493706</v>
      </c>
      <c r="CB79" s="220">
        <f t="shared" si="167"/>
        <v>52.9629809091723</v>
      </c>
      <c r="CC79" s="5">
        <f t="shared" si="168"/>
        <v>0.804585804023613</v>
      </c>
      <c r="CD79" s="192">
        <f t="shared" si="169"/>
        <v>4.09551761642662</v>
      </c>
      <c r="CE79" s="5">
        <f t="shared" si="170"/>
        <v>0.835802281097633</v>
      </c>
      <c r="CF79" s="192">
        <f t="shared" si="171"/>
        <v>83.5802281097633</v>
      </c>
      <c r="CG79">
        <f t="shared" si="172"/>
        <v>74</v>
      </c>
      <c r="CI79" s="227">
        <f t="shared" si="154"/>
        <v>-50</v>
      </c>
      <c r="CJ79">
        <f t="shared" si="155"/>
        <v>-50</v>
      </c>
    </row>
    <row r="80" spans="5:88">
      <c r="E80" s="22">
        <v>75</v>
      </c>
      <c r="F80" s="25">
        <f t="shared" si="173"/>
        <v>0.375</v>
      </c>
      <c r="G80" s="25">
        <f t="shared" si="156"/>
        <v>0.3</v>
      </c>
      <c r="H80" s="25">
        <f t="shared" si="105"/>
        <v>6.75</v>
      </c>
      <c r="I80" s="25">
        <f t="shared" si="174"/>
        <v>1.5</v>
      </c>
      <c r="J80" s="212">
        <f t="shared" si="106"/>
        <v>12</v>
      </c>
      <c r="K80" s="131">
        <f t="shared" si="107"/>
        <v>6.22689509125066</v>
      </c>
      <c r="L80" s="131">
        <f t="shared" si="108"/>
        <v>24.2728</v>
      </c>
      <c r="M80" s="131"/>
      <c r="N80" s="25">
        <f t="shared" si="109"/>
        <v>0.505619458818101</v>
      </c>
      <c r="O80" s="27">
        <f t="shared" si="157"/>
        <v>3.3508780498036</v>
      </c>
      <c r="P80" s="27">
        <f t="shared" si="110"/>
        <v>0.744639566623021</v>
      </c>
      <c r="Q80" s="25">
        <f t="shared" si="111"/>
        <v>0.186159891655755</v>
      </c>
      <c r="R80" s="25">
        <f t="shared" si="112"/>
        <v>0.670175609960719</v>
      </c>
      <c r="S80" s="131">
        <f t="shared" si="113"/>
        <v>8.93567479947626</v>
      </c>
      <c r="T80" s="25">
        <f t="shared" si="114"/>
        <v>1.5</v>
      </c>
      <c r="U80" s="25">
        <f t="shared" si="115"/>
        <v>3.125</v>
      </c>
      <c r="V80" s="25">
        <f t="shared" si="116"/>
        <v>6.02226301398442</v>
      </c>
      <c r="W80" s="24">
        <f t="shared" si="117"/>
        <v>350</v>
      </c>
      <c r="X80" s="131">
        <f t="shared" si="158"/>
        <v>109.322318432431</v>
      </c>
      <c r="Z80" s="25">
        <f t="shared" si="118"/>
        <v>0.468524221853274</v>
      </c>
      <c r="AA80" s="5">
        <f t="shared" si="119"/>
        <v>1.88105072828187</v>
      </c>
      <c r="AB80" s="5">
        <f t="shared" si="120"/>
        <v>0.0841678556392385</v>
      </c>
      <c r="AC80" s="5"/>
      <c r="AD80" s="5">
        <f t="shared" si="121"/>
        <v>1.20445260279688</v>
      </c>
      <c r="AE80" s="216">
        <f t="shared" si="122"/>
        <v>3803.42306645329</v>
      </c>
      <c r="AF80" s="217">
        <f t="shared" si="123"/>
        <v>0.0345083882878145</v>
      </c>
      <c r="AH80" s="5">
        <f t="shared" si="124"/>
        <v>1.37321312465119</v>
      </c>
      <c r="AI80" s="5">
        <f t="shared" si="125"/>
        <v>1.5</v>
      </c>
      <c r="AJ80" s="5">
        <f t="shared" si="126"/>
        <v>2.08888888888889</v>
      </c>
      <c r="AL80" s="216">
        <f t="shared" si="127"/>
        <v>375</v>
      </c>
      <c r="AM80" s="220">
        <f t="shared" si="128"/>
        <v>109.322318432431</v>
      </c>
      <c r="AO80" t="str">
        <f t="shared" si="159"/>
        <v/>
      </c>
      <c r="AP80" t="str">
        <f t="shared" si="129"/>
        <v/>
      </c>
      <c r="AR80" s="192">
        <f t="shared" si="160"/>
        <v>9.14726301398442</v>
      </c>
      <c r="AS80" s="192">
        <f t="shared" si="130"/>
        <v>3.125</v>
      </c>
      <c r="AT80" s="192">
        <f t="shared" si="161"/>
        <v>6.02226301398442</v>
      </c>
      <c r="AU80" s="5">
        <f t="shared" si="162"/>
        <v>0.341632245101346</v>
      </c>
      <c r="AW80" s="192">
        <f t="shared" si="131"/>
        <v>20.1076373742966</v>
      </c>
      <c r="AX80" s="192">
        <f t="shared" si="132"/>
        <v>93.6658310976151</v>
      </c>
      <c r="AY80" s="192">
        <f t="shared" si="133"/>
        <v>14.3647440975709</v>
      </c>
      <c r="AZ80" s="192">
        <f t="shared" si="134"/>
        <v>41.0008427744181</v>
      </c>
      <c r="BA80" s="192">
        <f t="shared" si="135"/>
        <v>7.66723300391535</v>
      </c>
      <c r="BB80" s="220">
        <f t="shared" si="136"/>
        <v>23.9749440272738</v>
      </c>
      <c r="BC80" s="192"/>
      <c r="BD80" s="5">
        <f t="shared" si="163"/>
        <v>0.506185918241518</v>
      </c>
      <c r="BE80" s="5">
        <f t="shared" si="137"/>
        <v>0.383478099147596</v>
      </c>
      <c r="BF80" s="5">
        <f t="shared" si="138"/>
        <v>0.290370247914229</v>
      </c>
      <c r="BG80" s="5"/>
      <c r="BH80" s="217">
        <f t="shared" si="139"/>
        <v>0.0896784643391032</v>
      </c>
      <c r="BI80" s="217">
        <f t="shared" si="140"/>
        <v>0.0199016907813503</v>
      </c>
      <c r="BJ80" s="217">
        <f t="shared" si="141"/>
        <v>0.00136652898040538</v>
      </c>
      <c r="BK80" s="217">
        <f t="shared" si="142"/>
        <v>0.00322046506665039</v>
      </c>
      <c r="BL80">
        <f t="shared" si="143"/>
        <v>0.00348</v>
      </c>
      <c r="BM80">
        <f t="shared" si="144"/>
        <v>1.91314057256754e-6</v>
      </c>
      <c r="BN80">
        <f t="shared" si="145"/>
        <v>0.164273226840272</v>
      </c>
      <c r="BO80" s="220">
        <f t="shared" si="164"/>
        <v>164.273226840272</v>
      </c>
      <c r="BP80" s="5">
        <f t="shared" si="146"/>
        <v>0.34091716240028</v>
      </c>
      <c r="BQ80" s="5">
        <f t="shared" si="147"/>
        <v>0.251584507658451</v>
      </c>
      <c r="BR80" s="217"/>
      <c r="BT80" s="220">
        <f t="shared" si="165"/>
        <v>592.501670058732</v>
      </c>
      <c r="BU80" s="217">
        <f t="shared" si="148"/>
        <v>0.0105051915368664</v>
      </c>
      <c r="BV80" s="217">
        <f t="shared" si="149"/>
        <v>0.0147055452525854</v>
      </c>
      <c r="BW80" s="217">
        <f t="shared" si="150"/>
        <v>0.00590204166116396</v>
      </c>
      <c r="BX80" s="217">
        <f t="shared" si="151"/>
        <v>0</v>
      </c>
      <c r="BY80" s="217">
        <f t="shared" si="152"/>
        <v>0.0430427686718969</v>
      </c>
      <c r="BZ80" s="217">
        <f t="shared" si="166"/>
        <v>0.0311127784506157</v>
      </c>
      <c r="CA80" s="225">
        <f t="shared" si="153"/>
        <v>0.00983900865891876</v>
      </c>
      <c r="CB80" s="220">
        <f t="shared" si="167"/>
        <v>52.8817773308156</v>
      </c>
      <c r="CC80" s="5">
        <f t="shared" si="168"/>
        <v>0.80965667422982</v>
      </c>
      <c r="CD80" s="192">
        <f t="shared" si="169"/>
        <v>4.09551761642662</v>
      </c>
      <c r="CE80" s="5">
        <f t="shared" si="170"/>
        <v>0.83493824556406</v>
      </c>
      <c r="CF80" s="192">
        <f t="shared" si="171"/>
        <v>83.493824556406</v>
      </c>
      <c r="CG80">
        <f t="shared" si="172"/>
        <v>75</v>
      </c>
      <c r="CI80" s="227">
        <f t="shared" si="154"/>
        <v>-50</v>
      </c>
      <c r="CJ80">
        <f t="shared" si="155"/>
        <v>-50</v>
      </c>
    </row>
    <row r="81" spans="5:88">
      <c r="E81" s="22">
        <v>76</v>
      </c>
      <c r="F81" s="25">
        <f t="shared" si="173"/>
        <v>0.38</v>
      </c>
      <c r="G81" s="25">
        <f t="shared" si="156"/>
        <v>0.304</v>
      </c>
      <c r="H81" s="25">
        <f t="shared" si="105"/>
        <v>6.84</v>
      </c>
      <c r="I81" s="25">
        <f t="shared" si="174"/>
        <v>1.52</v>
      </c>
      <c r="J81" s="212">
        <f t="shared" si="106"/>
        <v>12</v>
      </c>
      <c r="K81" s="131">
        <f t="shared" si="107"/>
        <v>6.14847278741842</v>
      </c>
      <c r="L81" s="131">
        <f t="shared" si="108"/>
        <v>24.2728</v>
      </c>
      <c r="M81" s="131"/>
      <c r="N81" s="25">
        <f t="shared" si="109"/>
        <v>0.505619458818101</v>
      </c>
      <c r="O81" s="27">
        <f t="shared" si="157"/>
        <v>3.3508780498036</v>
      </c>
      <c r="P81" s="27">
        <f t="shared" si="110"/>
        <v>0.744639566623021</v>
      </c>
      <c r="Q81" s="25">
        <f t="shared" si="111"/>
        <v>0.186159891655755</v>
      </c>
      <c r="R81" s="25">
        <f t="shared" si="112"/>
        <v>0.670175609960719</v>
      </c>
      <c r="S81" s="131">
        <f t="shared" si="113"/>
        <v>8.8181001310621</v>
      </c>
      <c r="T81" s="25">
        <f t="shared" si="114"/>
        <v>1.5</v>
      </c>
      <c r="U81" s="25">
        <f t="shared" si="115"/>
        <v>3.125</v>
      </c>
      <c r="V81" s="25">
        <f t="shared" si="116"/>
        <v>6.09907554226084</v>
      </c>
      <c r="W81" s="24">
        <f t="shared" si="117"/>
        <v>350</v>
      </c>
      <c r="X81" s="131">
        <f t="shared" si="158"/>
        <v>108.411948212959</v>
      </c>
      <c r="Z81" s="25">
        <f t="shared" si="118"/>
        <v>0.464622635198394</v>
      </c>
      <c r="AA81" s="5">
        <f t="shared" si="119"/>
        <v>1.88917903381287</v>
      </c>
      <c r="AB81" s="5">
        <f t="shared" si="120"/>
        <v>0.083827629968939</v>
      </c>
      <c r="AC81" s="5"/>
      <c r="AD81" s="5">
        <f t="shared" si="121"/>
        <v>1.21981510845217</v>
      </c>
      <c r="AE81" s="216">
        <f t="shared" si="122"/>
        <v>3805.59590595946</v>
      </c>
      <c r="AF81" s="217">
        <f t="shared" si="123"/>
        <v>0.034948534549274</v>
      </c>
      <c r="AH81" s="5">
        <f t="shared" si="124"/>
        <v>1.38233756472764</v>
      </c>
      <c r="AI81" s="5">
        <f t="shared" si="125"/>
        <v>1.5</v>
      </c>
      <c r="AJ81" s="5">
        <f t="shared" si="126"/>
        <v>2.08888888888889</v>
      </c>
      <c r="AL81" s="216">
        <f t="shared" si="127"/>
        <v>380</v>
      </c>
      <c r="AM81" s="220">
        <f t="shared" si="128"/>
        <v>108.411948212959</v>
      </c>
      <c r="AO81" t="str">
        <f t="shared" si="159"/>
        <v/>
      </c>
      <c r="AP81" t="str">
        <f t="shared" si="129"/>
        <v/>
      </c>
      <c r="AR81" s="192">
        <f t="shared" si="160"/>
        <v>9.22407554226084</v>
      </c>
      <c r="AS81" s="192">
        <f t="shared" si="130"/>
        <v>3.125</v>
      </c>
      <c r="AT81" s="192">
        <f t="shared" si="161"/>
        <v>6.09907554226084</v>
      </c>
      <c r="AU81" s="5">
        <f t="shared" si="162"/>
        <v>0.338787338165496</v>
      </c>
      <c r="AW81" s="192">
        <f t="shared" si="131"/>
        <v>20.1076373742966</v>
      </c>
      <c r="AX81" s="192">
        <f t="shared" si="132"/>
        <v>96.1650382968577</v>
      </c>
      <c r="AY81" s="192">
        <f t="shared" si="133"/>
        <v>14.3647440975709</v>
      </c>
      <c r="AZ81" s="192">
        <f t="shared" si="134"/>
        <v>42.0933809537846</v>
      </c>
      <c r="BA81" s="192">
        <f t="shared" si="135"/>
        <v>7.86856042180565</v>
      </c>
      <c r="BB81" s="220">
        <f t="shared" si="136"/>
        <v>24.2662283446055</v>
      </c>
      <c r="BC81" s="192"/>
      <c r="BD81" s="5">
        <f t="shared" si="163"/>
        <v>0.504073906906638</v>
      </c>
      <c r="BE81" s="5">
        <f t="shared" si="137"/>
        <v>0.384305739539321</v>
      </c>
      <c r="BF81" s="5">
        <f t="shared" si="138"/>
        <v>0.290996938581214</v>
      </c>
      <c r="BG81" s="5"/>
      <c r="BH81" s="217">
        <f t="shared" si="139"/>
        <v>0.0889316762684426</v>
      </c>
      <c r="BI81" s="217">
        <f t="shared" si="140"/>
        <v>0.0197359615243763</v>
      </c>
      <c r="BJ81" s="217">
        <f t="shared" si="141"/>
        <v>0.00135514935266198</v>
      </c>
      <c r="BK81" s="217">
        <f t="shared" si="142"/>
        <v>0.0031936469792592</v>
      </c>
      <c r="BL81">
        <f t="shared" si="143"/>
        <v>0.00348</v>
      </c>
      <c r="BM81">
        <f t="shared" si="144"/>
        <v>1.89720909372678e-6</v>
      </c>
      <c r="BN81">
        <f t="shared" si="145"/>
        <v>0.162863729186004</v>
      </c>
      <c r="BO81" s="220">
        <f t="shared" si="164"/>
        <v>162.863729186004</v>
      </c>
      <c r="BP81" s="5">
        <f t="shared" si="146"/>
        <v>0.34462176151057</v>
      </c>
      <c r="BQ81" s="5">
        <f t="shared" si="147"/>
        <v>0.254456797949192</v>
      </c>
      <c r="BR81" s="217"/>
      <c r="BT81" s="220">
        <f t="shared" si="165"/>
        <v>599.078559459762</v>
      </c>
      <c r="BU81" s="217">
        <f t="shared" si="148"/>
        <v>0.010417710648589</v>
      </c>
      <c r="BV81" s="217">
        <f t="shared" si="149"/>
        <v>0.0147690901442865</v>
      </c>
      <c r="BW81" s="217">
        <f t="shared" si="150"/>
        <v>0.00592754527845473</v>
      </c>
      <c r="BX81" s="217">
        <f t="shared" si="151"/>
        <v>0</v>
      </c>
      <c r="BY81" s="217">
        <f t="shared" si="152"/>
        <v>0.0430449427981831</v>
      </c>
      <c r="BZ81" s="217">
        <f t="shared" si="166"/>
        <v>0.0311143460713302</v>
      </c>
      <c r="CA81" s="225">
        <f t="shared" si="153"/>
        <v>0.00975707533916628</v>
      </c>
      <c r="CB81" s="220">
        <f t="shared" si="167"/>
        <v>52.8020181373494</v>
      </c>
      <c r="CC81" s="5">
        <f t="shared" si="168"/>
        <v>0.814744306783115</v>
      </c>
      <c r="CD81" s="192">
        <f t="shared" si="169"/>
        <v>4.09551761642662</v>
      </c>
      <c r="CE81" s="5">
        <f t="shared" si="170"/>
        <v>0.834073147313793</v>
      </c>
      <c r="CF81" s="192">
        <f t="shared" si="171"/>
        <v>83.4073147313793</v>
      </c>
      <c r="CG81">
        <f t="shared" si="172"/>
        <v>76</v>
      </c>
      <c r="CI81" s="227">
        <f t="shared" si="154"/>
        <v>-50</v>
      </c>
      <c r="CJ81">
        <f t="shared" si="155"/>
        <v>-50</v>
      </c>
    </row>
    <row r="82" spans="5:88">
      <c r="E82" s="22">
        <v>77</v>
      </c>
      <c r="F82" s="25">
        <f t="shared" si="173"/>
        <v>0.385</v>
      </c>
      <c r="G82" s="25">
        <f t="shared" si="156"/>
        <v>0.308</v>
      </c>
      <c r="H82" s="25">
        <f t="shared" si="105"/>
        <v>6.93</v>
      </c>
      <c r="I82" s="25">
        <f t="shared" si="174"/>
        <v>1.54</v>
      </c>
      <c r="J82" s="212">
        <f t="shared" si="106"/>
        <v>12</v>
      </c>
      <c r="K82" s="131">
        <f t="shared" si="107"/>
        <v>6.07208742654285</v>
      </c>
      <c r="L82" s="131">
        <f t="shared" si="108"/>
        <v>24.2728</v>
      </c>
      <c r="M82" s="131"/>
      <c r="N82" s="25">
        <f t="shared" si="109"/>
        <v>0.505619458818101</v>
      </c>
      <c r="O82" s="27">
        <f t="shared" si="157"/>
        <v>3.3508780498036</v>
      </c>
      <c r="P82" s="27">
        <f t="shared" si="110"/>
        <v>0.744639566623021</v>
      </c>
      <c r="Q82" s="25">
        <f t="shared" si="111"/>
        <v>0.186159891655755</v>
      </c>
      <c r="R82" s="25">
        <f t="shared" si="112"/>
        <v>0.670175609960719</v>
      </c>
      <c r="S82" s="131">
        <f t="shared" si="113"/>
        <v>8.70357935013921</v>
      </c>
      <c r="T82" s="25">
        <f t="shared" si="114"/>
        <v>1.5</v>
      </c>
      <c r="U82" s="25">
        <f t="shared" si="115"/>
        <v>3.125</v>
      </c>
      <c r="V82" s="25">
        <f t="shared" si="116"/>
        <v>6.17580040696988</v>
      </c>
      <c r="W82" s="24">
        <f t="shared" si="117"/>
        <v>350</v>
      </c>
      <c r="X82" s="131">
        <f t="shared" si="158"/>
        <v>107.517628187206</v>
      </c>
      <c r="Z82" s="25">
        <f t="shared" si="118"/>
        <v>0.460789835088025</v>
      </c>
      <c r="AA82" s="5">
        <f t="shared" si="119"/>
        <v>1.89716403404281</v>
      </c>
      <c r="AB82" s="5">
        <f t="shared" si="120"/>
        <v>0.0834875044817584</v>
      </c>
      <c r="AC82" s="5"/>
      <c r="AD82" s="5">
        <f t="shared" si="121"/>
        <v>1.23516008139398</v>
      </c>
      <c r="AE82" s="216">
        <f t="shared" si="122"/>
        <v>3807.76874546563</v>
      </c>
      <c r="AF82" s="217">
        <f t="shared" si="123"/>
        <v>0.0353881784865383</v>
      </c>
      <c r="AH82" s="5">
        <f t="shared" si="124"/>
        <v>1.39140217047409</v>
      </c>
      <c r="AI82" s="5">
        <f t="shared" si="125"/>
        <v>1.5</v>
      </c>
      <c r="AJ82" s="5">
        <f t="shared" si="126"/>
        <v>2.08888888888889</v>
      </c>
      <c r="AL82" s="216">
        <f t="shared" si="127"/>
        <v>385</v>
      </c>
      <c r="AM82" s="220">
        <f t="shared" si="128"/>
        <v>107.517628187206</v>
      </c>
      <c r="AO82" t="str">
        <f t="shared" si="159"/>
        <v/>
      </c>
      <c r="AP82" t="str">
        <f t="shared" si="129"/>
        <v/>
      </c>
      <c r="AR82" s="192">
        <f t="shared" si="160"/>
        <v>9.30080040696988</v>
      </c>
      <c r="AS82" s="192">
        <f t="shared" si="130"/>
        <v>3.125</v>
      </c>
      <c r="AT82" s="192">
        <f t="shared" si="161"/>
        <v>6.17580040696988</v>
      </c>
      <c r="AU82" s="5">
        <f t="shared" si="162"/>
        <v>0.335992588085018</v>
      </c>
      <c r="AW82" s="192">
        <f t="shared" si="131"/>
        <v>20.1076373742966</v>
      </c>
      <c r="AX82" s="192">
        <f t="shared" si="132"/>
        <v>98.6971489027129</v>
      </c>
      <c r="AY82" s="192">
        <f t="shared" si="133"/>
        <v>14.3647440975709</v>
      </c>
      <c r="AZ82" s="192">
        <f t="shared" si="134"/>
        <v>43.2002838772488</v>
      </c>
      <c r="BA82" s="192">
        <f t="shared" si="135"/>
        <v>8.07238108750538</v>
      </c>
      <c r="BB82" s="220">
        <f t="shared" si="136"/>
        <v>24.5571802288961</v>
      </c>
      <c r="BC82" s="192"/>
      <c r="BD82" s="5">
        <f t="shared" si="163"/>
        <v>0.501990479056888</v>
      </c>
      <c r="BE82" s="5">
        <f t="shared" si="137"/>
        <v>0.385117056412038</v>
      </c>
      <c r="BF82" s="5">
        <f t="shared" si="138"/>
        <v>0.291611269052737</v>
      </c>
      <c r="BG82" s="5"/>
      <c r="BH82" s="217">
        <f t="shared" si="139"/>
        <v>0.0881980543723173</v>
      </c>
      <c r="BI82" s="217">
        <f t="shared" si="140"/>
        <v>0.0195731541409681</v>
      </c>
      <c r="BJ82" s="217">
        <f t="shared" si="141"/>
        <v>0.00134397035234007</v>
      </c>
      <c r="BK82" s="217">
        <f t="shared" si="142"/>
        <v>0.0031673017055526</v>
      </c>
      <c r="BL82">
        <f t="shared" si="143"/>
        <v>0.00348</v>
      </c>
      <c r="BM82">
        <f t="shared" si="144"/>
        <v>1.8815584932761e-6</v>
      </c>
      <c r="BN82">
        <f t="shared" si="145"/>
        <v>0.161480294771646</v>
      </c>
      <c r="BO82" s="220">
        <f t="shared" si="164"/>
        <v>161.480294771646</v>
      </c>
      <c r="BP82" s="5">
        <f t="shared" si="146"/>
        <v>0.348319251617353</v>
      </c>
      <c r="BQ82" s="5">
        <f t="shared" si="147"/>
        <v>0.25732501226197</v>
      </c>
      <c r="BR82" s="217"/>
      <c r="BT82" s="220">
        <f t="shared" si="165"/>
        <v>605.644263879323</v>
      </c>
      <c r="BU82" s="217">
        <f t="shared" si="148"/>
        <v>0.0103317720836143</v>
      </c>
      <c r="BV82" s="217">
        <f t="shared" si="149"/>
        <v>0.0148315147139473</v>
      </c>
      <c r="BW82" s="217">
        <f t="shared" si="150"/>
        <v>0.00595259925669833</v>
      </c>
      <c r="BX82" s="217">
        <f t="shared" si="151"/>
        <v>0</v>
      </c>
      <c r="BY82" s="217">
        <f t="shared" si="152"/>
        <v>0.0430470785942794</v>
      </c>
      <c r="BZ82" s="217">
        <f t="shared" si="166"/>
        <v>0.03111588605426</v>
      </c>
      <c r="CA82" s="225">
        <f t="shared" si="153"/>
        <v>0.00967658653684853</v>
      </c>
      <c r="CB82" s="220">
        <f t="shared" si="167"/>
        <v>52.7236651311279</v>
      </c>
      <c r="CC82" s="5">
        <f t="shared" si="168"/>
        <v>0.819848223782097</v>
      </c>
      <c r="CD82" s="192">
        <f t="shared" si="169"/>
        <v>4.09551761642662</v>
      </c>
      <c r="CE82" s="5">
        <f t="shared" si="170"/>
        <v>0.833207079506561</v>
      </c>
      <c r="CF82" s="192">
        <f t="shared" si="171"/>
        <v>83.3207079506561</v>
      </c>
      <c r="CG82">
        <f t="shared" si="172"/>
        <v>77</v>
      </c>
      <c r="CI82" s="227">
        <f t="shared" si="154"/>
        <v>-50</v>
      </c>
      <c r="CJ82">
        <f t="shared" si="155"/>
        <v>-50</v>
      </c>
    </row>
    <row r="83" spans="5:88">
      <c r="E83" s="22">
        <v>78</v>
      </c>
      <c r="F83" s="25">
        <f t="shared" si="173"/>
        <v>0.39</v>
      </c>
      <c r="G83" s="25">
        <f t="shared" si="156"/>
        <v>0.312</v>
      </c>
      <c r="H83" s="25">
        <f t="shared" si="105"/>
        <v>7.02</v>
      </c>
      <c r="I83" s="25">
        <f t="shared" si="174"/>
        <v>1.56</v>
      </c>
      <c r="J83" s="212">
        <f t="shared" si="106"/>
        <v>12</v>
      </c>
      <c r="K83" s="131">
        <f t="shared" si="107"/>
        <v>5.9976606646641</v>
      </c>
      <c r="L83" s="131">
        <f t="shared" si="108"/>
        <v>24.2728</v>
      </c>
      <c r="M83" s="131"/>
      <c r="N83" s="25">
        <f t="shared" si="109"/>
        <v>0.505619458818101</v>
      </c>
      <c r="O83" s="27">
        <f t="shared" si="157"/>
        <v>3.3508780498036</v>
      </c>
      <c r="P83" s="27">
        <f t="shared" si="110"/>
        <v>0.744639566623021</v>
      </c>
      <c r="Q83" s="25">
        <f t="shared" si="111"/>
        <v>0.186159891655755</v>
      </c>
      <c r="R83" s="25">
        <f t="shared" si="112"/>
        <v>0.670175609960719</v>
      </c>
      <c r="S83" s="131">
        <f t="shared" si="113"/>
        <v>8.5919949994964</v>
      </c>
      <c r="T83" s="25">
        <f t="shared" si="114"/>
        <v>1.5</v>
      </c>
      <c r="U83" s="25">
        <f t="shared" si="115"/>
        <v>3.125</v>
      </c>
      <c r="V83" s="25">
        <f t="shared" si="116"/>
        <v>6.25243775809717</v>
      </c>
      <c r="W83" s="24">
        <f t="shared" si="117"/>
        <v>350</v>
      </c>
      <c r="X83" s="131">
        <f t="shared" si="158"/>
        <v>106.63893760708</v>
      </c>
      <c r="Z83" s="25">
        <f t="shared" si="118"/>
        <v>0.457024018316057</v>
      </c>
      <c r="AA83" s="5">
        <f t="shared" si="119"/>
        <v>1.90500948565107</v>
      </c>
      <c r="AB83" s="5">
        <f t="shared" si="120"/>
        <v>0.0831476298170785</v>
      </c>
      <c r="AC83" s="5"/>
      <c r="AD83" s="5">
        <f t="shared" si="121"/>
        <v>1.25048755161943</v>
      </c>
      <c r="AE83" s="216">
        <f t="shared" si="122"/>
        <v>3809.94158497181</v>
      </c>
      <c r="AF83" s="217">
        <f t="shared" si="123"/>
        <v>0.0358273209590456</v>
      </c>
      <c r="AH83" s="5">
        <f t="shared" si="124"/>
        <v>1.40040810378363</v>
      </c>
      <c r="AI83" s="5">
        <f t="shared" si="125"/>
        <v>1.5</v>
      </c>
      <c r="AJ83" s="5">
        <f t="shared" si="126"/>
        <v>2.08888888888889</v>
      </c>
      <c r="AL83" s="216">
        <f t="shared" si="127"/>
        <v>390</v>
      </c>
      <c r="AM83" s="220">
        <f t="shared" si="128"/>
        <v>106.63893760708</v>
      </c>
      <c r="AO83" t="str">
        <f t="shared" si="159"/>
        <v/>
      </c>
      <c r="AP83" t="str">
        <f t="shared" si="129"/>
        <v/>
      </c>
      <c r="AR83" s="192">
        <f t="shared" si="160"/>
        <v>9.37743775809717</v>
      </c>
      <c r="AS83" s="192">
        <f t="shared" si="130"/>
        <v>3.125</v>
      </c>
      <c r="AT83" s="192">
        <f t="shared" si="161"/>
        <v>6.25243775809717</v>
      </c>
      <c r="AU83" s="5">
        <f t="shared" si="162"/>
        <v>0.333246680022125</v>
      </c>
      <c r="AW83" s="192">
        <f t="shared" si="131"/>
        <v>20.1076373742966</v>
      </c>
      <c r="AX83" s="192">
        <f t="shared" si="132"/>
        <v>101.26216291518</v>
      </c>
      <c r="AY83" s="192">
        <f t="shared" si="133"/>
        <v>14.3647440975709</v>
      </c>
      <c r="AZ83" s="192">
        <f t="shared" si="134"/>
        <v>44.3215515448106</v>
      </c>
      <c r="BA83" s="192">
        <f t="shared" si="135"/>
        <v>8.2786907352583</v>
      </c>
      <c r="BB83" s="220">
        <f t="shared" si="136"/>
        <v>24.8478002489129</v>
      </c>
      <c r="BC83" s="192"/>
      <c r="BD83" s="5">
        <f t="shared" si="163"/>
        <v>0.499935005792347</v>
      </c>
      <c r="BE83" s="5">
        <f t="shared" si="137"/>
        <v>0.385912533228324</v>
      </c>
      <c r="BF83" s="5">
        <f t="shared" si="138"/>
        <v>0.292213605407455</v>
      </c>
      <c r="BG83" s="5"/>
      <c r="BH83" s="217">
        <f t="shared" si="139"/>
        <v>0.0874772535058078</v>
      </c>
      <c r="BI83" s="217">
        <f t="shared" si="140"/>
        <v>0.0194131920356185</v>
      </c>
      <c r="BJ83" s="217">
        <f t="shared" si="141"/>
        <v>0.0013329867200885</v>
      </c>
      <c r="BK83" s="217">
        <f t="shared" si="142"/>
        <v>0.00314141685094773</v>
      </c>
      <c r="BL83">
        <f t="shared" si="143"/>
        <v>0.00348</v>
      </c>
      <c r="BM83">
        <f t="shared" si="144"/>
        <v>1.8661814081239e-6</v>
      </c>
      <c r="BN83">
        <f t="shared" si="145"/>
        <v>0.160122207310562</v>
      </c>
      <c r="BO83" s="220">
        <f t="shared" si="164"/>
        <v>160.122207310562</v>
      </c>
      <c r="BP83" s="5">
        <f t="shared" si="146"/>
        <v>0.35200981907973</v>
      </c>
      <c r="BQ83" s="5">
        <f t="shared" si="147"/>
        <v>0.260189257446584</v>
      </c>
      <c r="BR83" s="217"/>
      <c r="BT83" s="220">
        <f t="shared" si="165"/>
        <v>612.199076526313</v>
      </c>
      <c r="BU83" s="217">
        <f t="shared" si="148"/>
        <v>0.0102473354106803</v>
      </c>
      <c r="BV83" s="217">
        <f t="shared" si="149"/>
        <v>0.0148928483302702</v>
      </c>
      <c r="BW83" s="217">
        <f t="shared" si="150"/>
        <v>0.00597721538296566</v>
      </c>
      <c r="BX83" s="217">
        <f t="shared" si="151"/>
        <v>0</v>
      </c>
      <c r="BY83" s="217">
        <f t="shared" si="152"/>
        <v>0.0430491770649793</v>
      </c>
      <c r="BZ83" s="217">
        <f t="shared" si="166"/>
        <v>0.0311173991239162</v>
      </c>
      <c r="CA83" s="225">
        <f t="shared" si="153"/>
        <v>0.00959750438463719</v>
      </c>
      <c r="CB83" s="220">
        <f t="shared" si="167"/>
        <v>52.6466814496165</v>
      </c>
      <c r="CC83" s="5">
        <f t="shared" si="168"/>
        <v>0.824967965286492</v>
      </c>
      <c r="CD83" s="192">
        <f t="shared" si="169"/>
        <v>4.09551761642662</v>
      </c>
      <c r="CE83" s="5">
        <f t="shared" si="170"/>
        <v>0.832340131560903</v>
      </c>
      <c r="CF83" s="192">
        <f t="shared" si="171"/>
        <v>83.2340131560903</v>
      </c>
      <c r="CG83">
        <f t="shared" si="172"/>
        <v>78</v>
      </c>
      <c r="CI83" s="227">
        <f t="shared" si="154"/>
        <v>-50</v>
      </c>
      <c r="CJ83">
        <f t="shared" si="155"/>
        <v>-50</v>
      </c>
    </row>
    <row r="84" spans="5:88">
      <c r="E84" s="22">
        <v>79</v>
      </c>
      <c r="F84" s="25">
        <f t="shared" si="173"/>
        <v>0.395</v>
      </c>
      <c r="G84" s="25">
        <f t="shared" si="156"/>
        <v>0.316</v>
      </c>
      <c r="H84" s="25">
        <f t="shared" si="105"/>
        <v>7.11</v>
      </c>
      <c r="I84" s="25">
        <f t="shared" si="174"/>
        <v>1.58</v>
      </c>
      <c r="J84" s="212">
        <f t="shared" si="106"/>
        <v>12</v>
      </c>
      <c r="K84" s="131">
        <f t="shared" si="107"/>
        <v>5.92511812460506</v>
      </c>
      <c r="L84" s="131">
        <f t="shared" si="108"/>
        <v>24.2728</v>
      </c>
      <c r="M84" s="131"/>
      <c r="N84" s="25">
        <f t="shared" si="109"/>
        <v>0.505619458818101</v>
      </c>
      <c r="O84" s="27">
        <f t="shared" si="157"/>
        <v>3.3508780498036</v>
      </c>
      <c r="P84" s="27">
        <f t="shared" si="110"/>
        <v>0.744639566623021</v>
      </c>
      <c r="Q84" s="25">
        <f t="shared" si="111"/>
        <v>0.186159891655755</v>
      </c>
      <c r="R84" s="25">
        <f t="shared" si="112"/>
        <v>0.670175609960719</v>
      </c>
      <c r="S84" s="131">
        <f t="shared" si="113"/>
        <v>8.48323556912303</v>
      </c>
      <c r="T84" s="25">
        <f t="shared" si="114"/>
        <v>1.5</v>
      </c>
      <c r="U84" s="25">
        <f t="shared" si="115"/>
        <v>3.125</v>
      </c>
      <c r="V84" s="25">
        <f t="shared" si="116"/>
        <v>6.32898774528644</v>
      </c>
      <c r="W84" s="24">
        <f t="shared" si="117"/>
        <v>350</v>
      </c>
      <c r="X84" s="131">
        <f t="shared" si="158"/>
        <v>105.775470303373</v>
      </c>
      <c r="Z84" s="25">
        <f t="shared" si="118"/>
        <v>0.453323444157314</v>
      </c>
      <c r="AA84" s="5">
        <f t="shared" si="119"/>
        <v>1.91271901514845</v>
      </c>
      <c r="AB84" s="5">
        <f t="shared" si="120"/>
        <v>0.0828081461300013</v>
      </c>
      <c r="AC84" s="5"/>
      <c r="AD84" s="5">
        <f t="shared" si="121"/>
        <v>1.26579754905729</v>
      </c>
      <c r="AE84" s="216">
        <f t="shared" si="122"/>
        <v>3812.11442447798</v>
      </c>
      <c r="AF84" s="217">
        <f t="shared" si="123"/>
        <v>0.0362659628242748</v>
      </c>
      <c r="AH84" s="5">
        <f t="shared" si="124"/>
        <v>1.40935648942548</v>
      </c>
      <c r="AI84" s="5">
        <f t="shared" si="125"/>
        <v>1.5</v>
      </c>
      <c r="AJ84" s="5">
        <f t="shared" si="126"/>
        <v>2.08888888888889</v>
      </c>
      <c r="AL84" s="216">
        <f t="shared" si="127"/>
        <v>395</v>
      </c>
      <c r="AM84" s="220">
        <f t="shared" si="128"/>
        <v>105.775470303373</v>
      </c>
      <c r="AO84" t="str">
        <f t="shared" si="159"/>
        <v/>
      </c>
      <c r="AP84" t="str">
        <f t="shared" si="129"/>
        <v/>
      </c>
      <c r="AR84" s="192">
        <f t="shared" si="160"/>
        <v>9.45398774528644</v>
      </c>
      <c r="AS84" s="192">
        <f t="shared" si="130"/>
        <v>3.125</v>
      </c>
      <c r="AT84" s="192">
        <f t="shared" si="161"/>
        <v>6.32898774528644</v>
      </c>
      <c r="AU84" s="5">
        <f t="shared" si="162"/>
        <v>0.330548344698041</v>
      </c>
      <c r="AW84" s="192">
        <f t="shared" si="131"/>
        <v>20.1076373742966</v>
      </c>
      <c r="AX84" s="192">
        <f t="shared" si="132"/>
        <v>103.860080334261</v>
      </c>
      <c r="AY84" s="192">
        <f t="shared" si="133"/>
        <v>14.3647440975709</v>
      </c>
      <c r="AZ84" s="192">
        <f t="shared" si="134"/>
        <v>45.4571839564699</v>
      </c>
      <c r="BA84" s="192">
        <f t="shared" si="135"/>
        <v>8.48748510903382</v>
      </c>
      <c r="BB84" s="220">
        <f t="shared" si="136"/>
        <v>25.1380889721267</v>
      </c>
      <c r="BC84" s="192"/>
      <c r="BD84" s="5">
        <f t="shared" si="163"/>
        <v>0.49790687736115</v>
      </c>
      <c r="BE84" s="5">
        <f t="shared" si="137"/>
        <v>0.386692634327763</v>
      </c>
      <c r="BF84" s="5">
        <f t="shared" si="138"/>
        <v>0.292804299244067</v>
      </c>
      <c r="BG84" s="5"/>
      <c r="BH84" s="217">
        <f t="shared" si="139"/>
        <v>0.0867689404832358</v>
      </c>
      <c r="BI84" s="217">
        <f t="shared" si="140"/>
        <v>0.0192560012668479</v>
      </c>
      <c r="BJ84" s="217">
        <f t="shared" si="141"/>
        <v>0.00132219337879216</v>
      </c>
      <c r="BK84" s="217">
        <f t="shared" si="142"/>
        <v>0.00311598045033297</v>
      </c>
      <c r="BL84">
        <f t="shared" si="143"/>
        <v>0.00348</v>
      </c>
      <c r="BM84">
        <f t="shared" si="144"/>
        <v>1.85107073030903e-6</v>
      </c>
      <c r="BN84">
        <f t="shared" si="145"/>
        <v>0.158788776525111</v>
      </c>
      <c r="BO84" s="220">
        <f t="shared" si="164"/>
        <v>158.788776525111</v>
      </c>
      <c r="BP84" s="5">
        <f t="shared" si="146"/>
        <v>0.355693643799474</v>
      </c>
      <c r="BQ84" s="5">
        <f t="shared" si="147"/>
        <v>0.263049636650494</v>
      </c>
      <c r="BR84" s="217"/>
      <c r="BT84" s="220">
        <f t="shared" si="165"/>
        <v>618.743280449968</v>
      </c>
      <c r="BU84" s="217">
        <f t="shared" si="148"/>
        <v>0.0101643615994648</v>
      </c>
      <c r="BV84" s="217">
        <f t="shared" si="149"/>
        <v>0.0149531193443345</v>
      </c>
      <c r="BW84" s="217">
        <f t="shared" si="150"/>
        <v>0.00600140503590664</v>
      </c>
      <c r="BX84" s="217">
        <f t="shared" si="151"/>
        <v>0</v>
      </c>
      <c r="BY84" s="217">
        <f t="shared" si="152"/>
        <v>0.043051239180261</v>
      </c>
      <c r="BZ84" s="217">
        <f t="shared" si="166"/>
        <v>0.0311188859797059</v>
      </c>
      <c r="CA84" s="225">
        <f t="shared" si="153"/>
        <v>0.00951979232730359</v>
      </c>
      <c r="CB84" s="220">
        <f t="shared" si="167"/>
        <v>52.5710315075646</v>
      </c>
      <c r="CC84" s="5">
        <f t="shared" si="168"/>
        <v>0.830103088482644</v>
      </c>
      <c r="CD84" s="192">
        <f t="shared" si="169"/>
        <v>4.09551761642662</v>
      </c>
      <c r="CE84" s="5">
        <f t="shared" si="170"/>
        <v>0.831472389326426</v>
      </c>
      <c r="CF84" s="192">
        <f t="shared" si="171"/>
        <v>83.1472389326426</v>
      </c>
      <c r="CG84">
        <f t="shared" si="172"/>
        <v>79</v>
      </c>
      <c r="CI84" s="227">
        <f t="shared" si="154"/>
        <v>-50</v>
      </c>
      <c r="CJ84">
        <f t="shared" si="155"/>
        <v>-50</v>
      </c>
    </row>
    <row r="85" spans="5:88">
      <c r="E85" s="22">
        <v>80</v>
      </c>
      <c r="F85" s="25">
        <f t="shared" si="173"/>
        <v>0.4</v>
      </c>
      <c r="G85" s="25">
        <f t="shared" si="156"/>
        <v>0.32</v>
      </c>
      <c r="H85" s="25">
        <f t="shared" si="105"/>
        <v>7.2</v>
      </c>
      <c r="I85" s="25">
        <f t="shared" si="174"/>
        <v>1.6</v>
      </c>
      <c r="J85" s="212">
        <f t="shared" si="106"/>
        <v>12</v>
      </c>
      <c r="K85" s="131">
        <f t="shared" si="107"/>
        <v>5.8543891480475</v>
      </c>
      <c r="L85" s="131">
        <f t="shared" si="108"/>
        <v>24.2728</v>
      </c>
      <c r="M85" s="131"/>
      <c r="N85" s="25">
        <f t="shared" si="109"/>
        <v>0.505619458818101</v>
      </c>
      <c r="O85" s="27">
        <f t="shared" si="157"/>
        <v>3.3508780498036</v>
      </c>
      <c r="P85" s="27">
        <f t="shared" si="110"/>
        <v>0.744639566623021</v>
      </c>
      <c r="Q85" s="25">
        <f t="shared" si="111"/>
        <v>0.186159891655755</v>
      </c>
      <c r="R85" s="25">
        <f t="shared" si="112"/>
        <v>0.670175609960719</v>
      </c>
      <c r="S85" s="131">
        <f t="shared" si="113"/>
        <v>8.37719512450899</v>
      </c>
      <c r="T85" s="25">
        <f t="shared" si="114"/>
        <v>1.5</v>
      </c>
      <c r="U85" s="25">
        <f t="shared" si="115"/>
        <v>3.125</v>
      </c>
      <c r="V85" s="25">
        <f t="shared" si="116"/>
        <v>6.40545051784039</v>
      </c>
      <c r="W85" s="24">
        <f t="shared" si="117"/>
        <v>350</v>
      </c>
      <c r="X85" s="131">
        <f t="shared" si="158"/>
        <v>104.92683405974</v>
      </c>
      <c r="Z85" s="25">
        <f t="shared" si="118"/>
        <v>0.449686431684599</v>
      </c>
      <c r="AA85" s="5">
        <f t="shared" si="119"/>
        <v>1.92029612446661</v>
      </c>
      <c r="AB85" s="5">
        <f t="shared" si="120"/>
        <v>0.0824691837656733</v>
      </c>
      <c r="AC85" s="5"/>
      <c r="AD85" s="5">
        <f t="shared" si="121"/>
        <v>1.28109010356808</v>
      </c>
      <c r="AE85" s="216">
        <f t="shared" si="122"/>
        <v>3814.28726398416</v>
      </c>
      <c r="AF85" s="217">
        <f t="shared" si="123"/>
        <v>0.0367041049377506</v>
      </c>
      <c r="AH85" s="5">
        <f t="shared" si="124"/>
        <v>1.41824841668467</v>
      </c>
      <c r="AI85" s="5">
        <f t="shared" si="125"/>
        <v>1.5</v>
      </c>
      <c r="AJ85" s="5">
        <f t="shared" si="126"/>
        <v>2.08888888888889</v>
      </c>
      <c r="AL85" s="216">
        <f t="shared" si="127"/>
        <v>400</v>
      </c>
      <c r="AM85" s="220">
        <f t="shared" si="128"/>
        <v>104.92683405974</v>
      </c>
      <c r="AO85" t="str">
        <f t="shared" si="159"/>
        <v/>
      </c>
      <c r="AP85" t="str">
        <f t="shared" si="129"/>
        <v/>
      </c>
      <c r="AR85" s="192">
        <f t="shared" si="160"/>
        <v>9.53045051784039</v>
      </c>
      <c r="AS85" s="192">
        <f t="shared" si="130"/>
        <v>3.125</v>
      </c>
      <c r="AT85" s="192">
        <f t="shared" si="161"/>
        <v>6.40545051784039</v>
      </c>
      <c r="AU85" s="5">
        <f t="shared" si="162"/>
        <v>0.327896356436687</v>
      </c>
      <c r="AW85" s="192">
        <f t="shared" si="131"/>
        <v>20.1076373742966</v>
      </c>
      <c r="AX85" s="192">
        <f t="shared" si="132"/>
        <v>106.490901159953</v>
      </c>
      <c r="AY85" s="192">
        <f t="shared" si="133"/>
        <v>14.3647440975709</v>
      </c>
      <c r="AZ85" s="192">
        <f t="shared" si="134"/>
        <v>46.6071811122268</v>
      </c>
      <c r="BA85" s="192">
        <f t="shared" si="135"/>
        <v>8.69875996249929</v>
      </c>
      <c r="BB85" s="220">
        <f t="shared" si="136"/>
        <v>25.4280469647151</v>
      </c>
      <c r="BC85" s="192"/>
      <c r="BD85" s="5">
        <f t="shared" si="163"/>
        <v>0.495905502417059</v>
      </c>
      <c r="BE85" s="5">
        <f t="shared" si="137"/>
        <v>0.387457805874312</v>
      </c>
      <c r="BF85" s="5">
        <f t="shared" si="138"/>
        <v>0.293383688398656</v>
      </c>
      <c r="BG85" s="5"/>
      <c r="BH85" s="217">
        <f t="shared" si="139"/>
        <v>0.0860727935646303</v>
      </c>
      <c r="BI85" s="217">
        <f t="shared" si="140"/>
        <v>0.0191015104332394</v>
      </c>
      <c r="BJ85" s="217">
        <f t="shared" si="141"/>
        <v>0.00131158542574675</v>
      </c>
      <c r="BK85" s="217">
        <f t="shared" si="142"/>
        <v>0.00309098094962622</v>
      </c>
      <c r="BL85">
        <f t="shared" si="143"/>
        <v>0.00348</v>
      </c>
      <c r="BM85">
        <f t="shared" si="144"/>
        <v>1.83621959604545e-6</v>
      </c>
      <c r="BN85">
        <f t="shared" si="145"/>
        <v>0.157479336976759</v>
      </c>
      <c r="BO85" s="220">
        <f t="shared" si="164"/>
        <v>157.479336976759</v>
      </c>
      <c r="BP85" s="5">
        <f t="shared" si="146"/>
        <v>0.359370899498315</v>
      </c>
      <c r="BQ85" s="5">
        <f t="shared" si="147"/>
        <v>0.265906249477805</v>
      </c>
      <c r="BR85" s="217"/>
      <c r="BT85" s="220">
        <f t="shared" si="165"/>
        <v>625.27714897612</v>
      </c>
      <c r="BU85" s="217">
        <f t="shared" si="148"/>
        <v>0.0100828129604281</v>
      </c>
      <c r="BV85" s="217">
        <f t="shared" si="149"/>
        <v>0.0150123551332936</v>
      </c>
      <c r="BW85" s="217">
        <f t="shared" si="150"/>
        <v>0.00602517920328797</v>
      </c>
      <c r="BX85" s="217">
        <f t="shared" si="151"/>
        <v>0</v>
      </c>
      <c r="BY85" s="217">
        <f t="shared" si="152"/>
        <v>0.0430532658767819</v>
      </c>
      <c r="BZ85" s="217">
        <f t="shared" si="166"/>
        <v>0.0311203472970097</v>
      </c>
      <c r="CA85" s="225">
        <f t="shared" si="153"/>
        <v>0.00944341506537659</v>
      </c>
      <c r="CB85" s="220">
        <f t="shared" si="167"/>
        <v>52.4966809421585</v>
      </c>
      <c r="CC85" s="5">
        <f t="shared" si="168"/>
        <v>0.835253166895038</v>
      </c>
      <c r="CD85" s="192">
        <f t="shared" si="169"/>
        <v>4.09551761642662</v>
      </c>
      <c r="CE85" s="5">
        <f t="shared" si="170"/>
        <v>0.83060393524674</v>
      </c>
      <c r="CF85" s="192">
        <f t="shared" si="171"/>
        <v>83.060393524674</v>
      </c>
      <c r="CG85">
        <f t="shared" si="172"/>
        <v>80</v>
      </c>
      <c r="CI85" s="227">
        <f t="shared" si="154"/>
        <v>-50</v>
      </c>
      <c r="CJ85">
        <f t="shared" si="155"/>
        <v>-50</v>
      </c>
    </row>
    <row r="86" spans="5:88">
      <c r="E86" s="22">
        <v>81</v>
      </c>
      <c r="F86" s="25">
        <f t="shared" si="173"/>
        <v>0.405</v>
      </c>
      <c r="G86" s="25">
        <f t="shared" si="156"/>
        <v>0.324</v>
      </c>
      <c r="H86" s="25">
        <f t="shared" si="105"/>
        <v>7.29</v>
      </c>
      <c r="I86" s="25">
        <f t="shared" si="174"/>
        <v>1.62</v>
      </c>
      <c r="J86" s="212">
        <f t="shared" si="106"/>
        <v>12</v>
      </c>
      <c r="K86" s="131">
        <f t="shared" si="107"/>
        <v>5.78540656597284</v>
      </c>
      <c r="L86" s="131">
        <f t="shared" si="108"/>
        <v>24.2728</v>
      </c>
      <c r="M86" s="131"/>
      <c r="N86" s="25">
        <f t="shared" si="109"/>
        <v>0.505619458818101</v>
      </c>
      <c r="O86" s="27">
        <f t="shared" si="157"/>
        <v>3.3508780498036</v>
      </c>
      <c r="P86" s="27">
        <f t="shared" si="110"/>
        <v>0.744639566623021</v>
      </c>
      <c r="Q86" s="25">
        <f t="shared" si="111"/>
        <v>0.186159891655755</v>
      </c>
      <c r="R86" s="25">
        <f t="shared" si="112"/>
        <v>0.670175609960719</v>
      </c>
      <c r="S86" s="131">
        <f t="shared" si="113"/>
        <v>8.27377296247801</v>
      </c>
      <c r="T86" s="25">
        <f t="shared" si="114"/>
        <v>1.5</v>
      </c>
      <c r="U86" s="25">
        <f t="shared" si="115"/>
        <v>3.125</v>
      </c>
      <c r="V86" s="25">
        <f t="shared" si="116"/>
        <v>6.48182622472172</v>
      </c>
      <c r="W86" s="24">
        <f t="shared" si="117"/>
        <v>350</v>
      </c>
      <c r="X86" s="131">
        <f t="shared" si="158"/>
        <v>104.092650018656</v>
      </c>
      <c r="Z86" s="25">
        <f t="shared" si="118"/>
        <v>0.446111357222809</v>
      </c>
      <c r="AA86" s="5">
        <f t="shared" si="119"/>
        <v>1.927744196262</v>
      </c>
      <c r="AB86" s="5">
        <f t="shared" si="120"/>
        <v>0.0821308638878054</v>
      </c>
      <c r="AC86" s="5"/>
      <c r="AD86" s="5">
        <f t="shared" si="121"/>
        <v>1.29636524494434</v>
      </c>
      <c r="AE86" s="216">
        <f t="shared" si="122"/>
        <v>3816.46010349033</v>
      </c>
      <c r="AF86" s="217">
        <f t="shared" si="123"/>
        <v>0.0371417481530498</v>
      </c>
      <c r="AH86" s="5">
        <f t="shared" si="124"/>
        <v>1.42708494090977</v>
      </c>
      <c r="AI86" s="5">
        <f t="shared" si="125"/>
        <v>1.5</v>
      </c>
      <c r="AJ86" s="5">
        <f t="shared" si="126"/>
        <v>2.08888888888889</v>
      </c>
      <c r="AL86" s="216">
        <f t="shared" si="127"/>
        <v>405</v>
      </c>
      <c r="AM86" s="220">
        <f t="shared" si="128"/>
        <v>104.092650018656</v>
      </c>
      <c r="AO86" t="str">
        <f t="shared" si="159"/>
        <v/>
      </c>
      <c r="AP86" t="str">
        <f t="shared" si="129"/>
        <v/>
      </c>
      <c r="AR86" s="192">
        <f t="shared" si="160"/>
        <v>9.60682622472172</v>
      </c>
      <c r="AS86" s="192">
        <f t="shared" si="130"/>
        <v>3.125</v>
      </c>
      <c r="AT86" s="192">
        <f t="shared" si="161"/>
        <v>6.48182622472172</v>
      </c>
      <c r="AU86" s="5">
        <f t="shared" si="162"/>
        <v>0.325289531308299</v>
      </c>
      <c r="AW86" s="192">
        <f t="shared" si="131"/>
        <v>20.1076373742966</v>
      </c>
      <c r="AX86" s="192">
        <f t="shared" si="132"/>
        <v>109.154625392258</v>
      </c>
      <c r="AY86" s="192">
        <f t="shared" si="133"/>
        <v>14.3647440975709</v>
      </c>
      <c r="AZ86" s="192">
        <f t="shared" si="134"/>
        <v>47.7715430120812</v>
      </c>
      <c r="BA86" s="192">
        <f t="shared" si="135"/>
        <v>8.91251105899237</v>
      </c>
      <c r="BB86" s="220">
        <f t="shared" si="136"/>
        <v>25.7176747915665</v>
      </c>
      <c r="BC86" s="192"/>
      <c r="BD86" s="5">
        <f t="shared" si="163"/>
        <v>0.493930307311896</v>
      </c>
      <c r="BE86" s="5">
        <f t="shared" si="137"/>
        <v>0.388208476747223</v>
      </c>
      <c r="BF86" s="5">
        <f t="shared" si="138"/>
        <v>0.293952097619296</v>
      </c>
      <c r="BG86" s="5"/>
      <c r="BH86" s="217">
        <f t="shared" si="139"/>
        <v>0.0853885019684284</v>
      </c>
      <c r="BI86" s="217">
        <f t="shared" si="140"/>
        <v>0.0189496505652962</v>
      </c>
      <c r="BJ86" s="217">
        <f t="shared" si="141"/>
        <v>0.00130115812523319</v>
      </c>
      <c r="BK86" s="217">
        <f t="shared" si="142"/>
        <v>0.00306640718827547</v>
      </c>
      <c r="BL86">
        <f t="shared" si="143"/>
        <v>0.00348</v>
      </c>
      <c r="BM86">
        <f t="shared" si="144"/>
        <v>1.82162137532647e-6</v>
      </c>
      <c r="BN86">
        <f t="shared" si="145"/>
        <v>0.156193246958771</v>
      </c>
      <c r="BO86" s="220">
        <f t="shared" si="164"/>
        <v>156.193246958771</v>
      </c>
      <c r="BP86" s="5">
        <f t="shared" si="146"/>
        <v>0.363041753981045</v>
      </c>
      <c r="BQ86" s="5">
        <f t="shared" si="147"/>
        <v>0.268759192140125</v>
      </c>
      <c r="BR86" s="217"/>
      <c r="BT86" s="220">
        <f t="shared" si="165"/>
        <v>631.80094612117</v>
      </c>
      <c r="BU86" s="217">
        <f t="shared" si="148"/>
        <v>0.0100026530877302</v>
      </c>
      <c r="BV86" s="217">
        <f t="shared" si="149"/>
        <v>0.0150705821418399</v>
      </c>
      <c r="BW86" s="217">
        <f t="shared" si="150"/>
        <v>0.00604854849863489</v>
      </c>
      <c r="BX86" s="217">
        <f t="shared" si="151"/>
        <v>0</v>
      </c>
      <c r="BY86" s="217">
        <f t="shared" si="152"/>
        <v>0.0430552580592976</v>
      </c>
      <c r="BZ86" s="217">
        <f t="shared" si="166"/>
        <v>0.031121783728205</v>
      </c>
      <c r="CA86" s="225">
        <f t="shared" si="153"/>
        <v>0.009368338501679</v>
      </c>
      <c r="CB86" s="220">
        <f t="shared" si="167"/>
        <v>52.4235965609765</v>
      </c>
      <c r="CC86" s="5">
        <f t="shared" si="168"/>
        <v>0.840417789640918</v>
      </c>
      <c r="CD86" s="192">
        <f t="shared" si="169"/>
        <v>4.09551761642662</v>
      </c>
      <c r="CE86" s="5">
        <f t="shared" si="170"/>
        <v>0.829734848513652</v>
      </c>
      <c r="CF86" s="192">
        <f t="shared" si="171"/>
        <v>82.9734848513652</v>
      </c>
      <c r="CG86">
        <f t="shared" si="172"/>
        <v>81</v>
      </c>
      <c r="CI86" s="227">
        <f t="shared" si="154"/>
        <v>-50</v>
      </c>
      <c r="CJ86">
        <f t="shared" si="155"/>
        <v>-50</v>
      </c>
    </row>
    <row r="87" spans="5:88">
      <c r="E87" s="22">
        <v>82</v>
      </c>
      <c r="F87" s="25">
        <f t="shared" si="173"/>
        <v>0.41</v>
      </c>
      <c r="G87" s="25">
        <f t="shared" si="156"/>
        <v>0.328</v>
      </c>
      <c r="H87" s="25">
        <f t="shared" si="105"/>
        <v>7.38</v>
      </c>
      <c r="I87" s="25">
        <f t="shared" si="174"/>
        <v>1.64</v>
      </c>
      <c r="J87" s="212">
        <f t="shared" si="106"/>
        <v>12</v>
      </c>
      <c r="K87" s="131">
        <f t="shared" si="107"/>
        <v>5.7181064859</v>
      </c>
      <c r="L87" s="131">
        <f t="shared" si="108"/>
        <v>24.2728</v>
      </c>
      <c r="M87" s="131"/>
      <c r="N87" s="25">
        <f t="shared" si="109"/>
        <v>0.505619458818101</v>
      </c>
      <c r="O87" s="27">
        <f t="shared" si="157"/>
        <v>3.3508780498036</v>
      </c>
      <c r="P87" s="27">
        <f t="shared" si="110"/>
        <v>0.744639566623021</v>
      </c>
      <c r="Q87" s="25">
        <f t="shared" si="111"/>
        <v>0.186159891655755</v>
      </c>
      <c r="R87" s="25">
        <f t="shared" si="112"/>
        <v>0.670175609960719</v>
      </c>
      <c r="S87" s="131">
        <f t="shared" si="113"/>
        <v>8.17287329220389</v>
      </c>
      <c r="T87" s="25">
        <f t="shared" si="114"/>
        <v>1.5</v>
      </c>
      <c r="U87" s="25">
        <f t="shared" si="115"/>
        <v>3.125</v>
      </c>
      <c r="V87" s="25">
        <f t="shared" si="116"/>
        <v>6.55811501455411</v>
      </c>
      <c r="W87" s="24">
        <f t="shared" si="117"/>
        <v>350</v>
      </c>
      <c r="X87" s="131">
        <f t="shared" si="158"/>
        <v>103.272552117471</v>
      </c>
      <c r="Z87" s="25">
        <f t="shared" si="118"/>
        <v>0.442596651932017</v>
      </c>
      <c r="AA87" s="5">
        <f t="shared" si="119"/>
        <v>1.93506649895116</v>
      </c>
      <c r="AB87" s="5">
        <f t="shared" si="120"/>
        <v>0.0817932990647603</v>
      </c>
      <c r="AC87" s="5"/>
      <c r="AD87" s="5">
        <f t="shared" si="121"/>
        <v>1.31162300291082</v>
      </c>
      <c r="AE87" s="216">
        <f t="shared" si="122"/>
        <v>3818.6329429965</v>
      </c>
      <c r="AF87" s="217">
        <f t="shared" si="123"/>
        <v>0.0375788933218061</v>
      </c>
      <c r="AH87" s="5">
        <f t="shared" si="124"/>
        <v>1.43586708497489</v>
      </c>
      <c r="AI87" s="5">
        <f t="shared" si="125"/>
        <v>1.5</v>
      </c>
      <c r="AJ87" s="5">
        <f t="shared" si="126"/>
        <v>2.08888888888889</v>
      </c>
      <c r="AL87" s="216">
        <f t="shared" si="127"/>
        <v>410</v>
      </c>
      <c r="AM87" s="220">
        <f t="shared" si="128"/>
        <v>103.272552117471</v>
      </c>
      <c r="AO87" t="str">
        <f t="shared" si="159"/>
        <v/>
      </c>
      <c r="AP87" t="str">
        <f t="shared" si="129"/>
        <v/>
      </c>
      <c r="AR87" s="192">
        <f t="shared" si="160"/>
        <v>9.6831150145541</v>
      </c>
      <c r="AS87" s="192">
        <f t="shared" si="130"/>
        <v>3.125</v>
      </c>
      <c r="AT87" s="192">
        <f t="shared" si="161"/>
        <v>6.5581150145541</v>
      </c>
      <c r="AU87" s="5">
        <f t="shared" si="162"/>
        <v>0.322726725367095</v>
      </c>
      <c r="AW87" s="192">
        <f t="shared" si="131"/>
        <v>20.1076373742966</v>
      </c>
      <c r="AX87" s="192">
        <f t="shared" si="132"/>
        <v>111.851253031176</v>
      </c>
      <c r="AY87" s="192">
        <f t="shared" si="133"/>
        <v>14.3647440975709</v>
      </c>
      <c r="AZ87" s="192">
        <f t="shared" si="134"/>
        <v>48.9502696560332</v>
      </c>
      <c r="BA87" s="192">
        <f t="shared" si="135"/>
        <v>9.12873417149352</v>
      </c>
      <c r="BB87" s="220">
        <f t="shared" si="136"/>
        <v>26.0069730162836</v>
      </c>
      <c r="BC87" s="192"/>
      <c r="BD87" s="5">
        <f t="shared" si="163"/>
        <v>0.491980735420932</v>
      </c>
      <c r="BE87" s="5">
        <f t="shared" si="137"/>
        <v>0.388945059379454</v>
      </c>
      <c r="BF87" s="5">
        <f t="shared" si="138"/>
        <v>0.294509839200903</v>
      </c>
      <c r="BG87" s="5"/>
      <c r="BH87" s="217">
        <f t="shared" si="139"/>
        <v>0.0847157654088625</v>
      </c>
      <c r="BI87" s="217">
        <f t="shared" si="140"/>
        <v>0.018800355022777</v>
      </c>
      <c r="BJ87" s="217">
        <f t="shared" si="141"/>
        <v>0.00129090690146838</v>
      </c>
      <c r="BK87" s="217">
        <f t="shared" si="142"/>
        <v>0.00304224838264575</v>
      </c>
      <c r="BL87">
        <f t="shared" si="143"/>
        <v>0.00348</v>
      </c>
      <c r="BM87">
        <f t="shared" si="144"/>
        <v>1.80726966205573e-6</v>
      </c>
      <c r="BN87">
        <f t="shared" si="145"/>
        <v>0.154929887447611</v>
      </c>
      <c r="BO87" s="220">
        <f t="shared" si="164"/>
        <v>154.929887447611</v>
      </c>
      <c r="BP87" s="5">
        <f t="shared" si="146"/>
        <v>0.366706369385314</v>
      </c>
      <c r="BQ87" s="5">
        <f t="shared" si="147"/>
        <v>0.271608557599776</v>
      </c>
      <c r="BR87" s="217"/>
      <c r="BT87" s="220">
        <f t="shared" si="165"/>
        <v>638.314926985091</v>
      </c>
      <c r="BU87" s="217">
        <f t="shared" si="148"/>
        <v>0.00992384680503818</v>
      </c>
      <c r="BV87" s="217">
        <f t="shared" si="149"/>
        <v>0.0151278259215687</v>
      </c>
      <c r="BW87" s="217">
        <f t="shared" si="150"/>
        <v>0.00607152317702993</v>
      </c>
      <c r="BX87" s="217">
        <f t="shared" si="151"/>
        <v>0</v>
      </c>
      <c r="BY87" s="217">
        <f t="shared" si="152"/>
        <v>0.0430572166020084</v>
      </c>
      <c r="BZ87" s="217">
        <f t="shared" si="166"/>
        <v>0.0311231959036368</v>
      </c>
      <c r="CA87" s="225">
        <f t="shared" si="153"/>
        <v>0.00929452969057235</v>
      </c>
      <c r="CB87" s="220">
        <f t="shared" si="167"/>
        <v>52.3517462925807</v>
      </c>
      <c r="CC87" s="5">
        <f t="shared" si="168"/>
        <v>0.845596560725282</v>
      </c>
      <c r="CD87" s="192">
        <f t="shared" si="169"/>
        <v>4.09551761642662</v>
      </c>
      <c r="CE87" s="5">
        <f t="shared" si="170"/>
        <v>0.828865205213151</v>
      </c>
      <c r="CF87" s="192">
        <f t="shared" si="171"/>
        <v>82.8865205213151</v>
      </c>
      <c r="CG87">
        <f t="shared" si="172"/>
        <v>82</v>
      </c>
      <c r="CI87" s="227">
        <f t="shared" si="154"/>
        <v>-50</v>
      </c>
      <c r="CJ87">
        <f t="shared" si="155"/>
        <v>-50</v>
      </c>
    </row>
    <row r="88" spans="5:88">
      <c r="E88" s="22">
        <v>83</v>
      </c>
      <c r="F88" s="25">
        <f t="shared" si="173"/>
        <v>0.415</v>
      </c>
      <c r="G88" s="25">
        <f t="shared" si="156"/>
        <v>0.332</v>
      </c>
      <c r="H88" s="25">
        <f t="shared" si="105"/>
        <v>7.47</v>
      </c>
      <c r="I88" s="25">
        <f t="shared" si="174"/>
        <v>1.66</v>
      </c>
      <c r="J88" s="212">
        <f t="shared" si="106"/>
        <v>12</v>
      </c>
      <c r="K88" s="131">
        <f t="shared" si="107"/>
        <v>5.65242809450361</v>
      </c>
      <c r="L88" s="131">
        <f t="shared" si="108"/>
        <v>24.2728</v>
      </c>
      <c r="M88" s="131"/>
      <c r="N88" s="25">
        <f t="shared" si="109"/>
        <v>0.505619458818101</v>
      </c>
      <c r="O88" s="27">
        <f t="shared" si="157"/>
        <v>3.3508780498036</v>
      </c>
      <c r="P88" s="27">
        <f t="shared" si="110"/>
        <v>0.744639566623021</v>
      </c>
      <c r="Q88" s="25">
        <f t="shared" si="111"/>
        <v>0.186159891655755</v>
      </c>
      <c r="R88" s="25">
        <f t="shared" si="112"/>
        <v>0.670175609960719</v>
      </c>
      <c r="S88" s="131">
        <f t="shared" si="113"/>
        <v>8.07440493928577</v>
      </c>
      <c r="T88" s="25">
        <f t="shared" si="114"/>
        <v>1.5</v>
      </c>
      <c r="U88" s="25">
        <f t="shared" si="115"/>
        <v>3.125</v>
      </c>
      <c r="V88" s="25">
        <f t="shared" si="116"/>
        <v>6.63431703562312</v>
      </c>
      <c r="W88" s="24">
        <f t="shared" si="117"/>
        <v>350</v>
      </c>
      <c r="X88" s="131">
        <f t="shared" si="158"/>
        <v>102.466186552792</v>
      </c>
      <c r="Z88" s="25">
        <f t="shared" si="118"/>
        <v>0.439140799511966</v>
      </c>
      <c r="AA88" s="5">
        <f t="shared" si="119"/>
        <v>1.94226619149293</v>
      </c>
      <c r="AB88" s="5">
        <f t="shared" si="120"/>
        <v>0.0814565938163121</v>
      </c>
      <c r="AC88" s="5"/>
      <c r="AD88" s="5">
        <f t="shared" si="121"/>
        <v>1.32686340712462</v>
      </c>
      <c r="AE88" s="216">
        <f t="shared" si="122"/>
        <v>3820.80578250267</v>
      </c>
      <c r="AF88" s="217">
        <f t="shared" si="123"/>
        <v>0.0380155412937162</v>
      </c>
      <c r="AH88" s="5">
        <f t="shared" si="124"/>
        <v>1.44459584066172</v>
      </c>
      <c r="AI88" s="5">
        <f t="shared" si="125"/>
        <v>1.5</v>
      </c>
      <c r="AJ88" s="5">
        <f t="shared" si="126"/>
        <v>2.08888888888889</v>
      </c>
      <c r="AL88" s="216">
        <f t="shared" si="127"/>
        <v>415</v>
      </c>
      <c r="AM88" s="220">
        <f t="shared" si="128"/>
        <v>102.466186552792</v>
      </c>
      <c r="AO88" t="str">
        <f t="shared" si="159"/>
        <v/>
      </c>
      <c r="AP88" t="str">
        <f t="shared" si="129"/>
        <v/>
      </c>
      <c r="AR88" s="192">
        <f t="shared" si="160"/>
        <v>9.75931703562312</v>
      </c>
      <c r="AS88" s="192">
        <f t="shared" si="130"/>
        <v>3.125</v>
      </c>
      <c r="AT88" s="192">
        <f t="shared" si="161"/>
        <v>6.63431703562312</v>
      </c>
      <c r="AU88" s="5">
        <f t="shared" si="162"/>
        <v>0.320206832977475</v>
      </c>
      <c r="AW88" s="192">
        <f t="shared" si="131"/>
        <v>20.1076373742966</v>
      </c>
      <c r="AX88" s="192">
        <f t="shared" si="132"/>
        <v>114.580784076706</v>
      </c>
      <c r="AY88" s="192">
        <f t="shared" si="133"/>
        <v>14.3647440975709</v>
      </c>
      <c r="AZ88" s="192">
        <f t="shared" si="134"/>
        <v>50.1433610440828</v>
      </c>
      <c r="BA88" s="192">
        <f t="shared" si="135"/>
        <v>9.34742508259862</v>
      </c>
      <c r="BB88" s="220">
        <f t="shared" si="136"/>
        <v>26.2959422011868</v>
      </c>
      <c r="BC88" s="192"/>
      <c r="BD88" s="5">
        <f t="shared" si="163"/>
        <v>0.490056246499426</v>
      </c>
      <c r="BE88" s="5">
        <f t="shared" si="137"/>
        <v>0.389667950547194</v>
      </c>
      <c r="BF88" s="5">
        <f t="shared" si="138"/>
        <v>0.29505721358306</v>
      </c>
      <c r="BG88" s="5"/>
      <c r="BH88" s="217">
        <f t="shared" si="139"/>
        <v>0.0840542936565872</v>
      </c>
      <c r="BI88" s="217">
        <f t="shared" si="140"/>
        <v>0.0186535593971896</v>
      </c>
      <c r="BJ88" s="217">
        <f t="shared" si="141"/>
        <v>0.0012808273319099</v>
      </c>
      <c r="BK88" s="217">
        <f t="shared" si="142"/>
        <v>0.00301849411024069</v>
      </c>
      <c r="BL88">
        <f t="shared" si="143"/>
        <v>0.00348</v>
      </c>
      <c r="BM88">
        <f t="shared" si="144"/>
        <v>1.79315826467386e-6</v>
      </c>
      <c r="BN88">
        <f t="shared" si="145"/>
        <v>0.153688661109461</v>
      </c>
      <c r="BO88" s="220">
        <f t="shared" si="164"/>
        <v>153.688661109461</v>
      </c>
      <c r="BP88" s="5">
        <f t="shared" si="146"/>
        <v>0.37036490241886</v>
      </c>
      <c r="BQ88" s="5">
        <f t="shared" si="147"/>
        <v>0.274454435705819</v>
      </c>
      <c r="BR88" s="217"/>
      <c r="BT88" s="220">
        <f t="shared" si="165"/>
        <v>644.819338124679</v>
      </c>
      <c r="BU88" s="217">
        <f t="shared" si="148"/>
        <v>0.00984636011405736</v>
      </c>
      <c r="BV88" s="217">
        <f t="shared" si="149"/>
        <v>0.015184111168365</v>
      </c>
      <c r="BW88" s="217">
        <f t="shared" si="150"/>
        <v>0.00609411315011796</v>
      </c>
      <c r="BX88" s="217">
        <f t="shared" si="151"/>
        <v>0</v>
      </c>
      <c r="BY88" s="217">
        <f t="shared" si="152"/>
        <v>0.0430591423498385</v>
      </c>
      <c r="BZ88" s="217">
        <f t="shared" si="166"/>
        <v>0.0311245844325403</v>
      </c>
      <c r="CA88" s="225">
        <f t="shared" si="153"/>
        <v>0.00922195678975129</v>
      </c>
      <c r="CB88" s="220">
        <f t="shared" si="167"/>
        <v>52.2810991395898</v>
      </c>
      <c r="CC88" s="5">
        <f t="shared" si="168"/>
        <v>0.85078909837373</v>
      </c>
      <c r="CD88" s="192">
        <f t="shared" si="169"/>
        <v>4.09551761642662</v>
      </c>
      <c r="CE88" s="5">
        <f t="shared" si="170"/>
        <v>0.827995078463695</v>
      </c>
      <c r="CF88" s="192">
        <f t="shared" si="171"/>
        <v>82.7995078463696</v>
      </c>
      <c r="CG88">
        <f t="shared" si="172"/>
        <v>83</v>
      </c>
      <c r="CI88" s="227">
        <f t="shared" si="154"/>
        <v>-50</v>
      </c>
      <c r="CJ88">
        <f t="shared" si="155"/>
        <v>-50</v>
      </c>
    </row>
    <row r="89" spans="5:88">
      <c r="E89" s="22">
        <v>84</v>
      </c>
      <c r="F89" s="25">
        <f t="shared" si="173"/>
        <v>0.42</v>
      </c>
      <c r="G89" s="25">
        <f t="shared" si="156"/>
        <v>0.336</v>
      </c>
      <c r="H89" s="25">
        <f t="shared" si="105"/>
        <v>7.56</v>
      </c>
      <c r="I89" s="25">
        <f t="shared" si="174"/>
        <v>1.68</v>
      </c>
      <c r="J89" s="212">
        <f t="shared" si="106"/>
        <v>12</v>
      </c>
      <c r="K89" s="131">
        <f t="shared" si="107"/>
        <v>5.58831347433095</v>
      </c>
      <c r="L89" s="131">
        <f t="shared" si="108"/>
        <v>24.2728</v>
      </c>
      <c r="M89" s="131"/>
      <c r="N89" s="25">
        <f t="shared" si="109"/>
        <v>0.505619458818101</v>
      </c>
      <c r="O89" s="27">
        <f t="shared" si="157"/>
        <v>3.3508780498036</v>
      </c>
      <c r="P89" s="27">
        <f t="shared" si="110"/>
        <v>0.744639566623021</v>
      </c>
      <c r="Q89" s="25">
        <f t="shared" si="111"/>
        <v>0.186159891655755</v>
      </c>
      <c r="R89" s="25">
        <f t="shared" si="112"/>
        <v>0.670175609960719</v>
      </c>
      <c r="S89" s="131">
        <f t="shared" si="113"/>
        <v>7.97828107096094</v>
      </c>
      <c r="T89" s="25">
        <f t="shared" si="114"/>
        <v>1.5</v>
      </c>
      <c r="U89" s="25">
        <f t="shared" si="115"/>
        <v>3.125</v>
      </c>
      <c r="V89" s="25">
        <f t="shared" si="116"/>
        <v>6.7104324358772</v>
      </c>
      <c r="W89" s="24">
        <f t="shared" si="117"/>
        <v>350</v>
      </c>
      <c r="X89" s="131">
        <f t="shared" si="158"/>
        <v>101.67321127155</v>
      </c>
      <c r="Z89" s="25">
        <f t="shared" si="118"/>
        <v>0.435742334020929</v>
      </c>
      <c r="AA89" s="5">
        <f t="shared" si="119"/>
        <v>1.94934632793259</v>
      </c>
      <c r="AB89" s="5">
        <f t="shared" si="120"/>
        <v>0.081120845123931</v>
      </c>
      <c r="AC89" s="5"/>
      <c r="AD89" s="5">
        <f t="shared" si="121"/>
        <v>1.34208648717544</v>
      </c>
      <c r="AE89" s="216">
        <f t="shared" si="122"/>
        <v>3822.97862200885</v>
      </c>
      <c r="AF89" s="217">
        <f t="shared" si="123"/>
        <v>0.0384516929165449</v>
      </c>
      <c r="AH89" s="5">
        <f t="shared" si="124"/>
        <v>1.4532721699668</v>
      </c>
      <c r="AI89" s="5">
        <f t="shared" si="125"/>
        <v>1.5</v>
      </c>
      <c r="AJ89" s="5">
        <f t="shared" si="126"/>
        <v>2.08888888888889</v>
      </c>
      <c r="AL89" s="216">
        <f t="shared" si="127"/>
        <v>420</v>
      </c>
      <c r="AM89" s="220">
        <f t="shared" si="128"/>
        <v>101.67321127155</v>
      </c>
      <c r="AO89" t="str">
        <f t="shared" si="159"/>
        <v/>
      </c>
      <c r="AP89" t="str">
        <f t="shared" si="129"/>
        <v/>
      </c>
      <c r="AR89" s="192">
        <f t="shared" si="160"/>
        <v>9.8354324358772</v>
      </c>
      <c r="AS89" s="192">
        <f t="shared" si="130"/>
        <v>3.125</v>
      </c>
      <c r="AT89" s="192">
        <f t="shared" si="161"/>
        <v>6.7104324358772</v>
      </c>
      <c r="AU89" s="5">
        <f t="shared" si="162"/>
        <v>0.317728785223594</v>
      </c>
      <c r="AW89" s="192">
        <f t="shared" si="131"/>
        <v>20.1076373742966</v>
      </c>
      <c r="AX89" s="192">
        <f t="shared" si="132"/>
        <v>117.343218528848</v>
      </c>
      <c r="AY89" s="192">
        <f t="shared" si="133"/>
        <v>14.3647440975709</v>
      </c>
      <c r="AZ89" s="192">
        <f t="shared" si="134"/>
        <v>51.35081717623</v>
      </c>
      <c r="BA89" s="192">
        <f t="shared" si="135"/>
        <v>9.56857958449156</v>
      </c>
      <c r="BB89" s="220">
        <f t="shared" si="136"/>
        <v>26.5845829073182</v>
      </c>
      <c r="BC89" s="192"/>
      <c r="BD89" s="5">
        <f t="shared" si="163"/>
        <v>0.48815631606863</v>
      </c>
      <c r="BE89" s="5">
        <f t="shared" si="137"/>
        <v>0.390377532113822</v>
      </c>
      <c r="BF89" s="5">
        <f t="shared" si="138"/>
        <v>0.295594509913346</v>
      </c>
      <c r="BG89" s="5"/>
      <c r="BH89" s="217">
        <f t="shared" si="139"/>
        <v>0.0834038061211935</v>
      </c>
      <c r="BI89" s="217">
        <f t="shared" si="140"/>
        <v>0.0185092014191406</v>
      </c>
      <c r="BJ89" s="217">
        <f t="shared" si="141"/>
        <v>0.00127091514089438</v>
      </c>
      <c r="BK89" s="217">
        <f t="shared" si="142"/>
        <v>0.00299513429471011</v>
      </c>
      <c r="BL89">
        <f t="shared" si="143"/>
        <v>0.00348</v>
      </c>
      <c r="BM89">
        <f t="shared" si="144"/>
        <v>1.77928119725213e-6</v>
      </c>
      <c r="BN89">
        <f t="shared" si="145"/>
        <v>0.152468991358497</v>
      </c>
      <c r="BO89" s="220">
        <f t="shared" si="164"/>
        <v>152.468991358497</v>
      </c>
      <c r="BP89" s="5">
        <f t="shared" si="146"/>
        <v>0.374017504584931</v>
      </c>
      <c r="BQ89" s="5">
        <f t="shared" si="147"/>
        <v>0.277296913323298</v>
      </c>
      <c r="BR89" s="217"/>
      <c r="BT89" s="220">
        <f t="shared" si="165"/>
        <v>651.314417908229</v>
      </c>
      <c r="BU89" s="217">
        <f t="shared" si="148"/>
        <v>0.00977016014562553</v>
      </c>
      <c r="BV89" s="217">
        <f t="shared" si="149"/>
        <v>0.0152394617579278</v>
      </c>
      <c r="BW89" s="217">
        <f t="shared" si="150"/>
        <v>0.0061163280003638</v>
      </c>
      <c r="BX89" s="217">
        <f t="shared" si="151"/>
        <v>0</v>
      </c>
      <c r="BY89" s="217">
        <f t="shared" si="152"/>
        <v>0.0430610361196513</v>
      </c>
      <c r="BZ89" s="217">
        <f t="shared" si="166"/>
        <v>0.0311259499039171</v>
      </c>
      <c r="CA89" s="225">
        <f t="shared" si="153"/>
        <v>0.00915058901443952</v>
      </c>
      <c r="CB89" s="220">
        <f t="shared" si="167"/>
        <v>52.2116251340908</v>
      </c>
      <c r="CC89" s="5">
        <f t="shared" si="168"/>
        <v>0.855995034400817</v>
      </c>
      <c r="CD89" s="192">
        <f t="shared" si="169"/>
        <v>4.09551761642662</v>
      </c>
      <c r="CE89" s="5">
        <f t="shared" si="170"/>
        <v>0.827124538547271</v>
      </c>
      <c r="CF89" s="192">
        <f t="shared" si="171"/>
        <v>82.7124538547271</v>
      </c>
      <c r="CG89">
        <f t="shared" si="172"/>
        <v>84</v>
      </c>
      <c r="CI89" s="227">
        <f t="shared" si="154"/>
        <v>-50</v>
      </c>
      <c r="CJ89">
        <f t="shared" si="155"/>
        <v>-50</v>
      </c>
    </row>
    <row r="90" spans="5:88">
      <c r="E90" s="22">
        <v>85</v>
      </c>
      <c r="F90" s="25">
        <f t="shared" si="173"/>
        <v>0.425</v>
      </c>
      <c r="G90" s="25">
        <f t="shared" si="156"/>
        <v>0.34</v>
      </c>
      <c r="H90" s="25">
        <f t="shared" si="105"/>
        <v>7.65</v>
      </c>
      <c r="I90" s="25">
        <f t="shared" si="174"/>
        <v>1.7</v>
      </c>
      <c r="J90" s="212">
        <f t="shared" si="106"/>
        <v>12</v>
      </c>
      <c r="K90" s="131">
        <f t="shared" si="107"/>
        <v>5.52570743345647</v>
      </c>
      <c r="L90" s="131">
        <f t="shared" si="108"/>
        <v>24.2728</v>
      </c>
      <c r="M90" s="131"/>
      <c r="N90" s="25">
        <f t="shared" si="109"/>
        <v>0.505619458818101</v>
      </c>
      <c r="O90" s="27">
        <f t="shared" si="157"/>
        <v>3.3508780498036</v>
      </c>
      <c r="P90" s="27">
        <f t="shared" si="110"/>
        <v>0.744639566623021</v>
      </c>
      <c r="Q90" s="25">
        <f t="shared" si="111"/>
        <v>0.186159891655755</v>
      </c>
      <c r="R90" s="25">
        <f t="shared" si="112"/>
        <v>0.670175609960719</v>
      </c>
      <c r="S90" s="131">
        <f t="shared" si="113"/>
        <v>7.88441894071434</v>
      </c>
      <c r="T90" s="25">
        <f t="shared" si="114"/>
        <v>1.5</v>
      </c>
      <c r="U90" s="25">
        <f t="shared" si="115"/>
        <v>3.125</v>
      </c>
      <c r="V90" s="25">
        <f t="shared" si="116"/>
        <v>6.78646136292866</v>
      </c>
      <c r="W90" s="24">
        <f t="shared" si="117"/>
        <v>350</v>
      </c>
      <c r="X90" s="131">
        <f t="shared" si="158"/>
        <v>100.893295487207</v>
      </c>
      <c r="Z90" s="25">
        <f t="shared" si="118"/>
        <v>0.432399837802317</v>
      </c>
      <c r="AA90" s="5">
        <f t="shared" si="119"/>
        <v>1.95630986172136</v>
      </c>
      <c r="AB90" s="5">
        <f t="shared" si="120"/>
        <v>0.0807861429072257</v>
      </c>
      <c r="AC90" s="5"/>
      <c r="AD90" s="5">
        <f t="shared" si="121"/>
        <v>1.35729227258573</v>
      </c>
      <c r="AE90" s="216">
        <f t="shared" si="122"/>
        <v>3825.15146151502</v>
      </c>
      <c r="AF90" s="217">
        <f t="shared" si="123"/>
        <v>0.0388873490361307</v>
      </c>
      <c r="AH90" s="5">
        <f t="shared" si="124"/>
        <v>1.46189700633897</v>
      </c>
      <c r="AI90" s="5">
        <f t="shared" si="125"/>
        <v>1.5</v>
      </c>
      <c r="AJ90" s="5">
        <f t="shared" si="126"/>
        <v>2.08888888888889</v>
      </c>
      <c r="AL90" s="216">
        <f t="shared" si="127"/>
        <v>425</v>
      </c>
      <c r="AM90" s="220">
        <f t="shared" si="128"/>
        <v>100.893295487207</v>
      </c>
      <c r="AO90" t="str">
        <f t="shared" si="159"/>
        <v/>
      </c>
      <c r="AP90" t="str">
        <f t="shared" si="129"/>
        <v/>
      </c>
      <c r="AR90" s="192">
        <f t="shared" si="160"/>
        <v>9.91146136292866</v>
      </c>
      <c r="AS90" s="192">
        <f t="shared" si="130"/>
        <v>3.125</v>
      </c>
      <c r="AT90" s="192">
        <f t="shared" si="161"/>
        <v>6.78646136292866</v>
      </c>
      <c r="AU90" s="5">
        <f t="shared" si="162"/>
        <v>0.315291548397523</v>
      </c>
      <c r="AW90" s="192">
        <f t="shared" si="131"/>
        <v>20.1076373742966</v>
      </c>
      <c r="AX90" s="192">
        <f t="shared" si="132"/>
        <v>120.138556387603</v>
      </c>
      <c r="AY90" s="192">
        <f t="shared" si="133"/>
        <v>14.3647440975709</v>
      </c>
      <c r="AZ90" s="192">
        <f t="shared" si="134"/>
        <v>52.5726380524748</v>
      </c>
      <c r="BA90" s="192">
        <f t="shared" si="135"/>
        <v>9.79219347891712</v>
      </c>
      <c r="BB90" s="220">
        <f t="shared" si="136"/>
        <v>26.8728956944453</v>
      </c>
      <c r="BC90" s="192"/>
      <c r="BD90" s="5">
        <f t="shared" si="163"/>
        <v>0.48628043482968</v>
      </c>
      <c r="BE90" s="5">
        <f t="shared" si="137"/>
        <v>0.391074171731387</v>
      </c>
      <c r="BF90" s="5">
        <f t="shared" si="138"/>
        <v>0.296122006578498</v>
      </c>
      <c r="BG90" s="5"/>
      <c r="BH90" s="217">
        <f t="shared" si="139"/>
        <v>0.0827640314543498</v>
      </c>
      <c r="BI90" s="217">
        <f t="shared" si="140"/>
        <v>0.0183672208702642</v>
      </c>
      <c r="BJ90" s="217">
        <f t="shared" si="141"/>
        <v>0.00126116619359009</v>
      </c>
      <c r="BK90" s="217">
        <f t="shared" si="142"/>
        <v>0.00297215919159832</v>
      </c>
      <c r="BL90">
        <f t="shared" si="143"/>
        <v>0.00348</v>
      </c>
      <c r="BM90">
        <f t="shared" si="144"/>
        <v>1.76563267102613e-6</v>
      </c>
      <c r="BN90">
        <f t="shared" si="145"/>
        <v>0.151270321463812</v>
      </c>
      <c r="BO90" s="220">
        <f t="shared" si="164"/>
        <v>151.270321463812</v>
      </c>
      <c r="BP90" s="5">
        <f t="shared" si="146"/>
        <v>0.377664322396565</v>
      </c>
      <c r="BQ90" s="5">
        <f t="shared" si="147"/>
        <v>0.280136074456097</v>
      </c>
      <c r="BR90" s="217"/>
      <c r="BT90" s="220">
        <f t="shared" si="165"/>
        <v>657.800396852662</v>
      </c>
      <c r="BU90" s="217">
        <f t="shared" si="148"/>
        <v>0.00969521511322383</v>
      </c>
      <c r="BV90" s="217">
        <f t="shared" si="149"/>
        <v>0.015293900779539</v>
      </c>
      <c r="BW90" s="217">
        <f t="shared" si="150"/>
        <v>0.00613817699460534</v>
      </c>
      <c r="BX90" s="217">
        <f t="shared" si="151"/>
        <v>0</v>
      </c>
      <c r="BY90" s="217">
        <f t="shared" si="152"/>
        <v>0.0430628987014047</v>
      </c>
      <c r="BZ90" s="217">
        <f t="shared" si="166"/>
        <v>0.0311272928873682</v>
      </c>
      <c r="CA90" s="225">
        <f t="shared" si="153"/>
        <v>0.00908039659384866</v>
      </c>
      <c r="CB90" s="220">
        <f t="shared" si="167"/>
        <v>52.1432952952534</v>
      </c>
      <c r="CC90" s="5">
        <f t="shared" si="168"/>
        <v>0.861214013611727</v>
      </c>
      <c r="CD90" s="192">
        <f t="shared" si="169"/>
        <v>4.09551761642662</v>
      </c>
      <c r="CE90" s="5">
        <f t="shared" si="170"/>
        <v>0.826253653033649</v>
      </c>
      <c r="CF90" s="192">
        <f t="shared" si="171"/>
        <v>82.6253653033649</v>
      </c>
      <c r="CG90">
        <f t="shared" si="172"/>
        <v>85</v>
      </c>
      <c r="CI90" s="227">
        <f t="shared" si="154"/>
        <v>-50</v>
      </c>
      <c r="CJ90">
        <f t="shared" si="155"/>
        <v>-50</v>
      </c>
    </row>
    <row r="91" spans="5:88">
      <c r="E91" s="22">
        <v>86</v>
      </c>
      <c r="F91" s="25">
        <f t="shared" si="173"/>
        <v>0.43</v>
      </c>
      <c r="G91" s="25">
        <f t="shared" si="156"/>
        <v>0.344</v>
      </c>
      <c r="H91" s="25">
        <f t="shared" si="105"/>
        <v>7.74</v>
      </c>
      <c r="I91" s="25">
        <f t="shared" si="174"/>
        <v>1.72</v>
      </c>
      <c r="J91" s="212">
        <f t="shared" si="106"/>
        <v>12</v>
      </c>
      <c r="K91" s="131">
        <f t="shared" si="107"/>
        <v>5.46455734702093</v>
      </c>
      <c r="L91" s="131">
        <f t="shared" si="108"/>
        <v>24.2728</v>
      </c>
      <c r="M91" s="131"/>
      <c r="N91" s="25">
        <f t="shared" si="109"/>
        <v>0.505619458818101</v>
      </c>
      <c r="O91" s="27">
        <f t="shared" si="157"/>
        <v>3.3508780498036</v>
      </c>
      <c r="P91" s="27">
        <f t="shared" si="110"/>
        <v>0.744639566623021</v>
      </c>
      <c r="Q91" s="25">
        <f t="shared" si="111"/>
        <v>0.186159891655755</v>
      </c>
      <c r="R91" s="25">
        <f t="shared" si="112"/>
        <v>0.670175609960719</v>
      </c>
      <c r="S91" s="131">
        <f t="shared" si="113"/>
        <v>7.79273965070604</v>
      </c>
      <c r="T91" s="25">
        <f t="shared" si="114"/>
        <v>1.5</v>
      </c>
      <c r="U91" s="25">
        <f t="shared" si="115"/>
        <v>3.125</v>
      </c>
      <c r="V91" s="25">
        <f t="shared" si="116"/>
        <v>6.86240396405458</v>
      </c>
      <c r="W91" s="24">
        <f t="shared" si="117"/>
        <v>350</v>
      </c>
      <c r="X91" s="131">
        <f t="shared" si="158"/>
        <v>100.126119219677</v>
      </c>
      <c r="Z91" s="25">
        <f t="shared" si="118"/>
        <v>0.4291119395129</v>
      </c>
      <c r="AA91" s="5">
        <f t="shared" si="119"/>
        <v>1.96315964982432</v>
      </c>
      <c r="AB91" s="5">
        <f t="shared" si="120"/>
        <v>0.0804525704689668</v>
      </c>
      <c r="AC91" s="5"/>
      <c r="AD91" s="5">
        <f t="shared" si="121"/>
        <v>1.37248079281092</v>
      </c>
      <c r="AE91" s="216">
        <f t="shared" si="122"/>
        <v>3827.32430102119</v>
      </c>
      <c r="AF91" s="217">
        <f t="shared" si="123"/>
        <v>0.0393225104963915</v>
      </c>
      <c r="AH91" s="5">
        <f t="shared" si="124"/>
        <v>1.47047125585158</v>
      </c>
      <c r="AI91" s="5">
        <f t="shared" si="125"/>
        <v>1.5</v>
      </c>
      <c r="AJ91" s="5">
        <f t="shared" si="126"/>
        <v>2.08888888888889</v>
      </c>
      <c r="AL91" s="216">
        <f t="shared" si="127"/>
        <v>430</v>
      </c>
      <c r="AM91" s="220">
        <f t="shared" si="128"/>
        <v>100.126119219677</v>
      </c>
      <c r="AO91" t="str">
        <f t="shared" si="159"/>
        <v/>
      </c>
      <c r="AP91" t="str">
        <f t="shared" si="129"/>
        <v/>
      </c>
      <c r="AR91" s="192">
        <f t="shared" si="160"/>
        <v>9.98740396405458</v>
      </c>
      <c r="AS91" s="192">
        <f t="shared" si="130"/>
        <v>3.125</v>
      </c>
      <c r="AT91" s="192">
        <f t="shared" si="161"/>
        <v>6.86240396405458</v>
      </c>
      <c r="AU91" s="5">
        <f t="shared" si="162"/>
        <v>0.31289412256149</v>
      </c>
      <c r="AW91" s="192">
        <f t="shared" si="131"/>
        <v>20.1076373742966</v>
      </c>
      <c r="AX91" s="192">
        <f t="shared" si="132"/>
        <v>122.966797652971</v>
      </c>
      <c r="AY91" s="192">
        <f t="shared" si="133"/>
        <v>14.3647440975709</v>
      </c>
      <c r="AZ91" s="192">
        <f t="shared" si="134"/>
        <v>53.808823672817</v>
      </c>
      <c r="BA91" s="192">
        <f t="shared" si="135"/>
        <v>10.0182625771538</v>
      </c>
      <c r="BB91" s="220">
        <f t="shared" si="136"/>
        <v>27.1608811210643</v>
      </c>
      <c r="BC91" s="192"/>
      <c r="BD91" s="5">
        <f t="shared" si="163"/>
        <v>0.484428108103893</v>
      </c>
      <c r="BE91" s="5">
        <f t="shared" si="137"/>
        <v>0.391758223502429</v>
      </c>
      <c r="BF91" s="5">
        <f t="shared" si="138"/>
        <v>0.296639971705543</v>
      </c>
      <c r="BG91" s="5"/>
      <c r="BH91" s="217">
        <f t="shared" si="139"/>
        <v>0.082134707172391</v>
      </c>
      <c r="BI91" s="217">
        <f t="shared" si="140"/>
        <v>0.0182275594994653</v>
      </c>
      <c r="BJ91" s="217">
        <f t="shared" si="141"/>
        <v>0.00125157649024596</v>
      </c>
      <c r="BK91" s="217">
        <f t="shared" si="142"/>
        <v>0.0029495593747908</v>
      </c>
      <c r="BL91">
        <f t="shared" si="143"/>
        <v>0.00348</v>
      </c>
      <c r="BM91">
        <f t="shared" si="144"/>
        <v>1.75220708634434e-6</v>
      </c>
      <c r="BN91">
        <f t="shared" si="145"/>
        <v>0.150092113702067</v>
      </c>
      <c r="BO91" s="220">
        <f t="shared" si="164"/>
        <v>150.092113702067</v>
      </c>
      <c r="BP91" s="5">
        <f t="shared" si="146"/>
        <v>0.381305497580373</v>
      </c>
      <c r="BQ91" s="5">
        <f t="shared" si="147"/>
        <v>0.282972000363784</v>
      </c>
      <c r="BR91" s="217"/>
      <c r="BT91" s="220">
        <f t="shared" si="165"/>
        <v>664.277497944158</v>
      </c>
      <c r="BU91" s="217">
        <f t="shared" si="148"/>
        <v>0.0096214942687658</v>
      </c>
      <c r="BV91" s="217">
        <f t="shared" si="149"/>
        <v>0.0153474505681779</v>
      </c>
      <c r="BW91" s="217">
        <f t="shared" si="150"/>
        <v>0.00615966909694258</v>
      </c>
      <c r="BX91" s="217">
        <f t="shared" si="151"/>
        <v>0</v>
      </c>
      <c r="BY91" s="217">
        <f t="shared" si="152"/>
        <v>0.0430647308592499</v>
      </c>
      <c r="BZ91" s="217">
        <f t="shared" si="166"/>
        <v>0.0311286139338863</v>
      </c>
      <c r="CA91" s="225">
        <f t="shared" si="153"/>
        <v>0.0090113507297709</v>
      </c>
      <c r="CB91" s="220">
        <f t="shared" si="167"/>
        <v>52.0760815890208</v>
      </c>
      <c r="CC91" s="5">
        <f t="shared" si="168"/>
        <v>0.866445693235245</v>
      </c>
      <c r="CD91" s="192">
        <f t="shared" si="169"/>
        <v>4.09551761642662</v>
      </c>
      <c r="CE91" s="5">
        <f t="shared" si="170"/>
        <v>0.825382486898258</v>
      </c>
      <c r="CF91" s="192">
        <f t="shared" si="171"/>
        <v>82.5382486898258</v>
      </c>
      <c r="CG91">
        <f t="shared" si="172"/>
        <v>86</v>
      </c>
      <c r="CI91" s="227">
        <f t="shared" si="154"/>
        <v>-50</v>
      </c>
      <c r="CJ91">
        <f t="shared" si="155"/>
        <v>-50</v>
      </c>
    </row>
    <row r="92" spans="5:88">
      <c r="E92" s="22">
        <v>87</v>
      </c>
      <c r="F92" s="25">
        <f t="shared" si="173"/>
        <v>0.435</v>
      </c>
      <c r="G92" s="25">
        <f t="shared" si="156"/>
        <v>0.348</v>
      </c>
      <c r="H92" s="25">
        <f t="shared" si="105"/>
        <v>7.83</v>
      </c>
      <c r="I92" s="25">
        <f t="shared" si="174"/>
        <v>1.74</v>
      </c>
      <c r="J92" s="212">
        <f t="shared" si="106"/>
        <v>12</v>
      </c>
      <c r="K92" s="131">
        <f t="shared" si="107"/>
        <v>5.40481300969885</v>
      </c>
      <c r="L92" s="131">
        <f t="shared" si="108"/>
        <v>24.2728</v>
      </c>
      <c r="M92" s="131"/>
      <c r="N92" s="25">
        <f t="shared" si="109"/>
        <v>0.505619458818101</v>
      </c>
      <c r="O92" s="27">
        <f t="shared" si="157"/>
        <v>3.3508780498036</v>
      </c>
      <c r="P92" s="27">
        <f t="shared" si="110"/>
        <v>0.744639566623021</v>
      </c>
      <c r="Q92" s="25">
        <f t="shared" si="111"/>
        <v>0.186159891655755</v>
      </c>
      <c r="R92" s="25">
        <f t="shared" si="112"/>
        <v>0.670175609960719</v>
      </c>
      <c r="S92" s="131">
        <f t="shared" si="113"/>
        <v>7.70316793058298</v>
      </c>
      <c r="T92" s="25">
        <f t="shared" si="114"/>
        <v>1.5</v>
      </c>
      <c r="U92" s="25">
        <f t="shared" si="115"/>
        <v>3.125</v>
      </c>
      <c r="V92" s="25">
        <f t="shared" si="116"/>
        <v>6.93826038619779</v>
      </c>
      <c r="W92" s="24">
        <f t="shared" si="117"/>
        <v>350</v>
      </c>
      <c r="X92" s="131">
        <f t="shared" si="158"/>
        <v>99.3713728576023</v>
      </c>
      <c r="Z92" s="25">
        <f t="shared" si="118"/>
        <v>0.425877312246867</v>
      </c>
      <c r="AA92" s="5">
        <f t="shared" si="119"/>
        <v>1.96989845662855</v>
      </c>
      <c r="AB92" s="5">
        <f t="shared" si="120"/>
        <v>0.0801202049109261</v>
      </c>
      <c r="AC92" s="5"/>
      <c r="AD92" s="5">
        <f t="shared" si="121"/>
        <v>1.38765207723956</v>
      </c>
      <c r="AE92" s="216">
        <f t="shared" si="122"/>
        <v>3829.49714052737</v>
      </c>
      <c r="AF92" s="217">
        <f t="shared" si="123"/>
        <v>0.0397571781393297</v>
      </c>
      <c r="AH92" s="5">
        <f t="shared" si="124"/>
        <v>1.47899579831336</v>
      </c>
      <c r="AI92" s="5">
        <f t="shared" si="125"/>
        <v>1.5</v>
      </c>
      <c r="AJ92" s="5">
        <f t="shared" si="126"/>
        <v>2.08888888888889</v>
      </c>
      <c r="AL92" s="216">
        <f t="shared" si="127"/>
        <v>435</v>
      </c>
      <c r="AM92" s="220">
        <f t="shared" si="128"/>
        <v>99.3713728576023</v>
      </c>
      <c r="AO92" t="str">
        <f t="shared" si="159"/>
        <v/>
      </c>
      <c r="AP92" t="str">
        <f t="shared" si="129"/>
        <v/>
      </c>
      <c r="AR92" s="192">
        <f t="shared" si="160"/>
        <v>10.0632603861978</v>
      </c>
      <c r="AS92" s="192">
        <f t="shared" si="130"/>
        <v>3.125</v>
      </c>
      <c r="AT92" s="192">
        <f t="shared" si="161"/>
        <v>6.93826038619779</v>
      </c>
      <c r="AU92" s="5">
        <f t="shared" si="162"/>
        <v>0.310535540180007</v>
      </c>
      <c r="AW92" s="192">
        <f t="shared" si="131"/>
        <v>20.1076373742966</v>
      </c>
      <c r="AX92" s="192">
        <f t="shared" si="132"/>
        <v>125.827942324951</v>
      </c>
      <c r="AY92" s="192">
        <f t="shared" si="133"/>
        <v>14.3647440975709</v>
      </c>
      <c r="AZ92" s="192">
        <f t="shared" si="134"/>
        <v>55.0593740372569</v>
      </c>
      <c r="BA92" s="192">
        <f t="shared" si="135"/>
        <v>10.2467826999866</v>
      </c>
      <c r="BB92" s="220">
        <f t="shared" si="136"/>
        <v>27.4485397444037</v>
      </c>
      <c r="BC92" s="192"/>
      <c r="BD92" s="5">
        <f t="shared" si="163"/>
        <v>0.482598855298068</v>
      </c>
      <c r="BE92" s="5">
        <f t="shared" si="137"/>
        <v>0.392430028604775</v>
      </c>
      <c r="BF92" s="5">
        <f t="shared" si="138"/>
        <v>0.297148663634891</v>
      </c>
      <c r="BG92" s="5"/>
      <c r="BH92" s="217">
        <f t="shared" si="139"/>
        <v>0.0815155792972519</v>
      </c>
      <c r="BI92" s="217">
        <f t="shared" si="140"/>
        <v>0.0180901609432351</v>
      </c>
      <c r="BJ92" s="217">
        <f t="shared" si="141"/>
        <v>0.00124214216072003</v>
      </c>
      <c r="BK92" s="217">
        <f t="shared" si="142"/>
        <v>0.00292732572361971</v>
      </c>
      <c r="BL92">
        <f t="shared" si="143"/>
        <v>0.00348</v>
      </c>
      <c r="BM92">
        <f t="shared" si="144"/>
        <v>1.73899902500804e-6</v>
      </c>
      <c r="BN92">
        <f t="shared" si="145"/>
        <v>0.148933848553179</v>
      </c>
      <c r="BO92" s="220">
        <f t="shared" si="164"/>
        <v>148.933848553179</v>
      </c>
      <c r="BP92" s="5">
        <f t="shared" si="146"/>
        <v>0.384941167270415</v>
      </c>
      <c r="BQ92" s="5">
        <f t="shared" si="147"/>
        <v>0.285804769672766</v>
      </c>
      <c r="BR92" s="217"/>
      <c r="BT92" s="220">
        <f t="shared" si="165"/>
        <v>670.745936943181</v>
      </c>
      <c r="BU92" s="217">
        <f t="shared" si="148"/>
        <v>0.00954896786053522</v>
      </c>
      <c r="BV92" s="217">
        <f t="shared" si="149"/>
        <v>0.0154001327350744</v>
      </c>
      <c r="BW92" s="217">
        <f t="shared" si="150"/>
        <v>0.00618081298100011</v>
      </c>
      <c r="BX92" s="217">
        <f t="shared" si="151"/>
        <v>0</v>
      </c>
      <c r="BY92" s="217">
        <f t="shared" si="152"/>
        <v>0.0430665333325764</v>
      </c>
      <c r="BZ92" s="217">
        <f t="shared" si="166"/>
        <v>0.0311299135766098</v>
      </c>
      <c r="CA92" s="225">
        <f t="shared" si="153"/>
        <v>0.00894342355718421</v>
      </c>
      <c r="CB92" s="220">
        <f t="shared" si="167"/>
        <v>52.0099568897607</v>
      </c>
      <c r="CC92" s="5">
        <f t="shared" si="168"/>
        <v>0.871689742386121</v>
      </c>
      <c r="CD92" s="192">
        <f t="shared" si="169"/>
        <v>4.09551761642662</v>
      </c>
      <c r="CE92" s="5">
        <f t="shared" si="170"/>
        <v>0.824511102634042</v>
      </c>
      <c r="CF92" s="192">
        <f t="shared" si="171"/>
        <v>82.4511102634042</v>
      </c>
      <c r="CG92">
        <f t="shared" si="172"/>
        <v>87</v>
      </c>
      <c r="CI92" s="227">
        <f t="shared" si="154"/>
        <v>-50</v>
      </c>
      <c r="CJ92">
        <f t="shared" si="155"/>
        <v>-50</v>
      </c>
    </row>
    <row r="93" spans="5:88">
      <c r="E93" s="22">
        <v>88</v>
      </c>
      <c r="F93" s="25">
        <f t="shared" si="173"/>
        <v>0.44</v>
      </c>
      <c r="G93" s="25">
        <f t="shared" si="156"/>
        <v>0.352</v>
      </c>
      <c r="H93" s="25">
        <f t="shared" si="105"/>
        <v>7.92</v>
      </c>
      <c r="I93" s="25">
        <f t="shared" si="174"/>
        <v>1.76</v>
      </c>
      <c r="J93" s="212">
        <f t="shared" si="106"/>
        <v>12</v>
      </c>
      <c r="K93" s="131">
        <f t="shared" si="107"/>
        <v>5.346426498225</v>
      </c>
      <c r="L93" s="131">
        <f t="shared" si="108"/>
        <v>24.2728</v>
      </c>
      <c r="M93" s="131"/>
      <c r="N93" s="25">
        <f t="shared" si="109"/>
        <v>0.505619458818101</v>
      </c>
      <c r="O93" s="27">
        <f t="shared" si="157"/>
        <v>3.3508780498036</v>
      </c>
      <c r="P93" s="27">
        <f t="shared" si="110"/>
        <v>0.744639566623021</v>
      </c>
      <c r="Q93" s="25">
        <f t="shared" si="111"/>
        <v>0.186159891655755</v>
      </c>
      <c r="R93" s="25">
        <f t="shared" si="112"/>
        <v>0.670175609960719</v>
      </c>
      <c r="S93" s="131">
        <f t="shared" si="113"/>
        <v>7.61563193137181</v>
      </c>
      <c r="T93" s="25">
        <f t="shared" si="114"/>
        <v>1.5</v>
      </c>
      <c r="U93" s="25">
        <f t="shared" si="115"/>
        <v>3.125</v>
      </c>
      <c r="V93" s="25">
        <f t="shared" si="116"/>
        <v>7.01403077596782</v>
      </c>
      <c r="W93" s="24">
        <f t="shared" si="117"/>
        <v>350</v>
      </c>
      <c r="X93" s="131">
        <f t="shared" si="158"/>
        <v>98.6287567417454</v>
      </c>
      <c r="Z93" s="25">
        <f t="shared" si="118"/>
        <v>0.422694671750338</v>
      </c>
      <c r="AA93" s="5">
        <f t="shared" si="119"/>
        <v>1.97652895766299</v>
      </c>
      <c r="AB93" s="5">
        <f t="shared" si="120"/>
        <v>0.0797891175225972</v>
      </c>
      <c r="AC93" s="5"/>
      <c r="AD93" s="5">
        <f t="shared" si="121"/>
        <v>1.40280615519356</v>
      </c>
      <c r="AE93" s="216">
        <f t="shared" si="122"/>
        <v>3831.66998003354</v>
      </c>
      <c r="AF93" s="217">
        <f t="shared" si="123"/>
        <v>0.0401913528050378</v>
      </c>
      <c r="AH93" s="5">
        <f t="shared" si="124"/>
        <v>1.48747148832219</v>
      </c>
      <c r="AI93" s="5">
        <f t="shared" si="125"/>
        <v>1.5</v>
      </c>
      <c r="AJ93" s="5">
        <f t="shared" si="126"/>
        <v>2.08888888888889</v>
      </c>
      <c r="AL93" s="216">
        <f t="shared" si="127"/>
        <v>440</v>
      </c>
      <c r="AM93" s="220">
        <f t="shared" si="128"/>
        <v>98.6287567417454</v>
      </c>
      <c r="AO93" t="str">
        <f t="shared" si="159"/>
        <v/>
      </c>
      <c r="AP93" t="str">
        <f t="shared" si="129"/>
        <v/>
      </c>
      <c r="AR93" s="192">
        <f t="shared" si="160"/>
        <v>10.1390307759678</v>
      </c>
      <c r="AS93" s="192">
        <f t="shared" si="130"/>
        <v>3.125</v>
      </c>
      <c r="AT93" s="192">
        <f t="shared" si="161"/>
        <v>7.01403077596782</v>
      </c>
      <c r="AU93" s="5">
        <f t="shared" si="162"/>
        <v>0.308214864817954</v>
      </c>
      <c r="AW93" s="192">
        <f t="shared" si="131"/>
        <v>20.1076373742966</v>
      </c>
      <c r="AX93" s="192">
        <f t="shared" si="132"/>
        <v>128.721990403543</v>
      </c>
      <c r="AY93" s="192">
        <f t="shared" si="133"/>
        <v>14.3647440975709</v>
      </c>
      <c r="AZ93" s="192">
        <f t="shared" si="134"/>
        <v>56.3242891457944</v>
      </c>
      <c r="BA93" s="192">
        <f t="shared" si="135"/>
        <v>10.4777496776803</v>
      </c>
      <c r="BB93" s="220">
        <f t="shared" si="136"/>
        <v>27.7358721204284</v>
      </c>
      <c r="BC93" s="192"/>
      <c r="BD93" s="5">
        <f t="shared" si="163"/>
        <v>0.480792209393482</v>
      </c>
      <c r="BE93" s="5">
        <f t="shared" si="137"/>
        <v>0.393089915881712</v>
      </c>
      <c r="BF93" s="5">
        <f t="shared" si="138"/>
        <v>0.297648331367222</v>
      </c>
      <c r="BG93" s="5"/>
      <c r="BH93" s="217">
        <f t="shared" si="139"/>
        <v>0.080906402014713</v>
      </c>
      <c r="BI93" s="217">
        <f t="shared" si="140"/>
        <v>0.0179549706498078</v>
      </c>
      <c r="BJ93" s="217">
        <f t="shared" si="141"/>
        <v>0.00123285945927182</v>
      </c>
      <c r="BK93" s="217">
        <f t="shared" si="142"/>
        <v>0.00290544941059103</v>
      </c>
      <c r="BL93">
        <f t="shared" si="143"/>
        <v>0.00348</v>
      </c>
      <c r="BM93">
        <f t="shared" si="144"/>
        <v>1.72600324298054e-6</v>
      </c>
      <c r="BN93">
        <f t="shared" si="145"/>
        <v>0.147795023936506</v>
      </c>
      <c r="BO93" s="220">
        <f t="shared" si="164"/>
        <v>147.795023936506</v>
      </c>
      <c r="BP93" s="5">
        <f t="shared" si="146"/>
        <v>0.388571464192725</v>
      </c>
      <c r="BQ93" s="5">
        <f t="shared" si="147"/>
        <v>0.28863445848209</v>
      </c>
      <c r="BR93" s="217"/>
      <c r="BT93" s="220">
        <f t="shared" si="165"/>
        <v>677.205922674815</v>
      </c>
      <c r="BU93" s="217">
        <f t="shared" si="148"/>
        <v>0.0094776070931521</v>
      </c>
      <c r="BV93" s="217">
        <f t="shared" si="149"/>
        <v>0.0154519681967891</v>
      </c>
      <c r="BW93" s="217">
        <f t="shared" si="150"/>
        <v>0.0062016170415984</v>
      </c>
      <c r="BX93" s="217">
        <f t="shared" si="151"/>
        <v>0</v>
      </c>
      <c r="BY93" s="217">
        <f t="shared" si="152"/>
        <v>0.0430683068370076</v>
      </c>
      <c r="BZ93" s="217">
        <f t="shared" si="166"/>
        <v>0.0311311923315396</v>
      </c>
      <c r="CA93" s="225">
        <f t="shared" si="153"/>
        <v>0.00887658810675709</v>
      </c>
      <c r="CB93" s="220">
        <f t="shared" si="167"/>
        <v>51.9448949437647</v>
      </c>
      <c r="CC93" s="5">
        <f t="shared" si="168"/>
        <v>0.876945841555085</v>
      </c>
      <c r="CD93" s="192">
        <f t="shared" si="169"/>
        <v>4.09551761642662</v>
      </c>
      <c r="CE93" s="5">
        <f t="shared" si="170"/>
        <v>0.823639560357668</v>
      </c>
      <c r="CF93" s="192">
        <f t="shared" si="171"/>
        <v>82.3639560357668</v>
      </c>
      <c r="CG93">
        <f t="shared" si="172"/>
        <v>88</v>
      </c>
      <c r="CI93" s="227">
        <f t="shared" si="154"/>
        <v>-50</v>
      </c>
      <c r="CJ93">
        <f t="shared" si="155"/>
        <v>-50</v>
      </c>
    </row>
    <row r="94" spans="5:88">
      <c r="E94" s="22">
        <v>89</v>
      </c>
      <c r="F94" s="25">
        <f t="shared" si="173"/>
        <v>0.445</v>
      </c>
      <c r="G94" s="25">
        <f t="shared" si="156"/>
        <v>0.356</v>
      </c>
      <c r="H94" s="25">
        <f t="shared" si="105"/>
        <v>8.01</v>
      </c>
      <c r="I94" s="25">
        <f t="shared" si="174"/>
        <v>1.78</v>
      </c>
      <c r="J94" s="212">
        <f t="shared" si="106"/>
        <v>12</v>
      </c>
      <c r="K94" s="131">
        <f t="shared" si="107"/>
        <v>5.28935204318876</v>
      </c>
      <c r="L94" s="131">
        <f t="shared" si="108"/>
        <v>24.2728</v>
      </c>
      <c r="M94" s="131"/>
      <c r="N94" s="25">
        <f t="shared" si="109"/>
        <v>0.505619458818101</v>
      </c>
      <c r="O94" s="27">
        <f t="shared" si="157"/>
        <v>3.3508780498036</v>
      </c>
      <c r="P94" s="27">
        <f t="shared" si="110"/>
        <v>0.744639566623021</v>
      </c>
      <c r="Q94" s="25">
        <f t="shared" si="111"/>
        <v>0.186159891655755</v>
      </c>
      <c r="R94" s="25">
        <f t="shared" si="112"/>
        <v>0.670175609960719</v>
      </c>
      <c r="S94" s="131">
        <f t="shared" si="113"/>
        <v>7.53006303326651</v>
      </c>
      <c r="T94" s="25">
        <f t="shared" si="114"/>
        <v>1.5</v>
      </c>
      <c r="U94" s="25">
        <f t="shared" si="115"/>
        <v>3.125</v>
      </c>
      <c r="V94" s="25">
        <f t="shared" si="116"/>
        <v>7.08971527964181</v>
      </c>
      <c r="W94" s="24">
        <f t="shared" si="117"/>
        <v>350</v>
      </c>
      <c r="X94" s="131">
        <f t="shared" si="158"/>
        <v>97.8979807682966</v>
      </c>
      <c r="Z94" s="25">
        <f t="shared" si="118"/>
        <v>0.419562774721271</v>
      </c>
      <c r="AA94" s="5">
        <f t="shared" si="119"/>
        <v>1.98305374314021</v>
      </c>
      <c r="AB94" s="5">
        <f t="shared" si="120"/>
        <v>0.0794593741446994</v>
      </c>
      <c r="AC94" s="5"/>
      <c r="AD94" s="5">
        <f t="shared" si="121"/>
        <v>1.41794305592836</v>
      </c>
      <c r="AE94" s="216">
        <f t="shared" si="122"/>
        <v>3833.84281953971</v>
      </c>
      <c r="AF94" s="217">
        <f t="shared" si="123"/>
        <v>0.0406250353317039</v>
      </c>
      <c r="AH94" s="5">
        <f t="shared" si="124"/>
        <v>1.49589915626498</v>
      </c>
      <c r="AI94" s="5">
        <f t="shared" si="125"/>
        <v>1.5</v>
      </c>
      <c r="AJ94" s="5">
        <f t="shared" si="126"/>
        <v>2.08888888888889</v>
      </c>
      <c r="AL94" s="216">
        <f t="shared" si="127"/>
        <v>445</v>
      </c>
      <c r="AM94" s="220">
        <f t="shared" si="128"/>
        <v>97.8979807682966</v>
      </c>
      <c r="AO94" t="str">
        <f t="shared" si="159"/>
        <v/>
      </c>
      <c r="AP94" t="str">
        <f t="shared" si="129"/>
        <v/>
      </c>
      <c r="AR94" s="192">
        <f t="shared" si="160"/>
        <v>10.2147152796418</v>
      </c>
      <c r="AS94" s="192">
        <f t="shared" si="130"/>
        <v>3.125</v>
      </c>
      <c r="AT94" s="192">
        <f t="shared" si="161"/>
        <v>7.08971527964181</v>
      </c>
      <c r="AU94" s="5">
        <f t="shared" si="162"/>
        <v>0.305931189900927</v>
      </c>
      <c r="AW94" s="192">
        <f t="shared" si="131"/>
        <v>20.1076373742966</v>
      </c>
      <c r="AX94" s="192">
        <f t="shared" si="132"/>
        <v>131.648941888748</v>
      </c>
      <c r="AY94" s="192">
        <f t="shared" si="133"/>
        <v>14.3647440975709</v>
      </c>
      <c r="AZ94" s="192">
        <f t="shared" si="134"/>
        <v>57.6035689984294</v>
      </c>
      <c r="BA94" s="192">
        <f t="shared" si="135"/>
        <v>10.7111593499527</v>
      </c>
      <c r="BB94" s="220">
        <f t="shared" si="136"/>
        <v>28.0228788038426</v>
      </c>
      <c r="BC94" s="192"/>
      <c r="BD94" s="5">
        <f t="shared" si="163"/>
        <v>0.479007716457361</v>
      </c>
      <c r="BE94" s="5">
        <f t="shared" si="137"/>
        <v>0.3937382023998</v>
      </c>
      <c r="BF94" s="5">
        <f t="shared" si="138"/>
        <v>0.298139214985857</v>
      </c>
      <c r="BG94" s="5"/>
      <c r="BH94" s="217">
        <f t="shared" si="139"/>
        <v>0.0803069373489933</v>
      </c>
      <c r="BI94" s="217">
        <f t="shared" si="140"/>
        <v>0.0178219358069453</v>
      </c>
      <c r="BJ94" s="217">
        <f t="shared" si="141"/>
        <v>0.00122372475960371</v>
      </c>
      <c r="BK94" s="217">
        <f t="shared" si="142"/>
        <v>0.00288392188969882</v>
      </c>
      <c r="BL94">
        <f t="shared" si="143"/>
        <v>0.00348</v>
      </c>
      <c r="BM94">
        <f t="shared" si="144"/>
        <v>1.71321466344519e-6</v>
      </c>
      <c r="BN94">
        <f t="shared" si="145"/>
        <v>0.146675154485165</v>
      </c>
      <c r="BO94" s="220">
        <f t="shared" si="164"/>
        <v>146.675154485165</v>
      </c>
      <c r="BP94" s="5">
        <f t="shared" si="146"/>
        <v>0.392196516841018</v>
      </c>
      <c r="BQ94" s="5">
        <f t="shared" si="147"/>
        <v>0.291461140464182</v>
      </c>
      <c r="BR94" s="217"/>
      <c r="BT94" s="220">
        <f t="shared" si="165"/>
        <v>683.657657305201</v>
      </c>
      <c r="BU94" s="217">
        <f t="shared" si="148"/>
        <v>0.00940738408945351</v>
      </c>
      <c r="BV94" s="217">
        <f t="shared" si="149"/>
        <v>0.0155029772029026</v>
      </c>
      <c r="BW94" s="217">
        <f t="shared" si="150"/>
        <v>0.0062220894058668</v>
      </c>
      <c r="BX94" s="217">
        <f t="shared" si="151"/>
        <v>0</v>
      </c>
      <c r="BY94" s="217">
        <f t="shared" si="152"/>
        <v>0.0430700520653471</v>
      </c>
      <c r="BZ94" s="217">
        <f t="shared" si="166"/>
        <v>0.0311324506982229</v>
      </c>
      <c r="CA94" s="225">
        <f t="shared" si="153"/>
        <v>0.0088108182691467</v>
      </c>
      <c r="CB94" s="220">
        <f t="shared" si="167"/>
        <v>51.8808703344938</v>
      </c>
      <c r="CC94" s="5">
        <f t="shared" si="168"/>
        <v>0.882213682124859</v>
      </c>
      <c r="CD94" s="192">
        <f t="shared" si="169"/>
        <v>4.09551761642662</v>
      </c>
      <c r="CE94" s="5">
        <f t="shared" si="170"/>
        <v>0.822767917910398</v>
      </c>
      <c r="CF94" s="192">
        <f t="shared" si="171"/>
        <v>82.2767917910398</v>
      </c>
      <c r="CG94">
        <f t="shared" si="172"/>
        <v>89</v>
      </c>
      <c r="CI94" s="227">
        <f t="shared" si="154"/>
        <v>-50</v>
      </c>
      <c r="CJ94">
        <f t="shared" si="155"/>
        <v>-50</v>
      </c>
    </row>
    <row r="95" spans="5:88">
      <c r="E95" s="22">
        <v>90</v>
      </c>
      <c r="F95" s="25">
        <f t="shared" si="173"/>
        <v>0.45</v>
      </c>
      <c r="G95" s="25">
        <f t="shared" si="156"/>
        <v>0.36</v>
      </c>
      <c r="H95" s="25">
        <f t="shared" si="105"/>
        <v>8.1</v>
      </c>
      <c r="I95" s="25">
        <f t="shared" si="174"/>
        <v>1.8</v>
      </c>
      <c r="J95" s="212">
        <f t="shared" si="106"/>
        <v>12</v>
      </c>
      <c r="K95" s="131">
        <f t="shared" si="107"/>
        <v>5.23354590937555</v>
      </c>
      <c r="L95" s="131">
        <f t="shared" si="108"/>
        <v>24.2728</v>
      </c>
      <c r="M95" s="131"/>
      <c r="N95" s="25">
        <f t="shared" si="109"/>
        <v>0.505619458818101</v>
      </c>
      <c r="O95" s="27">
        <f t="shared" si="157"/>
        <v>3.3508780498036</v>
      </c>
      <c r="P95" s="27">
        <f t="shared" si="110"/>
        <v>0.744639566623021</v>
      </c>
      <c r="Q95" s="25">
        <f t="shared" si="111"/>
        <v>0.186159891655755</v>
      </c>
      <c r="R95" s="25">
        <f t="shared" si="112"/>
        <v>0.670175609960719</v>
      </c>
      <c r="S95" s="131">
        <f t="shared" si="113"/>
        <v>7.44639566623021</v>
      </c>
      <c r="T95" s="25">
        <f t="shared" si="114"/>
        <v>1.5</v>
      </c>
      <c r="U95" s="25">
        <f t="shared" si="115"/>
        <v>3.125</v>
      </c>
      <c r="V95" s="25">
        <f t="shared" si="116"/>
        <v>7.1653140431655</v>
      </c>
      <c r="W95" s="24">
        <f t="shared" si="117"/>
        <v>350</v>
      </c>
      <c r="X95" s="131">
        <f t="shared" si="158"/>
        <v>97.1787640110137</v>
      </c>
      <c r="Z95" s="25">
        <f t="shared" si="118"/>
        <v>0.416480417190058</v>
      </c>
      <c r="AA95" s="5">
        <f t="shared" si="119"/>
        <v>1.98947532133024</v>
      </c>
      <c r="AB95" s="5">
        <f t="shared" si="120"/>
        <v>0.0791310355092266</v>
      </c>
      <c r="AC95" s="5"/>
      <c r="AD95" s="5">
        <f t="shared" si="121"/>
        <v>1.4330628086331</v>
      </c>
      <c r="AE95" s="216">
        <f t="shared" si="122"/>
        <v>3836.01565904588</v>
      </c>
      <c r="AF95" s="217">
        <f t="shared" si="123"/>
        <v>0.041058226555617</v>
      </c>
      <c r="AH95" s="5">
        <f t="shared" si="124"/>
        <v>1.50427960926722</v>
      </c>
      <c r="AI95" s="5">
        <f t="shared" si="125"/>
        <v>1.5</v>
      </c>
      <c r="AJ95" s="5">
        <f t="shared" si="126"/>
        <v>2.08888888888889</v>
      </c>
      <c r="AL95" s="216">
        <f t="shared" si="127"/>
        <v>450</v>
      </c>
      <c r="AM95" s="220">
        <f t="shared" si="128"/>
        <v>97.1787640110137</v>
      </c>
      <c r="AO95" t="str">
        <f t="shared" si="159"/>
        <v/>
      </c>
      <c r="AP95" t="str">
        <f t="shared" si="129"/>
        <v/>
      </c>
      <c r="AR95" s="192">
        <f t="shared" si="160"/>
        <v>10.2903140431655</v>
      </c>
      <c r="AS95" s="192">
        <f t="shared" si="130"/>
        <v>3.125</v>
      </c>
      <c r="AT95" s="192">
        <f t="shared" si="161"/>
        <v>7.1653140431655</v>
      </c>
      <c r="AU95" s="5">
        <f t="shared" si="162"/>
        <v>0.303683637534418</v>
      </c>
      <c r="AW95" s="192">
        <f t="shared" si="131"/>
        <v>20.1076373742966</v>
      </c>
      <c r="AX95" s="192">
        <f t="shared" si="132"/>
        <v>134.608796780566</v>
      </c>
      <c r="AY95" s="192">
        <f t="shared" si="133"/>
        <v>14.3647440975709</v>
      </c>
      <c r="AZ95" s="192">
        <f t="shared" si="134"/>
        <v>58.897213595162</v>
      </c>
      <c r="BA95" s="192">
        <f t="shared" si="135"/>
        <v>10.9470075659473</v>
      </c>
      <c r="BB95" s="220">
        <f t="shared" si="136"/>
        <v>28.3095603480938</v>
      </c>
      <c r="BC95" s="192"/>
      <c r="BD95" s="5">
        <f t="shared" si="163"/>
        <v>0.477244935175653</v>
      </c>
      <c r="BE95" s="5">
        <f t="shared" si="137"/>
        <v>0.39437519397638</v>
      </c>
      <c r="BF95" s="5">
        <f t="shared" si="138"/>
        <v>0.298621546056188</v>
      </c>
      <c r="BG95" s="5"/>
      <c r="BH95" s="217">
        <f t="shared" si="139"/>
        <v>0.0797169548527846</v>
      </c>
      <c r="BI95" s="217">
        <f t="shared" si="140"/>
        <v>0.017691005273149</v>
      </c>
      <c r="BJ95" s="217">
        <f t="shared" si="141"/>
        <v>0.00121473455013767</v>
      </c>
      <c r="BK95" s="217">
        <f t="shared" si="142"/>
        <v>0.00286273488529394</v>
      </c>
      <c r="BL95">
        <f t="shared" si="143"/>
        <v>0.00348</v>
      </c>
      <c r="BM95">
        <f t="shared" si="144"/>
        <v>1.70062837019274e-6</v>
      </c>
      <c r="BN95">
        <f t="shared" si="145"/>
        <v>0.145573770856295</v>
      </c>
      <c r="BO95" s="220">
        <f t="shared" si="164"/>
        <v>145.573770856295</v>
      </c>
      <c r="BP95" s="5">
        <f t="shared" si="146"/>
        <v>0.39581644964405</v>
      </c>
      <c r="BQ95" s="5">
        <f t="shared" si="147"/>
        <v>0.294284886960812</v>
      </c>
      <c r="BR95" s="217"/>
      <c r="BT95" s="220">
        <f t="shared" si="165"/>
        <v>690.101336604862</v>
      </c>
      <c r="BU95" s="217">
        <f t="shared" si="148"/>
        <v>0.00933827185418334</v>
      </c>
      <c r="BV95" s="217">
        <f t="shared" si="149"/>
        <v>0.0155531793623907</v>
      </c>
      <c r="BW95" s="217">
        <f t="shared" si="150"/>
        <v>0.00624223794382918</v>
      </c>
      <c r="BX95" s="217">
        <f t="shared" si="151"/>
        <v>0</v>
      </c>
      <c r="BY95" s="217">
        <f t="shared" si="152"/>
        <v>0.043071769688482</v>
      </c>
      <c r="BZ95" s="217">
        <f t="shared" si="166"/>
        <v>0.0311336891604032</v>
      </c>
      <c r="CA95" s="225">
        <f t="shared" si="153"/>
        <v>0.00874608876099123</v>
      </c>
      <c r="CB95" s="220">
        <f t="shared" si="167"/>
        <v>51.8178584494733</v>
      </c>
      <c r="CC95" s="5">
        <f t="shared" si="168"/>
        <v>0.88749296591063</v>
      </c>
      <c r="CD95" s="192">
        <f t="shared" si="169"/>
        <v>4.09551761642662</v>
      </c>
      <c r="CE95" s="5">
        <f t="shared" si="170"/>
        <v>0.821896230953947</v>
      </c>
      <c r="CF95" s="192">
        <f t="shared" si="171"/>
        <v>82.1896230953947</v>
      </c>
      <c r="CG95">
        <f t="shared" si="172"/>
        <v>90</v>
      </c>
      <c r="CI95" s="227">
        <f t="shared" si="154"/>
        <v>-50</v>
      </c>
      <c r="CJ95">
        <f t="shared" si="155"/>
        <v>-50</v>
      </c>
    </row>
    <row r="96" spans="5:88">
      <c r="E96" s="22">
        <v>91</v>
      </c>
      <c r="F96" s="25">
        <f t="shared" si="173"/>
        <v>0.455</v>
      </c>
      <c r="G96" s="25">
        <f t="shared" si="156"/>
        <v>0.364</v>
      </c>
      <c r="H96" s="25">
        <f t="shared" si="105"/>
        <v>8.19</v>
      </c>
      <c r="I96" s="25">
        <f t="shared" si="174"/>
        <v>1.82</v>
      </c>
      <c r="J96" s="212">
        <f t="shared" si="106"/>
        <v>12</v>
      </c>
      <c r="K96" s="131">
        <f t="shared" si="107"/>
        <v>5.1789662839978</v>
      </c>
      <c r="L96" s="131">
        <f t="shared" si="108"/>
        <v>24.2728</v>
      </c>
      <c r="M96" s="131"/>
      <c r="N96" s="25">
        <f t="shared" si="109"/>
        <v>0.505619458818101</v>
      </c>
      <c r="O96" s="27">
        <f t="shared" si="157"/>
        <v>3.3508780498036</v>
      </c>
      <c r="P96" s="27">
        <f t="shared" si="110"/>
        <v>0.744639566623021</v>
      </c>
      <c r="Q96" s="25">
        <f t="shared" si="111"/>
        <v>0.186159891655755</v>
      </c>
      <c r="R96" s="25">
        <f t="shared" si="112"/>
        <v>0.670175609960719</v>
      </c>
      <c r="S96" s="131">
        <f t="shared" si="113"/>
        <v>7.36456714242549</v>
      </c>
      <c r="T96" s="25">
        <f t="shared" si="114"/>
        <v>1.5</v>
      </c>
      <c r="U96" s="25">
        <f t="shared" si="115"/>
        <v>3.125</v>
      </c>
      <c r="V96" s="25">
        <f t="shared" si="116"/>
        <v>7.24082721215413</v>
      </c>
      <c r="W96" s="24">
        <f t="shared" si="117"/>
        <v>350</v>
      </c>
      <c r="X96" s="131">
        <f t="shared" si="158"/>
        <v>96.4708343611479</v>
      </c>
      <c r="Z96" s="25">
        <f t="shared" si="118"/>
        <v>0.413446432976348</v>
      </c>
      <c r="AA96" s="5">
        <f t="shared" si="119"/>
        <v>1.99579612177547</v>
      </c>
      <c r="AB96" s="5">
        <f t="shared" si="120"/>
        <v>0.0788041575576669</v>
      </c>
      <c r="AC96" s="5"/>
      <c r="AD96" s="5">
        <f t="shared" si="121"/>
        <v>1.44816544243083</v>
      </c>
      <c r="AE96" s="216">
        <f t="shared" si="122"/>
        <v>3838.18849855206</v>
      </c>
      <c r="AF96" s="217">
        <f t="shared" si="123"/>
        <v>0.0414909273111721</v>
      </c>
      <c r="AH96" s="5">
        <f t="shared" si="124"/>
        <v>1.51261363209512</v>
      </c>
      <c r="AI96" s="5">
        <f t="shared" si="125"/>
        <v>1.5</v>
      </c>
      <c r="AJ96" s="5">
        <f t="shared" si="126"/>
        <v>2.08888888888889</v>
      </c>
      <c r="AL96" s="216">
        <f t="shared" si="127"/>
        <v>455</v>
      </c>
      <c r="AM96" s="220">
        <f t="shared" si="128"/>
        <v>96.4708343611479</v>
      </c>
      <c r="AO96" t="str">
        <f t="shared" si="159"/>
        <v/>
      </c>
      <c r="AP96" t="str">
        <f t="shared" si="129"/>
        <v/>
      </c>
      <c r="AR96" s="192">
        <f t="shared" si="160"/>
        <v>10.3658272121541</v>
      </c>
      <c r="AS96" s="192">
        <f t="shared" si="130"/>
        <v>3.125</v>
      </c>
      <c r="AT96" s="192">
        <f t="shared" si="161"/>
        <v>7.24082721215413</v>
      </c>
      <c r="AU96" s="5">
        <f t="shared" si="162"/>
        <v>0.301471357378587</v>
      </c>
      <c r="AW96" s="192">
        <f t="shared" si="131"/>
        <v>20.1076373742966</v>
      </c>
      <c r="AX96" s="192">
        <f t="shared" si="132"/>
        <v>137.601555078996</v>
      </c>
      <c r="AY96" s="192">
        <f t="shared" si="133"/>
        <v>14.3647440975709</v>
      </c>
      <c r="AZ96" s="192">
        <f t="shared" si="134"/>
        <v>60.2052229359922</v>
      </c>
      <c r="BA96" s="192">
        <f t="shared" si="135"/>
        <v>11.1852901842072</v>
      </c>
      <c r="BB96" s="220">
        <f t="shared" si="136"/>
        <v>28.5959173053764</v>
      </c>
      <c r="BC96" s="192"/>
      <c r="BD96" s="5">
        <f t="shared" si="163"/>
        <v>0.475503436406027</v>
      </c>
      <c r="BE96" s="5">
        <f t="shared" si="137"/>
        <v>0.395001185678702</v>
      </c>
      <c r="BF96" s="5">
        <f t="shared" si="138"/>
        <v>0.299095548003626</v>
      </c>
      <c r="BG96" s="5"/>
      <c r="BH96" s="217">
        <f t="shared" si="139"/>
        <v>0.0791362313118791</v>
      </c>
      <c r="BI96" s="217">
        <f t="shared" si="140"/>
        <v>0.0175621295121095</v>
      </c>
      <c r="BJ96" s="217">
        <f t="shared" si="141"/>
        <v>0.00120588542951435</v>
      </c>
      <c r="BK96" s="217">
        <f t="shared" si="142"/>
        <v>0.00284188038147688</v>
      </c>
      <c r="BL96">
        <f t="shared" si="143"/>
        <v>0.00348</v>
      </c>
      <c r="BM96">
        <f t="shared" si="144"/>
        <v>1.68823960132009e-6</v>
      </c>
      <c r="BN96">
        <f t="shared" si="145"/>
        <v>0.144490419075195</v>
      </c>
      <c r="BO96" s="220">
        <f t="shared" si="164"/>
        <v>144.490419075195</v>
      </c>
      <c r="BP96" s="5">
        <f t="shared" si="146"/>
        <v>0.399431383125104</v>
      </c>
      <c r="BQ96" s="5">
        <f t="shared" si="147"/>
        <v>0.297105767074523</v>
      </c>
      <c r="BR96" s="217"/>
      <c r="BT96" s="220">
        <f t="shared" si="165"/>
        <v>696.537150199628</v>
      </c>
      <c r="BU96" s="217">
        <f t="shared" si="148"/>
        <v>0.00927024423939156</v>
      </c>
      <c r="BV96" s="217">
        <f t="shared" si="149"/>
        <v>0.0156025936687581</v>
      </c>
      <c r="BW96" s="217">
        <f t="shared" si="150"/>
        <v>0.00626207027849127</v>
      </c>
      <c r="BX96" s="217">
        <f t="shared" si="151"/>
        <v>0</v>
      </c>
      <c r="BY96" s="217">
        <f t="shared" si="152"/>
        <v>0.0430734603562422</v>
      </c>
      <c r="BZ96" s="217">
        <f t="shared" si="166"/>
        <v>0.0311349081866409</v>
      </c>
      <c r="CA96" s="225">
        <f t="shared" si="153"/>
        <v>0.00868237509250331</v>
      </c>
      <c r="CB96" s="220">
        <f t="shared" si="167"/>
        <v>51.7558354487456</v>
      </c>
      <c r="CC96" s="5">
        <f t="shared" si="168"/>
        <v>0.892783404723568</v>
      </c>
      <c r="CD96" s="192">
        <f t="shared" si="169"/>
        <v>4.09551761642662</v>
      </c>
      <c r="CE96" s="5">
        <f t="shared" si="170"/>
        <v>0.821024553061613</v>
      </c>
      <c r="CF96" s="192">
        <f t="shared" si="171"/>
        <v>82.1024553061613</v>
      </c>
      <c r="CG96">
        <f t="shared" si="172"/>
        <v>91</v>
      </c>
      <c r="CI96" s="227">
        <f t="shared" si="154"/>
        <v>-50</v>
      </c>
      <c r="CJ96">
        <f t="shared" si="155"/>
        <v>-50</v>
      </c>
    </row>
    <row r="97" spans="5:88">
      <c r="E97" s="22">
        <v>92</v>
      </c>
      <c r="F97" s="25">
        <f t="shared" si="173"/>
        <v>0.46</v>
      </c>
      <c r="G97" s="25">
        <f t="shared" si="156"/>
        <v>0.368</v>
      </c>
      <c r="H97" s="25">
        <f t="shared" si="105"/>
        <v>8.28</v>
      </c>
      <c r="I97" s="25">
        <f t="shared" si="174"/>
        <v>1.84</v>
      </c>
      <c r="J97" s="212">
        <f t="shared" si="106"/>
        <v>12</v>
      </c>
      <c r="K97" s="131">
        <f t="shared" si="107"/>
        <v>5.12557317221521</v>
      </c>
      <c r="L97" s="131">
        <f t="shared" si="108"/>
        <v>24.2728</v>
      </c>
      <c r="M97" s="131"/>
      <c r="N97" s="25">
        <f t="shared" si="109"/>
        <v>0.505619458818101</v>
      </c>
      <c r="O97" s="27">
        <f t="shared" si="157"/>
        <v>3.3508780498036</v>
      </c>
      <c r="P97" s="27">
        <f t="shared" si="110"/>
        <v>0.744639566623021</v>
      </c>
      <c r="Q97" s="25">
        <f t="shared" si="111"/>
        <v>0.186159891655755</v>
      </c>
      <c r="R97" s="25">
        <f t="shared" si="112"/>
        <v>0.670175609960719</v>
      </c>
      <c r="S97" s="131">
        <f t="shared" si="113"/>
        <v>7.28451749957303</v>
      </c>
      <c r="T97" s="25">
        <f t="shared" si="114"/>
        <v>1.5</v>
      </c>
      <c r="U97" s="25">
        <f t="shared" si="115"/>
        <v>3.125</v>
      </c>
      <c r="V97" s="25">
        <f t="shared" si="116"/>
        <v>7.31625493189339</v>
      </c>
      <c r="W97" s="24">
        <f t="shared" si="117"/>
        <v>350</v>
      </c>
      <c r="X97" s="131">
        <f t="shared" si="158"/>
        <v>95.7739281841922</v>
      </c>
      <c r="Z97" s="25">
        <f t="shared" si="118"/>
        <v>0.410459692217966</v>
      </c>
      <c r="AA97" s="5">
        <f t="shared" si="119"/>
        <v>2.00201849835543</v>
      </c>
      <c r="AB97" s="5">
        <f t="shared" si="120"/>
        <v>0.078478791738897</v>
      </c>
      <c r="AC97" s="5"/>
      <c r="AD97" s="5">
        <f t="shared" si="121"/>
        <v>1.46325098637868</v>
      </c>
      <c r="AE97" s="216">
        <f t="shared" si="122"/>
        <v>3840.36133805822</v>
      </c>
      <c r="AF97" s="217">
        <f t="shared" si="123"/>
        <v>0.0419231384308762</v>
      </c>
      <c r="AH97" s="5">
        <f t="shared" si="124"/>
        <v>1.52090198801332</v>
      </c>
      <c r="AI97" s="5">
        <f t="shared" si="125"/>
        <v>1.5</v>
      </c>
      <c r="AJ97" s="5">
        <f t="shared" si="126"/>
        <v>2.08888888888889</v>
      </c>
      <c r="AL97" s="216">
        <f t="shared" si="127"/>
        <v>460</v>
      </c>
      <c r="AM97" s="220">
        <f t="shared" si="128"/>
        <v>95.7739281841922</v>
      </c>
      <c r="AO97" t="str">
        <f t="shared" si="159"/>
        <v/>
      </c>
      <c r="AP97" t="str">
        <f t="shared" si="129"/>
        <v/>
      </c>
      <c r="AR97" s="192">
        <f t="shared" si="160"/>
        <v>10.4412549318934</v>
      </c>
      <c r="AS97" s="192">
        <f t="shared" si="130"/>
        <v>3.125</v>
      </c>
      <c r="AT97" s="192">
        <f t="shared" si="161"/>
        <v>7.31625493189339</v>
      </c>
      <c r="AU97" s="5">
        <f t="shared" si="162"/>
        <v>0.2992935255756</v>
      </c>
      <c r="AW97" s="192">
        <f t="shared" si="131"/>
        <v>20.1076373742966</v>
      </c>
      <c r="AX97" s="192">
        <f t="shared" si="132"/>
        <v>140.627216784038</v>
      </c>
      <c r="AY97" s="192">
        <f t="shared" si="133"/>
        <v>14.3647440975709</v>
      </c>
      <c r="AZ97" s="192">
        <f t="shared" si="134"/>
        <v>61.5275970209199</v>
      </c>
      <c r="BA97" s="192">
        <f t="shared" si="135"/>
        <v>11.4260030726483</v>
      </c>
      <c r="BB97" s="220">
        <f t="shared" si="136"/>
        <v>28.8819502266347</v>
      </c>
      <c r="BC97" s="192"/>
      <c r="BD97" s="5">
        <f t="shared" si="163"/>
        <v>0.473782802750058</v>
      </c>
      <c r="BE97" s="5">
        <f t="shared" si="137"/>
        <v>0.395616462296471</v>
      </c>
      <c r="BF97" s="5">
        <f t="shared" si="138"/>
        <v>0.299561436471402</v>
      </c>
      <c r="BG97" s="5"/>
      <c r="BH97" s="217">
        <f t="shared" si="139"/>
        <v>0.0785645504635951</v>
      </c>
      <c r="BI97" s="217">
        <f t="shared" si="140"/>
        <v>0.0174352605302194</v>
      </c>
      <c r="BJ97" s="217">
        <f t="shared" si="141"/>
        <v>0.0011971741023024</v>
      </c>
      <c r="BK97" s="217">
        <f t="shared" si="142"/>
        <v>0.00282135061198607</v>
      </c>
      <c r="BL97">
        <f t="shared" si="143"/>
        <v>0.00348</v>
      </c>
      <c r="BM97">
        <f t="shared" si="144"/>
        <v>1.67604374322336e-6</v>
      </c>
      <c r="BN97">
        <f t="shared" si="145"/>
        <v>0.143424659911408</v>
      </c>
      <c r="BO97" s="220">
        <f t="shared" si="164"/>
        <v>143.424659911408</v>
      </c>
      <c r="BP97" s="5">
        <f t="shared" si="146"/>
        <v>0.403041434054026</v>
      </c>
      <c r="BQ97" s="5">
        <f t="shared" si="147"/>
        <v>0.299923847755815</v>
      </c>
      <c r="BR97" s="217"/>
      <c r="BT97" s="220">
        <f t="shared" si="165"/>
        <v>702.965281809841</v>
      </c>
      <c r="BU97" s="217">
        <f t="shared" si="148"/>
        <v>0.00920327591144971</v>
      </c>
      <c r="BV97" s="217">
        <f t="shared" si="149"/>
        <v>0.0156512385239975</v>
      </c>
      <c r="BW97" s="217">
        <f t="shared" si="150"/>
        <v>0.00628159379545667</v>
      </c>
      <c r="BX97" s="217">
        <f t="shared" si="151"/>
        <v>0</v>
      </c>
      <c r="BY97" s="217">
        <f t="shared" si="152"/>
        <v>0.0430751246982204</v>
      </c>
      <c r="BZ97" s="217">
        <f t="shared" si="166"/>
        <v>0.0311361082309039</v>
      </c>
      <c r="CA97" s="225">
        <f t="shared" si="153"/>
        <v>0.00861965353657729</v>
      </c>
      <c r="CB97" s="220">
        <f t="shared" si="167"/>
        <v>51.6947782347977</v>
      </c>
      <c r="CC97" s="5">
        <f t="shared" si="168"/>
        <v>0.898084719956047</v>
      </c>
      <c r="CD97" s="192">
        <f t="shared" si="169"/>
        <v>4.09551761642662</v>
      </c>
      <c r="CE97" s="5">
        <f t="shared" si="170"/>
        <v>0.820152935804934</v>
      </c>
      <c r="CF97" s="192">
        <f t="shared" si="171"/>
        <v>82.0152935804934</v>
      </c>
      <c r="CG97">
        <f t="shared" si="172"/>
        <v>92</v>
      </c>
      <c r="CI97" s="227">
        <f t="shared" si="154"/>
        <v>-50</v>
      </c>
      <c r="CJ97">
        <f t="shared" si="155"/>
        <v>-50</v>
      </c>
    </row>
    <row r="98" spans="5:88">
      <c r="E98" s="22">
        <v>93</v>
      </c>
      <c r="F98" s="25">
        <f t="shared" si="173"/>
        <v>0.465</v>
      </c>
      <c r="G98" s="25">
        <f t="shared" si="156"/>
        <v>0.372</v>
      </c>
      <c r="H98" s="25">
        <f t="shared" si="105"/>
        <v>8.37</v>
      </c>
      <c r="I98" s="25">
        <f t="shared" si="174"/>
        <v>1.86</v>
      </c>
      <c r="J98" s="212">
        <f t="shared" si="106"/>
        <v>12</v>
      </c>
      <c r="K98" s="131">
        <f t="shared" si="107"/>
        <v>5.0733282993957</v>
      </c>
      <c r="L98" s="131">
        <f t="shared" si="108"/>
        <v>24.2728</v>
      </c>
      <c r="M98" s="131"/>
      <c r="N98" s="25">
        <f t="shared" si="109"/>
        <v>0.505619458818101</v>
      </c>
      <c r="O98" s="27">
        <f t="shared" si="157"/>
        <v>3.3508780498036</v>
      </c>
      <c r="P98" s="27">
        <f t="shared" si="110"/>
        <v>0.744639566623021</v>
      </c>
      <c r="Q98" s="25">
        <f t="shared" si="111"/>
        <v>0.186159891655755</v>
      </c>
      <c r="R98" s="25">
        <f t="shared" si="112"/>
        <v>0.670175609960719</v>
      </c>
      <c r="S98" s="131">
        <f t="shared" si="113"/>
        <v>7.20618935441634</v>
      </c>
      <c r="T98" s="25">
        <f t="shared" si="114"/>
        <v>1.5</v>
      </c>
      <c r="U98" s="25">
        <f t="shared" si="115"/>
        <v>3.125</v>
      </c>
      <c r="V98" s="25">
        <f t="shared" si="116"/>
        <v>7.39159734734035</v>
      </c>
      <c r="W98" s="24">
        <f t="shared" si="117"/>
        <v>350</v>
      </c>
      <c r="X98" s="131">
        <f t="shared" si="158"/>
        <v>95.0877899925397</v>
      </c>
      <c r="Z98" s="25">
        <f t="shared" si="118"/>
        <v>0.407519099968027</v>
      </c>
      <c r="AA98" s="5">
        <f t="shared" si="119"/>
        <v>2.00814473220947</v>
      </c>
      <c r="AB98" s="5">
        <f t="shared" si="120"/>
        <v>0.0781549852881454</v>
      </c>
      <c r="AC98" s="5"/>
      <c r="AD98" s="5">
        <f t="shared" si="121"/>
        <v>1.47831946946807</v>
      </c>
      <c r="AE98" s="216">
        <f t="shared" si="122"/>
        <v>3842.5341775644</v>
      </c>
      <c r="AF98" s="217">
        <f t="shared" si="123"/>
        <v>0.042354860745353</v>
      </c>
      <c r="AH98" s="5">
        <f t="shared" si="124"/>
        <v>1.52914541960067</v>
      </c>
      <c r="AI98" s="5">
        <f t="shared" si="125"/>
        <v>1.5</v>
      </c>
      <c r="AJ98" s="5">
        <f t="shared" si="126"/>
        <v>2.08888888888889</v>
      </c>
      <c r="AL98" s="216">
        <f t="shared" si="127"/>
        <v>465</v>
      </c>
      <c r="AM98" s="220">
        <f t="shared" si="128"/>
        <v>95.0877899925397</v>
      </c>
      <c r="AO98" t="str">
        <f t="shared" si="159"/>
        <v/>
      </c>
      <c r="AP98" t="str">
        <f t="shared" si="129"/>
        <v/>
      </c>
      <c r="AR98" s="192">
        <f t="shared" si="160"/>
        <v>10.5165973473404</v>
      </c>
      <c r="AS98" s="192">
        <f t="shared" si="130"/>
        <v>3.125</v>
      </c>
      <c r="AT98" s="192">
        <f t="shared" si="161"/>
        <v>7.39159734734035</v>
      </c>
      <c r="AU98" s="5">
        <f t="shared" si="162"/>
        <v>0.297149343726687</v>
      </c>
      <c r="AW98" s="192">
        <f t="shared" si="131"/>
        <v>20.1076373742966</v>
      </c>
      <c r="AX98" s="192">
        <f t="shared" si="132"/>
        <v>143.685781895693</v>
      </c>
      <c r="AY98" s="192">
        <f t="shared" si="133"/>
        <v>14.3647440975709</v>
      </c>
      <c r="AZ98" s="192">
        <f t="shared" si="134"/>
        <v>62.8643358499452</v>
      </c>
      <c r="BA98" s="192">
        <f t="shared" si="135"/>
        <v>11.6691421085327</v>
      </c>
      <c r="BB98" s="220">
        <f t="shared" si="136"/>
        <v>29.1676596615673</v>
      </c>
      <c r="BC98" s="192"/>
      <c r="BD98" s="5">
        <f t="shared" si="163"/>
        <v>0.472082628143649</v>
      </c>
      <c r="BE98" s="5">
        <f t="shared" si="137"/>
        <v>0.396221298789435</v>
      </c>
      <c r="BF98" s="5">
        <f t="shared" si="138"/>
        <v>0.30001941965949</v>
      </c>
      <c r="BG98" s="5"/>
      <c r="BH98" s="217">
        <f t="shared" si="139"/>
        <v>0.0780017027282552</v>
      </c>
      <c r="BI98" s="217">
        <f t="shared" si="140"/>
        <v>0.0173103518169819</v>
      </c>
      <c r="BJ98" s="217">
        <f t="shared" si="141"/>
        <v>0.00118859737490675</v>
      </c>
      <c r="BK98" s="217">
        <f t="shared" si="142"/>
        <v>0.00280113805055492</v>
      </c>
      <c r="BL98">
        <f t="shared" si="143"/>
        <v>0.00348</v>
      </c>
      <c r="BM98">
        <f t="shared" si="144"/>
        <v>1.66403632486945e-6</v>
      </c>
      <c r="BN98">
        <f t="shared" si="145"/>
        <v>0.142376068284968</v>
      </c>
      <c r="BO98" s="220">
        <f t="shared" si="164"/>
        <v>142.376068284968</v>
      </c>
      <c r="BP98" s="5">
        <f t="shared" si="146"/>
        <v>0.406646715592209</v>
      </c>
      <c r="BQ98" s="5">
        <f t="shared" si="147"/>
        <v>0.302739193886261</v>
      </c>
      <c r="BR98" s="217"/>
      <c r="BT98" s="220">
        <f t="shared" si="165"/>
        <v>709.38590947847</v>
      </c>
      <c r="BU98" s="217">
        <f t="shared" si="148"/>
        <v>0.00913734231959561</v>
      </c>
      <c r="BV98" s="217">
        <f t="shared" si="149"/>
        <v>0.0156991317614387</v>
      </c>
      <c r="BW98" s="217">
        <f t="shared" si="150"/>
        <v>0.00630081565209719</v>
      </c>
      <c r="BX98" s="217">
        <f t="shared" si="151"/>
        <v>0</v>
      </c>
      <c r="BY98" s="217">
        <f t="shared" si="152"/>
        <v>0.0430767633245536</v>
      </c>
      <c r="BZ98" s="217">
        <f t="shared" si="166"/>
        <v>0.0311372897331315</v>
      </c>
      <c r="CA98" s="225">
        <f t="shared" si="153"/>
        <v>0.00855790109932857</v>
      </c>
      <c r="CB98" s="220">
        <f t="shared" si="167"/>
        <v>51.6346644238822</v>
      </c>
      <c r="CC98" s="5">
        <f t="shared" si="168"/>
        <v>0.90339664218732</v>
      </c>
      <c r="CD98" s="192">
        <f t="shared" si="169"/>
        <v>4.09551761642662</v>
      </c>
      <c r="CE98" s="5">
        <f t="shared" si="170"/>
        <v>0.819281428836148</v>
      </c>
      <c r="CF98" s="192">
        <f t="shared" si="171"/>
        <v>81.9281428836148</v>
      </c>
      <c r="CG98">
        <f t="shared" si="172"/>
        <v>93</v>
      </c>
      <c r="CI98" s="227">
        <f t="shared" si="154"/>
        <v>-50</v>
      </c>
      <c r="CJ98">
        <f t="shared" si="155"/>
        <v>-50</v>
      </c>
    </row>
    <row r="99" spans="5:88">
      <c r="E99" s="22">
        <v>94</v>
      </c>
      <c r="F99" s="25">
        <f t="shared" si="173"/>
        <v>0.47</v>
      </c>
      <c r="G99" s="25">
        <f t="shared" si="156"/>
        <v>0.376</v>
      </c>
      <c r="H99" s="25">
        <f t="shared" si="105"/>
        <v>8.46</v>
      </c>
      <c r="I99" s="25">
        <f t="shared" si="174"/>
        <v>1.88</v>
      </c>
      <c r="J99" s="212">
        <f t="shared" si="106"/>
        <v>12</v>
      </c>
      <c r="K99" s="131">
        <f t="shared" si="107"/>
        <v>5.02219501961489</v>
      </c>
      <c r="L99" s="131">
        <f t="shared" si="108"/>
        <v>24.2728</v>
      </c>
      <c r="M99" s="131"/>
      <c r="N99" s="25">
        <f t="shared" si="109"/>
        <v>0.505619458818101</v>
      </c>
      <c r="O99" s="27">
        <f t="shared" si="157"/>
        <v>3.3508780498036</v>
      </c>
      <c r="P99" s="27">
        <f t="shared" si="110"/>
        <v>0.744639566623021</v>
      </c>
      <c r="Q99" s="25">
        <f t="shared" si="111"/>
        <v>0.186159891655755</v>
      </c>
      <c r="R99" s="25">
        <f t="shared" si="112"/>
        <v>0.670175609960719</v>
      </c>
      <c r="S99" s="131">
        <f t="shared" si="113"/>
        <v>7.12952776553957</v>
      </c>
      <c r="T99" s="25">
        <f t="shared" si="114"/>
        <v>1.5</v>
      </c>
      <c r="U99" s="25">
        <f t="shared" si="115"/>
        <v>3.125</v>
      </c>
      <c r="V99" s="25">
        <f t="shared" si="116"/>
        <v>7.46685460312442</v>
      </c>
      <c r="W99" s="24">
        <f t="shared" si="117"/>
        <v>350</v>
      </c>
      <c r="X99" s="131">
        <f t="shared" si="158"/>
        <v>94.4121721331991</v>
      </c>
      <c r="Z99" s="25">
        <f t="shared" si="118"/>
        <v>0.404623594856567</v>
      </c>
      <c r="AA99" s="5">
        <f t="shared" si="119"/>
        <v>2.01417703452501</v>
      </c>
      <c r="AB99" s="5">
        <f t="shared" si="120"/>
        <v>0.0778327814883096</v>
      </c>
      <c r="AC99" s="5"/>
      <c r="AD99" s="5">
        <f t="shared" si="121"/>
        <v>1.49337092062488</v>
      </c>
      <c r="AE99" s="216">
        <f t="shared" si="122"/>
        <v>3844.70701707057</v>
      </c>
      <c r="AF99" s="217">
        <f t="shared" si="123"/>
        <v>0.0427860950833488</v>
      </c>
      <c r="AH99" s="5">
        <f t="shared" si="124"/>
        <v>1.53734464952676</v>
      </c>
      <c r="AI99" s="5">
        <f t="shared" si="125"/>
        <v>1.5</v>
      </c>
      <c r="AJ99" s="5">
        <f t="shared" si="126"/>
        <v>2.08888888888889</v>
      </c>
      <c r="AL99" s="216">
        <f t="shared" si="127"/>
        <v>470</v>
      </c>
      <c r="AM99" s="220">
        <f t="shared" si="128"/>
        <v>94.4121721331991</v>
      </c>
      <c r="AO99" t="str">
        <f t="shared" si="159"/>
        <v/>
      </c>
      <c r="AP99" t="str">
        <f t="shared" si="129"/>
        <v/>
      </c>
      <c r="AR99" s="192">
        <f t="shared" si="160"/>
        <v>10.5918546031244</v>
      </c>
      <c r="AS99" s="192">
        <f t="shared" si="130"/>
        <v>3.125</v>
      </c>
      <c r="AT99" s="192">
        <f t="shared" si="161"/>
        <v>7.46685460312442</v>
      </c>
      <c r="AU99" s="5">
        <f t="shared" si="162"/>
        <v>0.295038037916247</v>
      </c>
      <c r="AW99" s="192">
        <f t="shared" si="131"/>
        <v>20.1076373742966</v>
      </c>
      <c r="AX99" s="192">
        <f t="shared" si="132"/>
        <v>146.77725041396</v>
      </c>
      <c r="AY99" s="192">
        <f t="shared" si="133"/>
        <v>14.3647440975709</v>
      </c>
      <c r="AZ99" s="192">
        <f t="shared" si="134"/>
        <v>64.2154394230681</v>
      </c>
      <c r="BA99" s="192">
        <f t="shared" si="135"/>
        <v>11.9147031784424</v>
      </c>
      <c r="BB99" s="220">
        <f t="shared" si="136"/>
        <v>29.4530461586299</v>
      </c>
      <c r="BC99" s="192"/>
      <c r="BD99" s="5">
        <f t="shared" si="163"/>
        <v>0.470402517464762</v>
      </c>
      <c r="BE99" s="5">
        <f t="shared" si="137"/>
        <v>0.396815960711589</v>
      </c>
      <c r="BF99" s="5">
        <f t="shared" si="138"/>
        <v>0.300469698645812</v>
      </c>
      <c r="BG99" s="5"/>
      <c r="BH99" s="217">
        <f t="shared" si="139"/>
        <v>0.0774474849530149</v>
      </c>
      <c r="BI99" s="217">
        <f t="shared" si="140"/>
        <v>0.0171873582881604</v>
      </c>
      <c r="BJ99" s="217">
        <f t="shared" si="141"/>
        <v>0.00118015215166499</v>
      </c>
      <c r="BK99" s="217">
        <f t="shared" si="142"/>
        <v>0.00278123540171239</v>
      </c>
      <c r="BL99">
        <f t="shared" si="143"/>
        <v>0.00348</v>
      </c>
      <c r="BM99">
        <f t="shared" si="144"/>
        <v>1.65221301233098e-6</v>
      </c>
      <c r="BN99">
        <f t="shared" si="145"/>
        <v>0.141344232701093</v>
      </c>
      <c r="BO99" s="220">
        <f t="shared" si="164"/>
        <v>141.344232701092</v>
      </c>
      <c r="BP99" s="5">
        <f t="shared" si="146"/>
        <v>0.410247337430914</v>
      </c>
      <c r="BQ99" s="5">
        <f t="shared" si="147"/>
        <v>0.305551868357822</v>
      </c>
      <c r="BR99" s="217"/>
      <c r="BT99" s="220">
        <f t="shared" si="165"/>
        <v>715.799205788736</v>
      </c>
      <c r="BU99" s="217">
        <f t="shared" si="148"/>
        <v>0.0090724196659246</v>
      </c>
      <c r="BV99" s="217">
        <f t="shared" si="149"/>
        <v>0.0157462906675461</v>
      </c>
      <c r="BW99" s="217">
        <f t="shared" si="150"/>
        <v>0.00631974278630137</v>
      </c>
      <c r="BX99" s="217">
        <f t="shared" si="151"/>
        <v>0</v>
      </c>
      <c r="BY99" s="217">
        <f t="shared" si="152"/>
        <v>0.043078376826669</v>
      </c>
      <c r="BZ99" s="217">
        <f t="shared" si="166"/>
        <v>0.0311384531197721</v>
      </c>
      <c r="CA99" s="225">
        <f t="shared" si="153"/>
        <v>0.00849709549198792</v>
      </c>
      <c r="CB99" s="220">
        <f t="shared" si="167"/>
        <v>51.5754723186569</v>
      </c>
      <c r="CC99" s="5">
        <f t="shared" si="168"/>
        <v>0.908718910808485</v>
      </c>
      <c r="CD99" s="192">
        <f t="shared" si="169"/>
        <v>4.09551761642662</v>
      </c>
      <c r="CE99" s="5">
        <f t="shared" si="170"/>
        <v>0.818410079966671</v>
      </c>
      <c r="CF99" s="192">
        <f t="shared" si="171"/>
        <v>81.8410079966671</v>
      </c>
      <c r="CG99">
        <f t="shared" si="172"/>
        <v>94</v>
      </c>
      <c r="CI99" s="227">
        <f t="shared" si="154"/>
        <v>-50</v>
      </c>
      <c r="CJ99">
        <f t="shared" si="155"/>
        <v>-50</v>
      </c>
    </row>
    <row r="100" spans="5:88">
      <c r="E100" s="22">
        <v>95</v>
      </c>
      <c r="F100" s="25">
        <f t="shared" si="173"/>
        <v>0.475</v>
      </c>
      <c r="G100" s="25">
        <f t="shared" si="156"/>
        <v>0.38</v>
      </c>
      <c r="H100" s="25">
        <f t="shared" si="105"/>
        <v>8.55</v>
      </c>
      <c r="I100" s="25">
        <f t="shared" si="174"/>
        <v>1.9</v>
      </c>
      <c r="J100" s="212">
        <f t="shared" si="106"/>
        <v>12</v>
      </c>
      <c r="K100" s="131">
        <f t="shared" si="107"/>
        <v>4.97213822993473</v>
      </c>
      <c r="L100" s="131">
        <f t="shared" si="108"/>
        <v>24.2728</v>
      </c>
      <c r="M100" s="131"/>
      <c r="N100" s="25">
        <f t="shared" si="109"/>
        <v>0.505619458818101</v>
      </c>
      <c r="O100" s="27">
        <f t="shared" si="157"/>
        <v>3.3508780498036</v>
      </c>
      <c r="P100" s="27">
        <f t="shared" si="110"/>
        <v>0.744639566623021</v>
      </c>
      <c r="Q100" s="25">
        <f t="shared" si="111"/>
        <v>0.186159891655755</v>
      </c>
      <c r="R100" s="25">
        <f t="shared" si="112"/>
        <v>0.670175609960719</v>
      </c>
      <c r="S100" s="131">
        <f t="shared" si="113"/>
        <v>7.05448010484968</v>
      </c>
      <c r="T100" s="25">
        <f t="shared" si="114"/>
        <v>1.5</v>
      </c>
      <c r="U100" s="25">
        <f t="shared" si="115"/>
        <v>3.125</v>
      </c>
      <c r="V100" s="25">
        <f t="shared" si="116"/>
        <v>7.54202684354821</v>
      </c>
      <c r="W100" s="24">
        <f t="shared" si="117"/>
        <v>350</v>
      </c>
      <c r="X100" s="131">
        <f t="shared" si="158"/>
        <v>93.7468344897655</v>
      </c>
      <c r="Z100" s="25">
        <f t="shared" si="118"/>
        <v>0.401772147813281</v>
      </c>
      <c r="AA100" s="5">
        <f t="shared" si="119"/>
        <v>2.02011754919852</v>
      </c>
      <c r="AB100" s="5">
        <f t="shared" si="120"/>
        <v>0.0775122199148258</v>
      </c>
      <c r="AC100" s="5"/>
      <c r="AD100" s="5">
        <f t="shared" si="121"/>
        <v>1.50840536870964</v>
      </c>
      <c r="AE100" s="216">
        <f t="shared" si="122"/>
        <v>3846.87985657674</v>
      </c>
      <c r="AF100" s="217">
        <f t="shared" si="123"/>
        <v>0.0432168422717372</v>
      </c>
      <c r="AH100" s="5">
        <f t="shared" si="124"/>
        <v>1.54550038129126</v>
      </c>
      <c r="AI100" s="5">
        <f t="shared" si="125"/>
        <v>1.5</v>
      </c>
      <c r="AJ100" s="5">
        <f t="shared" si="126"/>
        <v>2.08888888888889</v>
      </c>
      <c r="AL100" s="216">
        <f t="shared" si="127"/>
        <v>475</v>
      </c>
      <c r="AM100" s="220">
        <f t="shared" si="128"/>
        <v>93.7468344897655</v>
      </c>
      <c r="AO100" t="str">
        <f t="shared" si="159"/>
        <v/>
      </c>
      <c r="AP100" t="str">
        <f t="shared" si="129"/>
        <v/>
      </c>
      <c r="AR100" s="192">
        <f t="shared" si="160"/>
        <v>10.6670268435482</v>
      </c>
      <c r="AS100" s="192">
        <f t="shared" si="130"/>
        <v>3.125</v>
      </c>
      <c r="AT100" s="192">
        <f t="shared" si="161"/>
        <v>7.54202684354821</v>
      </c>
      <c r="AU100" s="5">
        <f t="shared" si="162"/>
        <v>0.292958857780517</v>
      </c>
      <c r="AW100" s="192">
        <f t="shared" si="131"/>
        <v>20.1076373742966</v>
      </c>
      <c r="AX100" s="192">
        <f t="shared" si="132"/>
        <v>149.90162233884</v>
      </c>
      <c r="AY100" s="192">
        <f t="shared" si="133"/>
        <v>14.3647440975709</v>
      </c>
      <c r="AZ100" s="192">
        <f t="shared" si="134"/>
        <v>65.5809077402885</v>
      </c>
      <c r="BA100" s="192">
        <f t="shared" si="135"/>
        <v>12.1626821782529</v>
      </c>
      <c r="BB100" s="220">
        <f t="shared" si="136"/>
        <v>29.738110265039</v>
      </c>
      <c r="BC100" s="192"/>
      <c r="BD100" s="5">
        <f t="shared" si="163"/>
        <v>0.46874208615761</v>
      </c>
      <c r="BE100" s="5">
        <f t="shared" si="137"/>
        <v>0.397400704613392</v>
      </c>
      <c r="BF100" s="5">
        <f t="shared" si="138"/>
        <v>0.300912467690799</v>
      </c>
      <c r="BG100" s="5"/>
      <c r="BH100" s="217">
        <f t="shared" si="139"/>
        <v>0.0769017001673858</v>
      </c>
      <c r="BI100" s="217">
        <f t="shared" si="140"/>
        <v>0.0170662362315239</v>
      </c>
      <c r="BJ100" s="217">
        <f t="shared" si="141"/>
        <v>0.00117183543112207</v>
      </c>
      <c r="BK100" s="217">
        <f t="shared" si="142"/>
        <v>0.00276163559200355</v>
      </c>
      <c r="BL100">
        <f t="shared" si="143"/>
        <v>0.00348</v>
      </c>
      <c r="BM100">
        <f t="shared" si="144"/>
        <v>1.6405696035709e-6</v>
      </c>
      <c r="BN100">
        <f t="shared" si="145"/>
        <v>0.140328754711782</v>
      </c>
      <c r="BO100" s="220">
        <f t="shared" si="164"/>
        <v>140.328754711782</v>
      </c>
      <c r="BP100" s="5">
        <f t="shared" si="146"/>
        <v>0.413843405923273</v>
      </c>
      <c r="BQ100" s="5">
        <f t="shared" si="147"/>
        <v>0.308361932148526</v>
      </c>
      <c r="BR100" s="217"/>
      <c r="BT100" s="220">
        <f t="shared" si="165"/>
        <v>722.205338071799</v>
      </c>
      <c r="BU100" s="217">
        <f t="shared" si="148"/>
        <v>0.00900848487675091</v>
      </c>
      <c r="BV100" s="217">
        <f t="shared" si="149"/>
        <v>0.015792732002722</v>
      </c>
      <c r="BW100" s="217">
        <f t="shared" si="150"/>
        <v>0.00633838192482362</v>
      </c>
      <c r="BX100" s="217">
        <f t="shared" si="151"/>
        <v>0</v>
      </c>
      <c r="BY100" s="217">
        <f t="shared" si="152"/>
        <v>0.0430799657779956</v>
      </c>
      <c r="BZ100" s="217">
        <f t="shared" si="166"/>
        <v>0.0311395988042966</v>
      </c>
      <c r="CA100" s="225">
        <f t="shared" si="153"/>
        <v>0.0084372151040789</v>
      </c>
      <c r="CB100" s="220">
        <f t="shared" si="167"/>
        <v>51.5171808820745</v>
      </c>
      <c r="CC100" s="5">
        <f t="shared" si="168"/>
        <v>0.914051273665655</v>
      </c>
      <c r="CD100" s="192">
        <f t="shared" si="169"/>
        <v>4.09551761642662</v>
      </c>
      <c r="CE100" s="5">
        <f t="shared" si="170"/>
        <v>0.817538935241827</v>
      </c>
      <c r="CF100" s="192">
        <f t="shared" si="171"/>
        <v>81.7538935241827</v>
      </c>
      <c r="CG100">
        <f t="shared" si="172"/>
        <v>95</v>
      </c>
      <c r="CI100" s="227">
        <f t="shared" si="154"/>
        <v>-50</v>
      </c>
      <c r="CJ100">
        <f t="shared" si="155"/>
        <v>-50</v>
      </c>
    </row>
    <row r="101" spans="5:88">
      <c r="E101" s="22">
        <v>96</v>
      </c>
      <c r="F101" s="25">
        <f t="shared" si="173"/>
        <v>0.48</v>
      </c>
      <c r="G101" s="25">
        <f t="shared" si="156"/>
        <v>0.384</v>
      </c>
      <c r="H101" s="25">
        <f t="shared" si="105"/>
        <v>8.64</v>
      </c>
      <c r="I101" s="25">
        <f t="shared" si="174"/>
        <v>1.92</v>
      </c>
      <c r="J101" s="212">
        <f t="shared" si="106"/>
        <v>12</v>
      </c>
      <c r="K101" s="131">
        <f t="shared" si="107"/>
        <v>4.92312429003958</v>
      </c>
      <c r="L101" s="131">
        <f t="shared" si="108"/>
        <v>24.2728</v>
      </c>
      <c r="M101" s="131"/>
      <c r="N101" s="25">
        <f t="shared" si="109"/>
        <v>0.505619458818101</v>
      </c>
      <c r="O101" s="27">
        <f t="shared" si="157"/>
        <v>3.3508780498036</v>
      </c>
      <c r="P101" s="27">
        <f t="shared" si="110"/>
        <v>0.744639566623021</v>
      </c>
      <c r="Q101" s="25">
        <f t="shared" si="111"/>
        <v>0.186159891655755</v>
      </c>
      <c r="R101" s="25">
        <f t="shared" si="112"/>
        <v>0.670175609960719</v>
      </c>
      <c r="S101" s="131">
        <f t="shared" si="113"/>
        <v>6.98099593709083</v>
      </c>
      <c r="T101" s="25">
        <f t="shared" si="114"/>
        <v>1.5</v>
      </c>
      <c r="U101" s="25">
        <f t="shared" si="115"/>
        <v>3.125</v>
      </c>
      <c r="V101" s="25">
        <f t="shared" si="116"/>
        <v>7.61711421258847</v>
      </c>
      <c r="W101" s="24">
        <f t="shared" si="117"/>
        <v>350</v>
      </c>
      <c r="X101" s="131">
        <f t="shared" si="158"/>
        <v>93.0915441978936</v>
      </c>
      <c r="Z101" s="25">
        <f t="shared" si="118"/>
        <v>0.398963760848115</v>
      </c>
      <c r="AA101" s="5">
        <f t="shared" si="119"/>
        <v>2.02596835537595</v>
      </c>
      <c r="AB101" s="5">
        <f t="shared" ref="AB101:AB105" si="175">0.5*AA101*Z101*Nps*W101/1000*(Pout/Pout_total)</f>
        <v>0.077193336665194</v>
      </c>
      <c r="AC101" s="5"/>
      <c r="AD101" s="5">
        <f t="shared" si="121"/>
        <v>1.52342284251769</v>
      </c>
      <c r="AE101" s="216">
        <f t="shared" ref="AE101:AE105" si="176">MAX(10,F101/(0.5*AD101/1000000*Isw_min*Nps)/1000*Pout_total/Pout)</f>
        <v>3849.05269608292</v>
      </c>
      <c r="AF101" s="217">
        <f t="shared" si="123"/>
        <v>0.0436471031355245</v>
      </c>
      <c r="AH101" s="5">
        <f t="shared" si="124"/>
        <v>1.55361329992836</v>
      </c>
      <c r="AI101" s="5">
        <f t="shared" ref="AI101:AI105" si="177">MAX(IF(F101&gt;AB101,T101,AH101),Isw_min)</f>
        <v>1.5</v>
      </c>
      <c r="AJ101" s="5">
        <f t="shared" ref="AJ101:AJ105" si="178">IF(F101&gt;AF101,(AI101-Isw_min)/1.08*0.8+1.2,AE101*0.2/350+1)</f>
        <v>2.08888888888889</v>
      </c>
      <c r="AL101" s="216">
        <f t="shared" si="127"/>
        <v>480</v>
      </c>
      <c r="AM101" s="220">
        <f t="shared" si="128"/>
        <v>93.0915441978936</v>
      </c>
      <c r="AO101" t="str">
        <f t="shared" si="159"/>
        <v/>
      </c>
      <c r="AP101" t="str">
        <f t="shared" si="129"/>
        <v/>
      </c>
      <c r="AR101" s="192">
        <f t="shared" si="160"/>
        <v>10.7421142125885</v>
      </c>
      <c r="AS101" s="192">
        <f t="shared" si="130"/>
        <v>3.125</v>
      </c>
      <c r="AT101" s="192">
        <f t="shared" si="161"/>
        <v>7.61711421258847</v>
      </c>
      <c r="AU101" s="5">
        <f t="shared" si="162"/>
        <v>0.290911075618417</v>
      </c>
      <c r="AW101" s="192">
        <f t="shared" si="131"/>
        <v>20.1076373742966</v>
      </c>
      <c r="AX101" s="192">
        <f t="shared" si="132"/>
        <v>153.058897670333</v>
      </c>
      <c r="AY101" s="192">
        <f t="shared" si="133"/>
        <v>14.3647440975709</v>
      </c>
      <c r="AZ101" s="192">
        <f t="shared" si="134"/>
        <v>66.9607408016065</v>
      </c>
      <c r="BA101" s="192">
        <f t="shared" si="135"/>
        <v>12.4130750131071</v>
      </c>
      <c r="BB101" s="220">
        <f t="shared" si="136"/>
        <v>30.0228525267756</v>
      </c>
      <c r="BC101" s="192"/>
      <c r="BD101" s="5">
        <f t="shared" si="163"/>
        <v>0.467100959872502</v>
      </c>
      <c r="BE101" s="5">
        <f t="shared" si="137"/>
        <v>0.39797577842334</v>
      </c>
      <c r="BF101" s="5">
        <f t="shared" si="138"/>
        <v>0.301347914526315</v>
      </c>
      <c r="BG101" s="5"/>
      <c r="BH101" s="217">
        <f t="shared" si="139"/>
        <v>0.0763641573498346</v>
      </c>
      <c r="BI101" s="217">
        <f t="shared" si="140"/>
        <v>0.0169469432550497</v>
      </c>
      <c r="BJ101" s="217">
        <f t="shared" si="141"/>
        <v>0.00116364430247367</v>
      </c>
      <c r="BK101" s="217">
        <f t="shared" si="142"/>
        <v>0.00274233176160781</v>
      </c>
      <c r="BL101">
        <f t="shared" si="143"/>
        <v>0.00348</v>
      </c>
      <c r="BM101">
        <f t="shared" si="144"/>
        <v>1.62910202346314e-6</v>
      </c>
      <c r="BN101">
        <f t="shared" ref="BN101:BN105" si="179">(BI101+BJ101+BK101+BL101+BM101+BH101*(1+RdsonTC*(Ta-25)))/(1-BH101*RdsonTC*ThetaJA)</f>
        <v>0.139329248402806</v>
      </c>
      <c r="BO101" s="220">
        <f t="shared" si="164"/>
        <v>139.329248402806</v>
      </c>
      <c r="BP101" s="5">
        <f t="shared" si="146"/>
        <v>0.417435024210311</v>
      </c>
      <c r="BQ101" s="5">
        <f t="shared" si="147"/>
        <v>0.311169444394728</v>
      </c>
      <c r="BR101" s="217"/>
      <c r="BT101" s="220">
        <f t="shared" si="165"/>
        <v>728.604468605039</v>
      </c>
      <c r="BU101" s="217">
        <f t="shared" si="148"/>
        <v>0.00894551557526633</v>
      </c>
      <c r="BV101" s="217">
        <f t="shared" si="149"/>
        <v>0.0158384720211663</v>
      </c>
      <c r="BW101" s="217">
        <f t="shared" si="150"/>
        <v>0.00635673959125515</v>
      </c>
      <c r="BX101" s="217">
        <f t="shared" si="151"/>
        <v>0</v>
      </c>
      <c r="BY101" s="217">
        <f t="shared" ref="BY101:BY164" si="180">(BX101+(BU101+BV101+BW101)*(1+Ltc*(Ta-25)))/(1-(BU101+BV101+BW101)*Ltc*ThetaCa)</f>
        <v>0.0430815307346441</v>
      </c>
      <c r="BZ101" s="217">
        <f t="shared" si="166"/>
        <v>0.0311407271876878</v>
      </c>
      <c r="CA101" s="225">
        <f t="shared" si="153"/>
        <v>0.00837823897781042</v>
      </c>
      <c r="CB101" s="220">
        <f t="shared" si="167"/>
        <v>51.4597697124545</v>
      </c>
      <c r="CC101" s="5">
        <f t="shared" si="168"/>
        <v>0.919393486720299</v>
      </c>
      <c r="CD101" s="192">
        <f t="shared" si="169"/>
        <v>4.09551761642662</v>
      </c>
      <c r="CE101" s="5">
        <f t="shared" si="170"/>
        <v>0.816668039012024</v>
      </c>
      <c r="CF101" s="192">
        <f t="shared" si="171"/>
        <v>81.6668039012024</v>
      </c>
      <c r="CG101">
        <f t="shared" si="172"/>
        <v>96</v>
      </c>
      <c r="CI101" s="227">
        <f t="shared" si="154"/>
        <v>-50</v>
      </c>
      <c r="CJ101">
        <f t="shared" si="155"/>
        <v>-50</v>
      </c>
    </row>
    <row r="102" spans="5:88">
      <c r="E102" s="22">
        <v>97</v>
      </c>
      <c r="F102" s="25">
        <f t="shared" si="173"/>
        <v>0.485</v>
      </c>
      <c r="G102" s="25">
        <f t="shared" si="156"/>
        <v>0.388</v>
      </c>
      <c r="H102" s="25">
        <f t="shared" si="105"/>
        <v>8.73</v>
      </c>
      <c r="I102" s="25">
        <f t="shared" si="174"/>
        <v>1.94</v>
      </c>
      <c r="J102" s="212">
        <f t="shared" si="106"/>
        <v>12</v>
      </c>
      <c r="K102" s="131">
        <f t="shared" si="107"/>
        <v>4.8751209468433</v>
      </c>
      <c r="L102" s="131">
        <f t="shared" si="108"/>
        <v>24.2728</v>
      </c>
      <c r="M102" s="131"/>
      <c r="N102" s="25">
        <f t="shared" si="109"/>
        <v>0.505619458818101</v>
      </c>
      <c r="O102" s="27">
        <f t="shared" ref="O102:O105" si="181">N102*J102*Isw_max*0.5*Efficiency*Pout/(Pout+Pout2)</f>
        <v>3.3508780498036</v>
      </c>
      <c r="P102" s="27">
        <f t="shared" si="110"/>
        <v>0.744639566623021</v>
      </c>
      <c r="Q102" s="25">
        <f t="shared" si="111"/>
        <v>0.186159891655755</v>
      </c>
      <c r="R102" s="25">
        <f t="shared" si="112"/>
        <v>0.670175609960719</v>
      </c>
      <c r="S102" s="131">
        <f t="shared" si="113"/>
        <v>6.90902690681154</v>
      </c>
      <c r="T102" s="25">
        <f t="shared" si="114"/>
        <v>1.5</v>
      </c>
      <c r="U102" s="25">
        <f t="shared" si="115"/>
        <v>3.125</v>
      </c>
      <c r="V102" s="25">
        <f t="shared" si="116"/>
        <v>7.69211685389707</v>
      </c>
      <c r="W102" s="24">
        <f t="shared" si="117"/>
        <v>350</v>
      </c>
      <c r="X102" s="131">
        <f t="shared" si="158"/>
        <v>92.4460753735623</v>
      </c>
      <c r="Z102" s="25">
        <f t="shared" si="118"/>
        <v>0.396197465886696</v>
      </c>
      <c r="AA102" s="5">
        <f t="shared" si="119"/>
        <v>2.03173146987891</v>
      </c>
      <c r="AB102" s="5">
        <f t="shared" si="175"/>
        <v>0.0768761645741859</v>
      </c>
      <c r="AC102" s="5"/>
      <c r="AD102" s="5">
        <f t="shared" si="121"/>
        <v>1.53842337077941</v>
      </c>
      <c r="AE102" s="216">
        <f t="shared" si="176"/>
        <v>3851.22553558909</v>
      </c>
      <c r="AF102" s="217">
        <f t="shared" si="123"/>
        <v>0.0440768784978558</v>
      </c>
      <c r="AH102" s="5">
        <f t="shared" si="124"/>
        <v>1.56168407267832</v>
      </c>
      <c r="AI102" s="5">
        <f t="shared" si="177"/>
        <v>1.5</v>
      </c>
      <c r="AJ102" s="5">
        <f t="shared" si="178"/>
        <v>2.08888888888889</v>
      </c>
      <c r="AL102" s="216">
        <f t="shared" si="127"/>
        <v>485</v>
      </c>
      <c r="AM102" s="220">
        <f t="shared" si="128"/>
        <v>92.4460753735623</v>
      </c>
      <c r="AO102" t="str">
        <f t="shared" si="159"/>
        <v/>
      </c>
      <c r="AP102" t="str">
        <f t="shared" si="129"/>
        <v/>
      </c>
      <c r="AR102" s="192">
        <f t="shared" si="160"/>
        <v>10.8171168538971</v>
      </c>
      <c r="AS102" s="192">
        <f t="shared" si="130"/>
        <v>3.125</v>
      </c>
      <c r="AT102" s="192">
        <f t="shared" si="161"/>
        <v>7.69211685389707</v>
      </c>
      <c r="AU102" s="5">
        <f t="shared" si="162"/>
        <v>0.288893985542382</v>
      </c>
      <c r="AW102" s="192">
        <f t="shared" si="131"/>
        <v>20.1076373742966</v>
      </c>
      <c r="AX102" s="192">
        <f t="shared" si="132"/>
        <v>156.249076408437</v>
      </c>
      <c r="AY102" s="192">
        <f t="shared" si="133"/>
        <v>14.3647440975709</v>
      </c>
      <c r="AZ102" s="192">
        <f t="shared" si="134"/>
        <v>68.3549386070221</v>
      </c>
      <c r="BA102" s="192">
        <f t="shared" si="135"/>
        <v>12.6658775973892</v>
      </c>
      <c r="BB102" s="220">
        <f t="shared" si="136"/>
        <v>30.3072734885885</v>
      </c>
      <c r="BC102" s="192"/>
      <c r="BD102" s="5">
        <f t="shared" si="163"/>
        <v>0.465478774120568</v>
      </c>
      <c r="BE102" s="5">
        <f t="shared" si="137"/>
        <v>0.398541421810134</v>
      </c>
      <c r="BF102" s="5">
        <f t="shared" si="138"/>
        <v>0.301776220629896</v>
      </c>
      <c r="BG102" s="5"/>
      <c r="BH102" s="217">
        <f t="shared" si="139"/>
        <v>0.0758346712048753</v>
      </c>
      <c r="BI102" s="217">
        <f t="shared" si="140"/>
        <v>0.0168294382374555</v>
      </c>
      <c r="BJ102" s="217">
        <f t="shared" si="141"/>
        <v>0.00115557594216953</v>
      </c>
      <c r="BK102" s="217">
        <f t="shared" si="142"/>
        <v>0.00272331725633407</v>
      </c>
      <c r="BL102">
        <f t="shared" si="143"/>
        <v>0.00348</v>
      </c>
      <c r="BM102">
        <f t="shared" si="144"/>
        <v>1.61780631903734e-6</v>
      </c>
      <c r="BN102">
        <f t="shared" si="179"/>
        <v>0.138345339904713</v>
      </c>
      <c r="BO102" s="220">
        <f t="shared" si="164"/>
        <v>138.345339904713</v>
      </c>
      <c r="BP102" s="5">
        <f t="shared" si="146"/>
        <v>0.421022292341307</v>
      </c>
      <c r="BQ102" s="5">
        <f t="shared" si="147"/>
        <v>0.313974462460114</v>
      </c>
      <c r="BR102" s="217"/>
      <c r="BT102" s="220">
        <f t="shared" si="165"/>
        <v>734.996754801422</v>
      </c>
      <c r="BU102" s="217">
        <f t="shared" si="148"/>
        <v>0.00888349005542825</v>
      </c>
      <c r="BV102" s="217">
        <f t="shared" si="149"/>
        <v>0.0158835264898443</v>
      </c>
      <c r="BW102" s="217">
        <f t="shared" si="150"/>
        <v>0.00637482211363645</v>
      </c>
      <c r="BX102" s="217">
        <f t="shared" si="151"/>
        <v>0</v>
      </c>
      <c r="BY102" s="217">
        <f t="shared" si="180"/>
        <v>0.0430830722360549</v>
      </c>
      <c r="BZ102" s="217">
        <f t="shared" si="166"/>
        <v>0.031141838658909</v>
      </c>
      <c r="CA102" s="225">
        <f t="shared" si="153"/>
        <v>0.00832014678362061</v>
      </c>
      <c r="CB102" s="220">
        <f t="shared" si="167"/>
        <v>51.4032190196755</v>
      </c>
      <c r="CC102" s="5">
        <f t="shared" si="168"/>
        <v>0.92474531372581</v>
      </c>
      <c r="CD102" s="192">
        <f t="shared" si="169"/>
        <v>4.09551761642662</v>
      </c>
      <c r="CE102" s="5">
        <f t="shared" si="170"/>
        <v>0.815797434000587</v>
      </c>
      <c r="CF102" s="192">
        <f t="shared" si="171"/>
        <v>81.5797434000587</v>
      </c>
      <c r="CG102">
        <f t="shared" si="172"/>
        <v>97</v>
      </c>
      <c r="CI102" s="227">
        <f t="shared" si="154"/>
        <v>-50</v>
      </c>
      <c r="CJ102">
        <f t="shared" si="155"/>
        <v>-50</v>
      </c>
    </row>
    <row r="103" spans="5:88">
      <c r="E103" s="22">
        <v>98</v>
      </c>
      <c r="F103" s="25">
        <f t="shared" si="173"/>
        <v>0.49</v>
      </c>
      <c r="G103" s="25">
        <f t="shared" si="156"/>
        <v>0.392</v>
      </c>
      <c r="H103" s="25">
        <f t="shared" si="105"/>
        <v>8.82</v>
      </c>
      <c r="I103" s="25">
        <f t="shared" si="174"/>
        <v>1.96</v>
      </c>
      <c r="J103" s="212">
        <f t="shared" si="106"/>
        <v>12</v>
      </c>
      <c r="K103" s="131">
        <f t="shared" si="107"/>
        <v>4.82809726371224</v>
      </c>
      <c r="L103" s="131">
        <f t="shared" si="108"/>
        <v>24.2728</v>
      </c>
      <c r="M103" s="131"/>
      <c r="N103" s="25">
        <f t="shared" si="109"/>
        <v>0.505619458818101</v>
      </c>
      <c r="O103" s="27">
        <f t="shared" si="181"/>
        <v>3.3508780498036</v>
      </c>
      <c r="P103" s="27">
        <f t="shared" si="110"/>
        <v>0.744639566623021</v>
      </c>
      <c r="Q103" s="25">
        <f t="shared" si="111"/>
        <v>0.186159891655755</v>
      </c>
      <c r="R103" s="25">
        <f t="shared" si="112"/>
        <v>0.670175609960719</v>
      </c>
      <c r="S103" s="131">
        <f t="shared" si="113"/>
        <v>6.83852663225224</v>
      </c>
      <c r="T103" s="25">
        <f t="shared" si="114"/>
        <v>1.5</v>
      </c>
      <c r="U103" s="25">
        <f t="shared" si="115"/>
        <v>3.125</v>
      </c>
      <c r="V103" s="25">
        <f t="shared" si="116"/>
        <v>7.76703491080188</v>
      </c>
      <c r="W103" s="24">
        <f t="shared" si="117"/>
        <v>350</v>
      </c>
      <c r="X103" s="131">
        <f t="shared" si="158"/>
        <v>91.8102088534694</v>
      </c>
      <c r="Z103" s="25">
        <f t="shared" si="118"/>
        <v>0.393472323657726</v>
      </c>
      <c r="AA103" s="5">
        <f t="shared" si="119"/>
        <v>2.03740884952259</v>
      </c>
      <c r="AB103" s="5">
        <f t="shared" si="175"/>
        <v>0.0765607334156891</v>
      </c>
      <c r="AC103" s="5"/>
      <c r="AD103" s="5">
        <f t="shared" si="121"/>
        <v>1.55340698216038</v>
      </c>
      <c r="AE103" s="216">
        <f t="shared" si="176"/>
        <v>3853.39837509526</v>
      </c>
      <c r="AF103" s="217">
        <f t="shared" si="123"/>
        <v>0.044506169180019</v>
      </c>
      <c r="AH103" s="5">
        <f t="shared" si="124"/>
        <v>1.56971334962789</v>
      </c>
      <c r="AI103" s="5">
        <f t="shared" si="177"/>
        <v>1.5</v>
      </c>
      <c r="AJ103" s="5">
        <f t="shared" si="178"/>
        <v>2.08888888888889</v>
      </c>
      <c r="AL103" s="216">
        <f t="shared" si="127"/>
        <v>490</v>
      </c>
      <c r="AM103" s="220">
        <f t="shared" si="128"/>
        <v>91.8102088534694</v>
      </c>
      <c r="AO103" t="str">
        <f t="shared" si="159"/>
        <v/>
      </c>
      <c r="AP103" t="str">
        <f t="shared" si="129"/>
        <v/>
      </c>
      <c r="AR103" s="192">
        <f t="shared" si="160"/>
        <v>10.8920349108019</v>
      </c>
      <c r="AS103" s="192">
        <f t="shared" si="130"/>
        <v>3.125</v>
      </c>
      <c r="AT103" s="192">
        <f t="shared" si="161"/>
        <v>7.76703491080188</v>
      </c>
      <c r="AU103" s="5">
        <f t="shared" si="162"/>
        <v>0.286906902667092</v>
      </c>
      <c r="AW103" s="192">
        <f t="shared" si="131"/>
        <v>20.1076373742966</v>
      </c>
      <c r="AX103" s="192">
        <f t="shared" si="132"/>
        <v>159.472158553155</v>
      </c>
      <c r="AY103" s="192">
        <f t="shared" si="133"/>
        <v>14.3647440975709</v>
      </c>
      <c r="AZ103" s="192">
        <f t="shared" si="134"/>
        <v>69.7635011565353</v>
      </c>
      <c r="BA103" s="192">
        <f t="shared" si="135"/>
        <v>12.9210858546982</v>
      </c>
      <c r="BB103" s="220">
        <f t="shared" si="136"/>
        <v>30.5913736939978</v>
      </c>
      <c r="BC103" s="192"/>
      <c r="BD103" s="5">
        <f t="shared" si="163"/>
        <v>0.463875173942645</v>
      </c>
      <c r="BE103" s="5">
        <f t="shared" si="137"/>
        <v>0.399097866526587</v>
      </c>
      <c r="BF103" s="5">
        <f t="shared" si="138"/>
        <v>0.302197561485152</v>
      </c>
      <c r="BG103" s="5"/>
      <c r="BH103" s="217">
        <f t="shared" si="139"/>
        <v>0.0753130619501116</v>
      </c>
      <c r="BI103" s="217">
        <f t="shared" si="140"/>
        <v>0.0167136812809387</v>
      </c>
      <c r="BJ103" s="217">
        <f t="shared" si="141"/>
        <v>0.00114762761066837</v>
      </c>
      <c r="BK103" s="217">
        <f t="shared" si="142"/>
        <v>0.00270458561997312</v>
      </c>
      <c r="BL103">
        <f t="shared" si="143"/>
        <v>0.00348</v>
      </c>
      <c r="BM103">
        <f t="shared" si="144"/>
        <v>1.60667865493571e-6</v>
      </c>
      <c r="BN103">
        <f t="shared" si="179"/>
        <v>0.137376666926561</v>
      </c>
      <c r="BO103" s="220">
        <f t="shared" si="164"/>
        <v>137.376666926561</v>
      </c>
      <c r="BP103" s="5">
        <f t="shared" si="146"/>
        <v>0.424605307388777</v>
      </c>
      <c r="BQ103" s="5">
        <f t="shared" si="147"/>
        <v>0.316777042001633</v>
      </c>
      <c r="BR103" s="217"/>
      <c r="BT103" s="220">
        <f t="shared" si="165"/>
        <v>741.38234939041</v>
      </c>
      <c r="BU103" s="217">
        <f t="shared" si="148"/>
        <v>0.00882238725701307</v>
      </c>
      <c r="BV103" s="217">
        <f t="shared" si="149"/>
        <v>0.0159279107066074</v>
      </c>
      <c r="BW103" s="217">
        <f t="shared" si="150"/>
        <v>0.00639263563173007</v>
      </c>
      <c r="BX103" s="217">
        <f t="shared" si="151"/>
        <v>0</v>
      </c>
      <c r="BY103" s="217">
        <f t="shared" si="180"/>
        <v>0.0430845908056191</v>
      </c>
      <c r="BZ103" s="217">
        <f t="shared" si="166"/>
        <v>0.0311429335953505</v>
      </c>
      <c r="CA103" s="225">
        <f t="shared" si="153"/>
        <v>0.00826291879681224</v>
      </c>
      <c r="CB103" s="220">
        <f t="shared" si="167"/>
        <v>51.3475096024313</v>
      </c>
      <c r="CC103" s="5">
        <f t="shared" si="168"/>
        <v>0.930106525919402</v>
      </c>
      <c r="CD103" s="192">
        <f t="shared" si="169"/>
        <v>4.09551761642662</v>
      </c>
      <c r="CE103" s="5">
        <f t="shared" si="170"/>
        <v>0.814927161368415</v>
      </c>
      <c r="CF103" s="192">
        <f t="shared" si="171"/>
        <v>81.4927161368415</v>
      </c>
      <c r="CG103">
        <f t="shared" si="172"/>
        <v>98</v>
      </c>
      <c r="CI103" s="227">
        <f t="shared" si="154"/>
        <v>-50</v>
      </c>
      <c r="CJ103">
        <f t="shared" si="155"/>
        <v>-50</v>
      </c>
    </row>
    <row r="104" spans="5:88">
      <c r="E104" s="22">
        <v>99</v>
      </c>
      <c r="F104" s="25">
        <f t="shared" ref="F104:F105" si="182">IF(PLOT_TYPE=1,E104/100*Iout_max,min_I*EXP(O104*rr/100))</f>
        <v>0.495</v>
      </c>
      <c r="G104" s="25">
        <f t="shared" si="156"/>
        <v>0.396</v>
      </c>
      <c r="H104" s="25">
        <f t="shared" si="105"/>
        <v>8.91</v>
      </c>
      <c r="I104" s="25">
        <f t="shared" si="174"/>
        <v>1.98</v>
      </c>
      <c r="J104" s="212">
        <f t="shared" si="106"/>
        <v>12</v>
      </c>
      <c r="K104" s="131">
        <f t="shared" si="107"/>
        <v>4.78202355397778</v>
      </c>
      <c r="L104" s="131">
        <f t="shared" si="108"/>
        <v>24.2728</v>
      </c>
      <c r="M104" s="131"/>
      <c r="N104" s="25">
        <f t="shared" si="109"/>
        <v>0.505619458818101</v>
      </c>
      <c r="O104" s="27">
        <f t="shared" si="181"/>
        <v>3.3508780498036</v>
      </c>
      <c r="P104" s="27">
        <f t="shared" si="110"/>
        <v>0.744639566623021</v>
      </c>
      <c r="Q104" s="25">
        <f t="shared" si="111"/>
        <v>0.186159891655755</v>
      </c>
      <c r="R104" s="25">
        <f t="shared" si="112"/>
        <v>0.670175609960719</v>
      </c>
      <c r="S104" s="131">
        <f t="shared" si="113"/>
        <v>6.76945060566383</v>
      </c>
      <c r="T104" s="25">
        <f t="shared" si="114"/>
        <v>1.5</v>
      </c>
      <c r="U104" s="25">
        <f t="shared" si="115"/>
        <v>3.125</v>
      </c>
      <c r="V104" s="25">
        <f t="shared" si="116"/>
        <v>7.84186852630761</v>
      </c>
      <c r="W104" s="24">
        <f t="shared" si="117"/>
        <v>350</v>
      </c>
      <c r="X104" s="131">
        <f t="shared" si="158"/>
        <v>91.1837319469249</v>
      </c>
      <c r="Z104" s="25">
        <f t="shared" si="118"/>
        <v>0.390787422629678</v>
      </c>
      <c r="AA104" s="5">
        <f t="shared" si="119"/>
        <v>2.04300239333103</v>
      </c>
      <c r="AB104" s="5">
        <f t="shared" si="175"/>
        <v>0.0762470700920684</v>
      </c>
      <c r="AC104" s="5"/>
      <c r="AD104" s="5">
        <f t="shared" si="121"/>
        <v>1.56837370526152</v>
      </c>
      <c r="AE104" s="216">
        <f t="shared" si="176"/>
        <v>3855.57121460144</v>
      </c>
      <c r="AF104" s="217">
        <f t="shared" si="123"/>
        <v>0.0449349760014507</v>
      </c>
      <c r="AH104" s="5">
        <f t="shared" si="124"/>
        <v>1.5777017643214</v>
      </c>
      <c r="AI104" s="5">
        <f t="shared" si="177"/>
        <v>1.5</v>
      </c>
      <c r="AJ104" s="5">
        <f t="shared" si="178"/>
        <v>2.08888888888889</v>
      </c>
      <c r="AL104" s="216">
        <f t="shared" si="127"/>
        <v>495</v>
      </c>
      <c r="AM104" s="220">
        <f t="shared" si="128"/>
        <v>91.1837319469249</v>
      </c>
      <c r="AO104" t="str">
        <f t="shared" si="159"/>
        <v/>
      </c>
      <c r="AP104" t="str">
        <f t="shared" si="129"/>
        <v/>
      </c>
      <c r="AR104" s="192">
        <f t="shared" si="160"/>
        <v>10.9668685263076</v>
      </c>
      <c r="AS104" s="192">
        <f t="shared" si="130"/>
        <v>3.125</v>
      </c>
      <c r="AT104" s="192">
        <f t="shared" si="161"/>
        <v>7.84186852630761</v>
      </c>
      <c r="AU104" s="5">
        <f t="shared" si="162"/>
        <v>0.28494916233414</v>
      </c>
      <c r="AW104" s="192">
        <f t="shared" si="131"/>
        <v>20.1076373742966</v>
      </c>
      <c r="AX104" s="192">
        <f t="shared" si="132"/>
        <v>162.728144104485</v>
      </c>
      <c r="AY104" s="192">
        <f t="shared" si="133"/>
        <v>14.3647440975709</v>
      </c>
      <c r="AZ104" s="192">
        <f t="shared" si="134"/>
        <v>71.186428450146</v>
      </c>
      <c r="BA104" s="192">
        <f t="shared" si="135"/>
        <v>13.1786957178225</v>
      </c>
      <c r="BB104" s="220">
        <f t="shared" si="136"/>
        <v>30.8751536852984</v>
      </c>
      <c r="BC104" s="192"/>
      <c r="BD104" s="5">
        <f t="shared" si="163"/>
        <v>0.462289813591653</v>
      </c>
      <c r="BE104" s="5">
        <f t="shared" si="137"/>
        <v>0.39964533673635</v>
      </c>
      <c r="BF104" s="5">
        <f t="shared" si="138"/>
        <v>0.30261210682917</v>
      </c>
      <c r="BG104" s="5"/>
      <c r="BH104" s="217">
        <f t="shared" si="139"/>
        <v>0.0747991551127118</v>
      </c>
      <c r="BI104" s="217">
        <f t="shared" si="140"/>
        <v>0.0165996336660099</v>
      </c>
      <c r="BJ104" s="217">
        <f t="shared" si="141"/>
        <v>0.00113979664933656</v>
      </c>
      <c r="BK104" s="217">
        <f t="shared" si="142"/>
        <v>0.00268613058698883</v>
      </c>
      <c r="BL104">
        <f t="shared" si="143"/>
        <v>0.00348</v>
      </c>
      <c r="BM104">
        <f t="shared" si="144"/>
        <v>1.59571530907119e-6</v>
      </c>
      <c r="BN104">
        <f t="shared" si="179"/>
        <v>0.136422878311131</v>
      </c>
      <c r="BO104" s="220">
        <f t="shared" si="164"/>
        <v>136.422878311131</v>
      </c>
      <c r="BP104" s="5">
        <f t="shared" si="146"/>
        <v>0.428184163558366</v>
      </c>
      <c r="BQ104" s="5">
        <f t="shared" si="147"/>
        <v>0.319577237032499</v>
      </c>
      <c r="BR104" s="217"/>
      <c r="BT104" s="220">
        <f t="shared" si="165"/>
        <v>747.761400590865</v>
      </c>
      <c r="BU104" s="217">
        <f t="shared" si="148"/>
        <v>0.00876218674177481</v>
      </c>
      <c r="BV104" s="217">
        <f t="shared" si="149"/>
        <v>0.015971639517511</v>
      </c>
      <c r="BW104" s="217">
        <f t="shared" si="150"/>
        <v>0.00641018610397123</v>
      </c>
      <c r="BX104" s="217">
        <f t="shared" si="151"/>
        <v>0</v>
      </c>
      <c r="BY104" s="217">
        <f t="shared" si="180"/>
        <v>0.0430860869512703</v>
      </c>
      <c r="BZ104" s="217">
        <f t="shared" si="166"/>
        <v>0.0311440123632571</v>
      </c>
      <c r="CA104" s="225">
        <f t="shared" si="153"/>
        <v>0.00820653587522324</v>
      </c>
      <c r="CB104" s="220">
        <f t="shared" si="167"/>
        <v>51.2926228264936</v>
      </c>
      <c r="CC104" s="5">
        <f t="shared" si="168"/>
        <v>0.93547690172849</v>
      </c>
      <c r="CD104" s="192">
        <f t="shared" si="169"/>
        <v>4.09551761642662</v>
      </c>
      <c r="CE104" s="5">
        <f t="shared" si="170"/>
        <v>0.814057260775642</v>
      </c>
      <c r="CF104" s="192">
        <f t="shared" si="171"/>
        <v>81.4057260775642</v>
      </c>
      <c r="CG104">
        <f t="shared" si="172"/>
        <v>99</v>
      </c>
      <c r="CI104" s="227">
        <f t="shared" si="154"/>
        <v>-50</v>
      </c>
      <c r="CJ104">
        <f t="shared" si="155"/>
        <v>-50</v>
      </c>
    </row>
    <row r="105" ht="13" spans="5:88">
      <c r="E105" s="22">
        <v>100</v>
      </c>
      <c r="F105" s="25">
        <f t="shared" si="182"/>
        <v>0.5</v>
      </c>
      <c r="G105" s="25">
        <f t="shared" si="156"/>
        <v>0.4</v>
      </c>
      <c r="H105" s="25">
        <f t="shared" si="105"/>
        <v>9</v>
      </c>
      <c r="I105" s="25">
        <f t="shared" si="174"/>
        <v>2</v>
      </c>
      <c r="J105" s="212">
        <f t="shared" si="106"/>
        <v>12</v>
      </c>
      <c r="K105" s="131">
        <f t="shared" si="107"/>
        <v>4.736871318438</v>
      </c>
      <c r="L105" s="131">
        <f t="shared" si="108"/>
        <v>24.2728</v>
      </c>
      <c r="M105" s="131"/>
      <c r="N105" s="25">
        <f t="shared" si="109"/>
        <v>0.505619458818101</v>
      </c>
      <c r="O105" s="27">
        <f t="shared" si="181"/>
        <v>3.3508780498036</v>
      </c>
      <c r="P105" s="27">
        <f t="shared" si="110"/>
        <v>0.744639566623021</v>
      </c>
      <c r="Q105" s="25">
        <f t="shared" si="111"/>
        <v>0.186159891655755</v>
      </c>
      <c r="R105" s="25">
        <f t="shared" si="112"/>
        <v>0.670175609960719</v>
      </c>
      <c r="S105" s="131">
        <f t="shared" si="113"/>
        <v>6.70175609960719</v>
      </c>
      <c r="T105" s="25">
        <f t="shared" si="114"/>
        <v>1.5</v>
      </c>
      <c r="U105" s="25">
        <f t="shared" si="115"/>
        <v>3.125</v>
      </c>
      <c r="V105" s="25">
        <f t="shared" si="116"/>
        <v>7.91661784309686</v>
      </c>
      <c r="W105" s="24">
        <f t="shared" si="117"/>
        <v>350</v>
      </c>
      <c r="X105" s="131">
        <f t="shared" si="158"/>
        <v>90.5664381986552</v>
      </c>
      <c r="Z105" s="25">
        <f t="shared" si="118"/>
        <v>0.388141877994237</v>
      </c>
      <c r="AA105" s="5">
        <f t="shared" si="119"/>
        <v>2.04851394465486</v>
      </c>
      <c r="AB105" s="5">
        <f t="shared" si="175"/>
        <v>0.0759351988118668</v>
      </c>
      <c r="AC105" s="5"/>
      <c r="AD105" s="5">
        <f t="shared" si="121"/>
        <v>1.58332356861937</v>
      </c>
      <c r="AE105" s="216">
        <f t="shared" si="176"/>
        <v>3857.74405410761</v>
      </c>
      <c r="AF105" s="217">
        <f t="shared" si="123"/>
        <v>0.0453632997797418</v>
      </c>
      <c r="AH105" s="5">
        <f t="shared" si="124"/>
        <v>1.58564993434418</v>
      </c>
      <c r="AI105" s="5">
        <f t="shared" si="177"/>
        <v>1.5</v>
      </c>
      <c r="AJ105" s="5">
        <f t="shared" si="178"/>
        <v>2.08888888888889</v>
      </c>
      <c r="AL105" s="216">
        <f t="shared" si="127"/>
        <v>500</v>
      </c>
      <c r="AM105" s="220">
        <f t="shared" si="128"/>
        <v>90.5664381986552</v>
      </c>
      <c r="AO105" t="str">
        <f t="shared" si="159"/>
        <v/>
      </c>
      <c r="AP105" s="3" t="str">
        <f t="shared" si="129"/>
        <v/>
      </c>
      <c r="AR105" s="192">
        <f t="shared" si="160"/>
        <v>11.0416178430969</v>
      </c>
      <c r="AS105" s="192">
        <f t="shared" si="130"/>
        <v>3.125</v>
      </c>
      <c r="AT105" s="192">
        <f t="shared" si="161"/>
        <v>7.91661784309686</v>
      </c>
      <c r="AU105" s="5">
        <f t="shared" si="162"/>
        <v>0.283020119370798</v>
      </c>
      <c r="AW105" s="192">
        <f t="shared" si="131"/>
        <v>20.1076373742966</v>
      </c>
      <c r="AX105" s="192">
        <f t="shared" si="132"/>
        <v>166.017033062427</v>
      </c>
      <c r="AY105" s="192">
        <f t="shared" si="133"/>
        <v>14.3647440975709</v>
      </c>
      <c r="AZ105" s="192">
        <f t="shared" si="134"/>
        <v>72.6237204878543</v>
      </c>
      <c r="BA105" s="192">
        <f t="shared" si="135"/>
        <v>13.4387031287138</v>
      </c>
      <c r="BB105" s="220">
        <f t="shared" si="136"/>
        <v>31.1586140035634</v>
      </c>
      <c r="BC105" s="192"/>
      <c r="BD105" s="5">
        <f t="shared" si="163"/>
        <v>0.460722356227802</v>
      </c>
      <c r="BE105" s="5">
        <f t="shared" si="137"/>
        <v>0.400184049324453</v>
      </c>
      <c r="BF105" s="5">
        <f t="shared" si="138"/>
        <v>0.303020020887651</v>
      </c>
      <c r="BG105" s="5"/>
      <c r="BH105" s="217">
        <f t="shared" si="139"/>
        <v>0.0742927813348343</v>
      </c>
      <c r="BI105" s="217">
        <f t="shared" si="140"/>
        <v>0.0164872578083124</v>
      </c>
      <c r="BJ105" s="217">
        <f t="shared" si="141"/>
        <v>0.00113208047748319</v>
      </c>
      <c r="BK105" s="217">
        <f t="shared" si="142"/>
        <v>0.0026679460755307</v>
      </c>
      <c r="BL105">
        <f t="shared" si="143"/>
        <v>0.00348</v>
      </c>
      <c r="BM105">
        <f t="shared" si="144"/>
        <v>1.58491266847647e-6</v>
      </c>
      <c r="BN105">
        <f t="shared" si="179"/>
        <v>0.1354836336105</v>
      </c>
      <c r="BO105" s="220">
        <f t="shared" si="164"/>
        <v>135.4836336105</v>
      </c>
      <c r="BP105" s="5">
        <f t="shared" si="146"/>
        <v>0.43175895229391</v>
      </c>
      <c r="BQ105" s="5">
        <f t="shared" si="147"/>
        <v>0.322375099982432</v>
      </c>
      <c r="BR105" s="217"/>
      <c r="BT105" s="220">
        <f t="shared" si="165"/>
        <v>754.134052276341</v>
      </c>
      <c r="BU105" s="217">
        <f t="shared" si="148"/>
        <v>0.00870286867065202</v>
      </c>
      <c r="BV105" s="217">
        <f t="shared" si="149"/>
        <v>0.0160147273333716</v>
      </c>
      <c r="BW105" s="217">
        <f t="shared" si="150"/>
        <v>0.00642747931411269</v>
      </c>
      <c r="BX105" s="217">
        <f t="shared" si="151"/>
        <v>0</v>
      </c>
      <c r="BY105" s="217">
        <f t="shared" si="180"/>
        <v>0.0430875611660515</v>
      </c>
      <c r="BZ105" s="217">
        <f t="shared" si="166"/>
        <v>0.0311450753181363</v>
      </c>
      <c r="CA105" s="225">
        <f t="shared" si="153"/>
        <v>0.00815097943787897</v>
      </c>
      <c r="CB105" s="220">
        <f t="shared" si="167"/>
        <v>51.2385406039304</v>
      </c>
      <c r="CC105" s="5">
        <f t="shared" si="168"/>
        <v>0.940856226490771</v>
      </c>
      <c r="CD105" s="192">
        <f t="shared" si="169"/>
        <v>4.09551761642662</v>
      </c>
      <c r="CE105" s="5">
        <f t="shared" si="170"/>
        <v>0.813187770440455</v>
      </c>
      <c r="CF105" s="192">
        <f t="shared" si="171"/>
        <v>81.3187770440455</v>
      </c>
      <c r="CG105">
        <f t="shared" si="172"/>
        <v>100</v>
      </c>
      <c r="CI105" s="227">
        <f t="shared" si="154"/>
        <v>-50</v>
      </c>
      <c r="CJ105">
        <f t="shared" si="155"/>
        <v>-50</v>
      </c>
    </row>
    <row r="106" ht="13" spans="5:84">
      <c r="E106" s="22"/>
      <c r="F106" s="25"/>
      <c r="G106" s="25"/>
      <c r="H106" s="25"/>
      <c r="I106" s="25"/>
      <c r="J106" s="212"/>
      <c r="K106" s="131"/>
      <c r="L106" s="131"/>
      <c r="M106" s="131"/>
      <c r="N106" s="25"/>
      <c r="O106" s="27"/>
      <c r="P106" s="27"/>
      <c r="Q106" s="25"/>
      <c r="R106" s="25"/>
      <c r="S106" s="25"/>
      <c r="T106" s="25"/>
      <c r="U106" s="25"/>
      <c r="V106" s="25"/>
      <c r="W106" s="24"/>
      <c r="X106" s="131"/>
      <c r="Z106" s="25"/>
      <c r="AA106" s="5"/>
      <c r="AB106" s="5"/>
      <c r="AC106" s="5"/>
      <c r="AD106" s="5"/>
      <c r="AE106" s="216"/>
      <c r="AF106" s="217"/>
      <c r="AH106" s="5"/>
      <c r="AI106" s="5"/>
      <c r="AJ106" s="5"/>
      <c r="AL106" s="216"/>
      <c r="AM106" s="220"/>
      <c r="AP106" s="3"/>
      <c r="AR106" s="192"/>
      <c r="AS106" s="192"/>
      <c r="AT106" s="192"/>
      <c r="AU106" s="5"/>
      <c r="AW106" s="192"/>
      <c r="AX106" s="192"/>
      <c r="AY106" s="192"/>
      <c r="AZ106" s="192"/>
      <c r="BA106" s="192"/>
      <c r="BB106" s="192"/>
      <c r="BC106" s="192"/>
      <c r="BD106" s="5"/>
      <c r="BE106" s="5"/>
      <c r="BF106" s="5"/>
      <c r="BG106" s="5"/>
      <c r="BH106" s="217"/>
      <c r="BI106" s="217"/>
      <c r="BJ106" s="217"/>
      <c r="BK106" s="217"/>
      <c r="BO106" s="220"/>
      <c r="BP106" s="5"/>
      <c r="BQ106" s="5"/>
      <c r="BR106" s="217"/>
      <c r="BT106" s="220"/>
      <c r="BU106" s="217"/>
      <c r="BV106" s="217"/>
      <c r="BW106" s="217"/>
      <c r="BX106" s="217"/>
      <c r="BY106" s="217"/>
      <c r="BZ106" s="217"/>
      <c r="CA106" s="225"/>
      <c r="CB106" s="220"/>
      <c r="CC106" s="5"/>
      <c r="CD106" s="192"/>
      <c r="CE106" s="5"/>
      <c r="CF106" s="192"/>
    </row>
    <row r="107" spans="7:84">
      <c r="G107" s="25"/>
      <c r="H107" s="25"/>
      <c r="I107" s="25"/>
      <c r="J107" s="212"/>
      <c r="K107" s="131"/>
      <c r="L107" s="131"/>
      <c r="M107" s="131"/>
      <c r="N107" s="25"/>
      <c r="O107" s="27"/>
      <c r="P107" s="27"/>
      <c r="Q107" s="25"/>
      <c r="R107" s="25"/>
      <c r="S107" s="25"/>
      <c r="T107" s="25"/>
      <c r="U107" s="25"/>
      <c r="V107" s="25"/>
      <c r="W107" s="24"/>
      <c r="X107" s="131"/>
      <c r="Z107" s="25"/>
      <c r="AA107" s="5"/>
      <c r="AB107" s="5"/>
      <c r="AC107" s="5"/>
      <c r="AD107" s="5"/>
      <c r="AE107" s="216"/>
      <c r="AF107" s="217"/>
      <c r="AH107" s="5"/>
      <c r="AI107" s="5"/>
      <c r="AJ107" s="5"/>
      <c r="AL107" s="216"/>
      <c r="AM107" s="220"/>
      <c r="AR107" s="192"/>
      <c r="AS107" s="192"/>
      <c r="AT107" s="192"/>
      <c r="AU107" s="5"/>
      <c r="AW107" s="192"/>
      <c r="AX107" s="192"/>
      <c r="AY107" s="192"/>
      <c r="AZ107" s="192"/>
      <c r="BA107" s="192"/>
      <c r="BB107" s="192"/>
      <c r="BC107" s="192"/>
      <c r="BD107" s="5"/>
      <c r="BE107" s="5"/>
      <c r="BF107" s="5"/>
      <c r="BG107" s="5"/>
      <c r="BH107" s="217"/>
      <c r="BI107" s="217"/>
      <c r="BJ107" s="217"/>
      <c r="BK107" s="217"/>
      <c r="BO107" s="220"/>
      <c r="BP107" s="5"/>
      <c r="BQ107" s="5"/>
      <c r="BR107" s="217"/>
      <c r="BT107" s="220"/>
      <c r="BU107" s="217"/>
      <c r="BV107" s="217"/>
      <c r="BW107" s="217"/>
      <c r="BX107" s="217"/>
      <c r="BY107" s="217"/>
      <c r="BZ107" s="217"/>
      <c r="CA107" s="225"/>
      <c r="CB107" s="220"/>
      <c r="CC107" s="5"/>
      <c r="CD107" s="192"/>
      <c r="CE107" s="5"/>
      <c r="CF107" s="192"/>
    </row>
    <row r="108" ht="13" spans="5:85">
      <c r="E108" s="204" t="s">
        <v>631</v>
      </c>
      <c r="G108" s="25"/>
      <c r="H108" s="25"/>
      <c r="I108" s="25"/>
      <c r="J108" s="212"/>
      <c r="K108" s="131"/>
      <c r="L108" s="131"/>
      <c r="M108" s="131"/>
      <c r="N108" s="25"/>
      <c r="O108" s="27"/>
      <c r="P108" s="27"/>
      <c r="Q108" s="25"/>
      <c r="R108" s="25"/>
      <c r="S108" s="25"/>
      <c r="T108" s="25"/>
      <c r="U108" s="25"/>
      <c r="V108" s="25"/>
      <c r="W108" s="24"/>
      <c r="X108" s="131"/>
      <c r="Z108" s="25"/>
      <c r="AA108" s="5"/>
      <c r="AB108" s="5"/>
      <c r="AC108" s="5"/>
      <c r="AD108" s="5"/>
      <c r="AE108" s="216"/>
      <c r="AF108" s="217"/>
      <c r="AH108" s="5"/>
      <c r="AI108" s="5"/>
      <c r="AJ108" s="5"/>
      <c r="AL108" s="216"/>
      <c r="AM108" s="220"/>
      <c r="AR108" s="192"/>
      <c r="AS108" s="192"/>
      <c r="AT108" s="192"/>
      <c r="AU108" s="5"/>
      <c r="AW108" s="200" t="s">
        <v>561</v>
      </c>
      <c r="AX108" s="200"/>
      <c r="AY108" s="200" t="s">
        <v>561</v>
      </c>
      <c r="AZ108" s="200"/>
      <c r="BA108" s="200"/>
      <c r="BB108" s="200"/>
      <c r="BC108" s="200"/>
      <c r="BD108" s="222" t="s">
        <v>562</v>
      </c>
      <c r="BE108" s="200"/>
      <c r="BF108" s="200"/>
      <c r="BG108" s="200"/>
      <c r="BH108" s="222" t="s">
        <v>563</v>
      </c>
      <c r="BI108" s="200"/>
      <c r="BJ108" s="200"/>
      <c r="BK108" s="200"/>
      <c r="BL108" s="200"/>
      <c r="BM108" s="200"/>
      <c r="BN108" s="200"/>
      <c r="BO108" s="200"/>
      <c r="BP108" s="222" t="s">
        <v>564</v>
      </c>
      <c r="BQ108" s="200"/>
      <c r="BR108" s="200"/>
      <c r="BS108" s="200"/>
      <c r="BT108" s="200"/>
      <c r="BU108" s="224" t="s">
        <v>565</v>
      </c>
      <c r="BV108" s="200"/>
      <c r="BW108" s="200"/>
      <c r="BX108" s="200"/>
      <c r="BY108" s="200"/>
      <c r="BZ108" s="200"/>
      <c r="CA108" s="200"/>
      <c r="CB108" s="200"/>
      <c r="CC108" s="222"/>
      <c r="CD108" s="200"/>
      <c r="CE108" s="200"/>
      <c r="CF108" s="200"/>
      <c r="CG108" s="200"/>
    </row>
    <row r="109" ht="45" customHeight="1" spans="5:87">
      <c r="E109" s="38" t="s">
        <v>566</v>
      </c>
      <c r="F109" s="206" t="s">
        <v>650</v>
      </c>
      <c r="G109" s="121" t="s">
        <v>651</v>
      </c>
      <c r="H109" s="207" t="s">
        <v>652</v>
      </c>
      <c r="I109" s="209" t="s">
        <v>653</v>
      </c>
      <c r="J109" s="117" t="s">
        <v>569</v>
      </c>
      <c r="K109" s="118" t="s">
        <v>570</v>
      </c>
      <c r="L109" s="190" t="s">
        <v>571</v>
      </c>
      <c r="M109" s="190"/>
      <c r="N109" s="120" t="s">
        <v>572</v>
      </c>
      <c r="O109" s="211" t="s">
        <v>655</v>
      </c>
      <c r="P109" s="211" t="s">
        <v>656</v>
      </c>
      <c r="Q109" s="190" t="s">
        <v>575</v>
      </c>
      <c r="R109" s="211" t="s">
        <v>658</v>
      </c>
      <c r="S109" s="190" t="s">
        <v>576</v>
      </c>
      <c r="T109" s="211" t="s">
        <v>580</v>
      </c>
      <c r="U109" s="190" t="s">
        <v>581</v>
      </c>
      <c r="V109" s="190" t="s">
        <v>582</v>
      </c>
      <c r="W109" s="228" t="s">
        <v>583</v>
      </c>
      <c r="X109" s="229" t="s">
        <v>584</v>
      </c>
      <c r="Z109" s="128" t="s">
        <v>585</v>
      </c>
      <c r="AA109" s="128" t="s">
        <v>586</v>
      </c>
      <c r="AB109" s="128" t="s">
        <v>660</v>
      </c>
      <c r="AC109" s="215"/>
      <c r="AD109" s="128" t="s">
        <v>588</v>
      </c>
      <c r="AE109" s="213" t="s">
        <v>632</v>
      </c>
      <c r="AF109" s="128" t="s">
        <v>661</v>
      </c>
      <c r="AG109" s="215"/>
      <c r="AH109" s="5"/>
      <c r="AI109" s="218" t="s">
        <v>592</v>
      </c>
      <c r="AJ109" s="218" t="s">
        <v>593</v>
      </c>
      <c r="AL109" s="219" t="s">
        <v>594</v>
      </c>
      <c r="AM109" s="219" t="s">
        <v>595</v>
      </c>
      <c r="AO109" s="128" t="s">
        <v>594</v>
      </c>
      <c r="AP109" s="128" t="s">
        <v>595</v>
      </c>
      <c r="AQ109" s="221"/>
      <c r="AR109" s="128" t="s">
        <v>596</v>
      </c>
      <c r="AS109" s="128" t="s">
        <v>597</v>
      </c>
      <c r="AT109" s="128" t="s">
        <v>598</v>
      </c>
      <c r="AU109" s="128" t="s">
        <v>572</v>
      </c>
      <c r="AV109" s="215"/>
      <c r="AW109" s="128" t="s">
        <v>662</v>
      </c>
      <c r="AX109" s="128"/>
      <c r="AY109" s="128" t="s">
        <v>664</v>
      </c>
      <c r="AZ109" s="128"/>
      <c r="BA109" s="128" t="s">
        <v>605</v>
      </c>
      <c r="BB109" s="128"/>
      <c r="BC109" s="215"/>
      <c r="BD109" s="223" t="s">
        <v>607</v>
      </c>
      <c r="BE109" s="128" t="s">
        <v>666</v>
      </c>
      <c r="BF109" s="128" t="s">
        <v>667</v>
      </c>
      <c r="BG109" s="215"/>
      <c r="BH109" s="223" t="s">
        <v>609</v>
      </c>
      <c r="BI109" s="128" t="s">
        <v>610</v>
      </c>
      <c r="BJ109" s="128" t="s">
        <v>611</v>
      </c>
      <c r="BK109" s="128" t="s">
        <v>612</v>
      </c>
      <c r="BL109" s="128" t="s">
        <v>613</v>
      </c>
      <c r="BM109" s="128" t="s">
        <v>614</v>
      </c>
      <c r="BN109" s="128" t="s">
        <v>615</v>
      </c>
      <c r="BO109" s="128" t="s">
        <v>616</v>
      </c>
      <c r="BP109" s="223" t="s">
        <v>668</v>
      </c>
      <c r="BQ109" s="128" t="s">
        <v>669</v>
      </c>
      <c r="BR109" s="128" t="s">
        <v>618</v>
      </c>
      <c r="BS109" s="128" t="s">
        <v>619</v>
      </c>
      <c r="BT109" s="128" t="s">
        <v>633</v>
      </c>
      <c r="BU109" s="223" t="s">
        <v>621</v>
      </c>
      <c r="BV109" s="128" t="s">
        <v>670</v>
      </c>
      <c r="BW109" s="128" t="s">
        <v>671</v>
      </c>
      <c r="BX109" s="128" t="s">
        <v>623</v>
      </c>
      <c r="BY109" s="128" t="s">
        <v>672</v>
      </c>
      <c r="BZ109" s="128" t="s">
        <v>673</v>
      </c>
      <c r="CA109" s="128" t="s">
        <v>625</v>
      </c>
      <c r="CB109" s="128" t="s">
        <v>634</v>
      </c>
      <c r="CC109" s="223" t="s">
        <v>627</v>
      </c>
      <c r="CD109" s="128" t="s">
        <v>568</v>
      </c>
      <c r="CE109" s="128" t="s">
        <v>183</v>
      </c>
      <c r="CF109" s="128" t="s">
        <v>628</v>
      </c>
      <c r="CG109" s="128" t="s">
        <v>674</v>
      </c>
      <c r="CI109" s="226" t="s">
        <v>675</v>
      </c>
    </row>
    <row r="110" spans="5:88">
      <c r="E110" s="22">
        <v>0.1</v>
      </c>
      <c r="F110" s="25">
        <v>1e-9</v>
      </c>
      <c r="G110" s="25">
        <f t="shared" ref="G110:G141" si="183">IF(PLOT_TYPE=1,E110/100*Iout2,min_I*EXP(Q110*rr/100))</f>
        <v>0.0004</v>
      </c>
      <c r="H110" s="25">
        <f t="shared" ref="H110:H141" si="184">F110*Vout</f>
        <v>1.8e-8</v>
      </c>
      <c r="I110" s="25">
        <f t="shared" ref="I110:I141" si="185">Vout2*G110</f>
        <v>0.002</v>
      </c>
      <c r="J110" s="212">
        <f t="shared" ref="J110:J173" si="186">VIN_min</f>
        <v>10</v>
      </c>
      <c r="K110" s="131">
        <f t="shared" ref="K110:K173" si="187">(S110+Vfwd1)*Nps</f>
        <v>12.2728</v>
      </c>
      <c r="L110" s="131">
        <f t="shared" ref="L110:L173" si="188">(Vout+Vfwd1)*Nps+J110</f>
        <v>22.2728</v>
      </c>
      <c r="M110" s="131"/>
      <c r="N110" s="25">
        <f t="shared" ref="N110:N173" si="189">(Vout+Vfwd1)*Nps/((Vout+Vfwd1)*Nps+J110)</f>
        <v>0.551021874214288</v>
      </c>
      <c r="O110" s="27">
        <f t="shared" ref="O110:O141" si="190">N110*J110*Isw_max*0.5*Efficiency*Pout/(Pout+Pout2)</f>
        <v>3.04314353259255</v>
      </c>
      <c r="P110" s="27">
        <f t="shared" ref="P110:P141" si="191">N110*J110*Isw_max*0.5*Efficiency*(Pout2/Pout_total)</f>
        <v>0.676254118353899</v>
      </c>
      <c r="Q110" s="25">
        <f t="shared" ref="Q110:Q173" si="192">O110/Vout</f>
        <v>0.169063529588475</v>
      </c>
      <c r="R110" s="25">
        <f t="shared" ref="R110:R141" si="193">O110/Vout2</f>
        <v>0.608628706518509</v>
      </c>
      <c r="S110" s="25">
        <f t="shared" ref="S110:S141" si="194">MIN(Vout,O110/F110)</f>
        <v>18</v>
      </c>
      <c r="T110" s="25">
        <f t="shared" ref="T110:T141" si="195">MIN(2*(Vout*F110+Vout2*G110)/(Efficiency*J110*N110),Isw_max)</f>
        <v>0.000806589475378253</v>
      </c>
      <c r="U110" s="25">
        <f t="shared" ref="U110:U173" si="196">L*T110/J110*1000000</f>
        <v>0.00201647368844563</v>
      </c>
      <c r="V110" s="25">
        <f t="shared" ref="V110:V173" si="197">L*T110/K110*1000000</f>
        <v>0.00164304289847927</v>
      </c>
      <c r="W110" s="24">
        <f t="shared" ref="W110:W173" si="198">IF(1/((350000*L)*(1/J110+1/K110))&gt;Isw_min,350,0.001/((Isw_min*L)*(1/J110+1/K110)))</f>
        <v>350</v>
      </c>
      <c r="X110" s="131">
        <f t="shared" ref="X110:X173" si="199">MIN(1/(U110+V110)*1000,350)</f>
        <v>350</v>
      </c>
      <c r="Z110" s="25">
        <f t="shared" ref="Z110:Z173" si="200">1/((W110*1000*L)*(1/J110+1/K110))</f>
        <v>0.62973928481633</v>
      </c>
      <c r="AA110" s="5">
        <f t="shared" ref="AA110:AA173" si="201">L*Z110/K110*1000000</f>
        <v>1.28279464510203</v>
      </c>
      <c r="AB110" s="5">
        <f t="shared" ref="AB110:AB141" si="202">0.5*AA110*Z110*Nps*W110/1000*(Pout/(Pout+Pout2))</f>
        <v>0.077149236385196</v>
      </c>
      <c r="AC110" s="5"/>
      <c r="AD110" s="5">
        <f t="shared" ref="AD110:AD173" si="203">L*Isw_min/K110*1000000</f>
        <v>0.611107489733394</v>
      </c>
      <c r="AE110" s="216">
        <f t="shared" ref="AE110:AE141" si="204">MAX(10,F110/(0.5*AD110/1000000*Isw_min*Nps)/1000*Pout_total/Pout)</f>
        <v>10</v>
      </c>
      <c r="AF110" s="217">
        <f t="shared" ref="AF110:AF141" si="205">0.5*AD110/1000000*Isw_min*Nps*W110*1000*(Pout/Pout_total)</f>
        <v>0.0175086462450593</v>
      </c>
      <c r="AH110" s="5">
        <f t="shared" ref="AH110:AH141" si="206">SQRT((H110+I110)/(0.5*L*Fsw_DCM))</f>
        <v>0.0213809955668246</v>
      </c>
      <c r="AI110" s="5">
        <f t="shared" ref="AI110:AI141" si="207">MAX(IF(F110&gt;AB110,T110,AH110),Isw_min)</f>
        <v>0.3</v>
      </c>
      <c r="AJ110" s="5">
        <f t="shared" ref="AJ110:AJ141" si="208">IF(F110&gt;AF110,(AI110-Isw_min)/1.08*0.8+1.2,AE110*0.2/350+1)</f>
        <v>1.00571428571429</v>
      </c>
      <c r="AL110" s="216">
        <f t="shared" ref="AL110:AL141" si="209">F110*1000</f>
        <v>1e-6</v>
      </c>
      <c r="AM110" s="220">
        <f t="shared" ref="AM110:AM141" si="210">IF(F110&gt;AF110,X110,AE110)</f>
        <v>10</v>
      </c>
      <c r="AO110" s="220">
        <f t="shared" ref="AO110:AO173" si="211">IF(H110&gt;O110,"",AL110)</f>
        <v>1e-6</v>
      </c>
      <c r="AP110" s="220">
        <f t="shared" ref="AP110:AP173" si="212">IF(H110&gt;O110,"",AM110)</f>
        <v>10</v>
      </c>
      <c r="AR110" s="192">
        <f t="shared" si="160"/>
        <v>100</v>
      </c>
      <c r="AS110" s="192">
        <f t="shared" ref="AS110:AS114" si="213">L*AI110/J110*1000000</f>
        <v>0.75</v>
      </c>
      <c r="AT110" s="192">
        <f t="shared" ref="AT110:AT114" si="214">AR110-AS110</f>
        <v>99.25</v>
      </c>
      <c r="AU110" s="5">
        <f t="shared" ref="AU110:AU114" si="215">AS110/AR110</f>
        <v>0.0075</v>
      </c>
      <c r="AW110" s="192">
        <f t="shared" ref="AW110:AW169" si="216">F110*AS110/Vout_ripple*1000</f>
        <v>4.16666666666667e-9</v>
      </c>
      <c r="AX110" s="192"/>
      <c r="AY110" s="192">
        <f t="shared" ref="AY110:AY169" si="217">G110*AS110/Vout_ripple2*1000</f>
        <v>0.006</v>
      </c>
      <c r="AZ110" s="192"/>
      <c r="BA110" s="192">
        <f t="shared" ref="BA110:BA169" si="218">H110/Efficiency/J110*AT110/Vinripple1</f>
        <v>3.30833333333333e-7</v>
      </c>
      <c r="BB110" s="192"/>
      <c r="BC110" s="192"/>
      <c r="BD110" s="5">
        <f t="shared" ref="BD110:BD169" si="219">AI110*SQRT(AU110/3)</f>
        <v>0.015</v>
      </c>
      <c r="BE110" s="5">
        <f t="shared" ref="BE110:BE169" si="220">AI110*Npri_sec1*SQRT((1-AU110)/3)*(Pout/Pout_total)</f>
        <v>0.0941676089656405</v>
      </c>
      <c r="BF110" s="5">
        <f t="shared" ref="BF110:BF169" si="221">AI110*Npri_sec2*SQRT((1-AU110)/3)*(Pout2/Pout_total)</f>
        <v>0.0713038685171928</v>
      </c>
      <c r="BG110" s="5"/>
      <c r="BH110" s="217">
        <f t="shared" ref="BH110:BH169" si="222">Rdson*BD110^2</f>
        <v>7.875e-5</v>
      </c>
      <c r="BI110" s="217">
        <f t="shared" ref="BI110:BI169" si="223">0.5*L110*AI110*AM110*1000*Trise</f>
        <v>0.000334092</v>
      </c>
      <c r="BJ110" s="217">
        <f t="shared" ref="BJ110:BJ169" si="224">Qg*Vdd*AM110*1000</f>
        <v>0.000125</v>
      </c>
      <c r="BK110" s="217">
        <f t="shared" ref="BK110:BK169" si="225">0.5*(Coss+Csw)*L110^2*AM110*1000</f>
        <v>0.00024803880992</v>
      </c>
      <c r="BL110">
        <f t="shared" ref="BL110:BL169" si="226">J110*IQ</f>
        <v>0.0029</v>
      </c>
      <c r="BM110">
        <f t="shared" ref="BM110:BM141" si="227">(J110-Vdd)*Qg*AM110</f>
        <v>1.25e-7</v>
      </c>
      <c r="BN110">
        <f t="shared" ref="BN110:BN141" si="228">(BI110+BJ110+BK110+BL110+BM110+BH110*(1+RdsonTC*(Ta-25)))/(1-BH110*RdsonTC*ThetaJA)</f>
        <v>0.00371983621203971</v>
      </c>
      <c r="BO110" s="220">
        <f t="shared" ref="BO110:BO169" si="229">SUM(BH110:BL110)*1000</f>
        <v>3.68588080992</v>
      </c>
      <c r="BP110" s="5">
        <f t="shared" ref="BP110:BP169" si="230">Vfwd2*F110</f>
        <v>7.7e-10</v>
      </c>
      <c r="BQ110" s="5">
        <f t="shared" ref="BQ110:BQ169" si="231">Vfwd2*G110</f>
        <v>0.000308</v>
      </c>
      <c r="BR110" s="217"/>
      <c r="BT110" s="220">
        <f t="shared" ref="BT110:BT169" si="232">SUM(BP110:BS110)*1000</f>
        <v>0.30800077</v>
      </c>
      <c r="BU110" s="217">
        <f t="shared" ref="BU110:BU169" si="233">Rdcr_pri*BD110^2</f>
        <v>9.225e-6</v>
      </c>
      <c r="BV110" s="217">
        <f t="shared" ref="BV110:BV169" si="234">Rdcr_sec*BE110^2</f>
        <v>0.000886753857830578</v>
      </c>
      <c r="BW110" s="217">
        <f t="shared" ref="BW110:BW169" si="235">Rdcr_sec2*BF110^2</f>
        <v>0.000355896916586199</v>
      </c>
      <c r="BX110" s="217">
        <f t="shared" ref="BX110:BX169" si="236">AI110^2.5*AM110^2.5*k_core</f>
        <v>0</v>
      </c>
      <c r="BY110" s="217">
        <f t="shared" si="180"/>
        <v>0.00172776160412685</v>
      </c>
      <c r="BZ110" s="217">
        <f t="shared" si="166"/>
        <v>0.00125187577441678</v>
      </c>
      <c r="CA110" s="225">
        <f t="shared" ref="CA110:CA141" si="237">0.5*Lleak*0.000000001*AI110^2*AM110*1000</f>
        <v>3.6e-5</v>
      </c>
      <c r="CB110" s="220">
        <f t="shared" ref="CB110:CB169" si="238">SUM(BU110:CA110)*1000</f>
        <v>4.2675131529604</v>
      </c>
      <c r="CC110" s="5">
        <f t="shared" si="168"/>
        <v>0.00579159858616655</v>
      </c>
      <c r="CD110" s="192">
        <f t="shared" ref="CD110:CD169" si="239">MIN(H110+I110,O110+P110)</f>
        <v>0.002000018</v>
      </c>
      <c r="CE110" s="5">
        <f t="shared" ref="CE110:CE169" si="240">CD110/(CD110+CC110)</f>
        <v>0.256688451989653</v>
      </c>
      <c r="CF110" s="192">
        <f t="shared" ref="CF110:CF169" si="241">CE110*100</f>
        <v>25.6688451989653</v>
      </c>
      <c r="CG110">
        <f t="shared" ref="CG110:CG169" si="242">F110/Iout*100</f>
        <v>2e-7</v>
      </c>
      <c r="CI110" s="227">
        <f t="shared" ref="CI110:CI141" si="243">IF(ABS(F110-Ioutmax_Vinmin)&lt;Iout/200,AM110,-50)</f>
        <v>-50</v>
      </c>
      <c r="CJ110">
        <f t="shared" ref="CJ110:CJ141" si="244">IF(ABS(F110-Ioutmax_Vinmin)&lt;Iout/200,(O110+P110)*CE110,-50)</f>
        <v>-50</v>
      </c>
    </row>
    <row r="111" spans="5:88">
      <c r="E111" s="22">
        <v>1</v>
      </c>
      <c r="F111" s="25">
        <f t="shared" ref="F111:F142" si="245">IF(PLOT_TYPE=1,E111/100*Iout_max,min_I*EXP(O111*rr/100))</f>
        <v>0.005</v>
      </c>
      <c r="G111" s="25">
        <f t="shared" si="183"/>
        <v>0.004</v>
      </c>
      <c r="H111" s="25">
        <f t="shared" si="184"/>
        <v>0.09</v>
      </c>
      <c r="I111" s="25">
        <f t="shared" si="185"/>
        <v>0.02</v>
      </c>
      <c r="J111" s="212">
        <f t="shared" si="186"/>
        <v>10</v>
      </c>
      <c r="K111" s="131">
        <f t="shared" si="187"/>
        <v>12.2728</v>
      </c>
      <c r="L111" s="131">
        <f t="shared" si="188"/>
        <v>22.2728</v>
      </c>
      <c r="M111" s="131"/>
      <c r="N111" s="25">
        <f t="shared" si="189"/>
        <v>0.551021874214288</v>
      </c>
      <c r="O111" s="27">
        <f t="shared" si="190"/>
        <v>3.04314353259255</v>
      </c>
      <c r="P111" s="27">
        <f t="shared" si="191"/>
        <v>0.676254118353899</v>
      </c>
      <c r="Q111" s="25">
        <f t="shared" si="192"/>
        <v>0.169063529588475</v>
      </c>
      <c r="R111" s="25">
        <f t="shared" si="193"/>
        <v>0.608628706518509</v>
      </c>
      <c r="S111" s="25">
        <f t="shared" si="194"/>
        <v>18</v>
      </c>
      <c r="T111" s="25">
        <f t="shared" si="195"/>
        <v>0.0443620218876069</v>
      </c>
      <c r="U111" s="25">
        <f t="shared" si="196"/>
        <v>0.110905054719017</v>
      </c>
      <c r="V111" s="25">
        <f t="shared" si="197"/>
        <v>0.0903665461174445</v>
      </c>
      <c r="W111" s="24">
        <f t="shared" si="198"/>
        <v>350</v>
      </c>
      <c r="X111" s="131">
        <f t="shared" si="199"/>
        <v>350</v>
      </c>
      <c r="Z111" s="25">
        <f t="shared" si="200"/>
        <v>0.62973928481633</v>
      </c>
      <c r="AA111" s="5">
        <f t="shared" si="201"/>
        <v>1.28279464510203</v>
      </c>
      <c r="AB111" s="5">
        <f t="shared" si="202"/>
        <v>0.077149236385196</v>
      </c>
      <c r="AC111" s="5"/>
      <c r="AD111" s="5">
        <f t="shared" si="203"/>
        <v>0.611107489733394</v>
      </c>
      <c r="AE111" s="216">
        <f t="shared" si="204"/>
        <v>99.9506172839506</v>
      </c>
      <c r="AF111" s="217">
        <f t="shared" si="205"/>
        <v>0.0175086462450593</v>
      </c>
      <c r="AH111" s="5">
        <f t="shared" si="206"/>
        <v>0.158564993434418</v>
      </c>
      <c r="AI111" s="5">
        <f t="shared" si="207"/>
        <v>0.3</v>
      </c>
      <c r="AJ111" s="5">
        <f t="shared" si="208"/>
        <v>1.05711463844797</v>
      </c>
      <c r="AL111" s="216">
        <f t="shared" si="209"/>
        <v>5</v>
      </c>
      <c r="AM111" s="220">
        <f t="shared" si="210"/>
        <v>99.9506172839506</v>
      </c>
      <c r="AO111" s="220">
        <f t="shared" si="211"/>
        <v>5</v>
      </c>
      <c r="AP111" s="220">
        <f t="shared" si="212"/>
        <v>99.9506172839506</v>
      </c>
      <c r="AR111" s="192">
        <f t="shared" si="160"/>
        <v>10.0049407114624</v>
      </c>
      <c r="AS111" s="192">
        <f t="shared" si="213"/>
        <v>0.75</v>
      </c>
      <c r="AT111" s="192">
        <f t="shared" si="214"/>
        <v>9.25494071146245</v>
      </c>
      <c r="AU111" s="5">
        <f t="shared" si="215"/>
        <v>0.074962962962963</v>
      </c>
      <c r="AW111" s="192">
        <f t="shared" si="216"/>
        <v>0.0208333333333333</v>
      </c>
      <c r="AX111" s="192"/>
      <c r="AY111" s="192">
        <f t="shared" si="217"/>
        <v>0.06</v>
      </c>
      <c r="AZ111" s="192"/>
      <c r="BA111" s="192">
        <f t="shared" si="218"/>
        <v>0.154249011857707</v>
      </c>
      <c r="BB111" s="192"/>
      <c r="BC111" s="192"/>
      <c r="BD111" s="5">
        <f t="shared" si="219"/>
        <v>0.0474224513167433</v>
      </c>
      <c r="BE111" s="5">
        <f t="shared" si="220"/>
        <v>0.0909108767897312</v>
      </c>
      <c r="BF111" s="5">
        <f t="shared" si="221"/>
        <v>0.0688378655527183</v>
      </c>
      <c r="BG111" s="5"/>
      <c r="BH111" s="217">
        <f t="shared" si="222"/>
        <v>0.000787111111111111</v>
      </c>
      <c r="BI111" s="217">
        <f t="shared" si="223"/>
        <v>0.00333927016296296</v>
      </c>
      <c r="BJ111" s="217">
        <f t="shared" si="224"/>
        <v>0.00124938271604938</v>
      </c>
      <c r="BK111" s="217">
        <f t="shared" si="225"/>
        <v>0.00247916321618805</v>
      </c>
      <c r="BL111">
        <f t="shared" si="226"/>
        <v>0.0029</v>
      </c>
      <c r="BM111">
        <f t="shared" si="227"/>
        <v>1.24938271604938e-6</v>
      </c>
      <c r="BN111">
        <f t="shared" si="228"/>
        <v>0.0110975800425914</v>
      </c>
      <c r="BO111" s="220">
        <f t="shared" si="229"/>
        <v>10.7549272063115</v>
      </c>
      <c r="BP111" s="5">
        <f t="shared" si="230"/>
        <v>0.00385</v>
      </c>
      <c r="BQ111" s="5">
        <f t="shared" si="231"/>
        <v>0.00308</v>
      </c>
      <c r="BR111" s="217"/>
      <c r="BT111" s="220">
        <f t="shared" si="232"/>
        <v>6.93</v>
      </c>
      <c r="BU111" s="217">
        <f t="shared" si="233"/>
        <v>9.22044444444445e-5</v>
      </c>
      <c r="BV111" s="217">
        <f t="shared" si="234"/>
        <v>0.000826478751867769</v>
      </c>
      <c r="BW111" s="217">
        <f t="shared" si="235"/>
        <v>0.000331705621369788</v>
      </c>
      <c r="BX111" s="217">
        <f t="shared" si="236"/>
        <v>0</v>
      </c>
      <c r="BY111" s="217">
        <f t="shared" si="180"/>
        <v>0.00172570919299936</v>
      </c>
      <c r="BZ111" s="217">
        <f t="shared" si="166"/>
        <v>0.001250388817682</v>
      </c>
      <c r="CA111" s="225">
        <f t="shared" si="237"/>
        <v>0.000359822222222222</v>
      </c>
      <c r="CB111" s="220">
        <f t="shared" si="238"/>
        <v>4.58630905058559</v>
      </c>
      <c r="CC111" s="5">
        <f t="shared" si="168"/>
        <v>0.020113111457813</v>
      </c>
      <c r="CD111" s="192">
        <f t="shared" si="239"/>
        <v>0.11</v>
      </c>
      <c r="CE111" s="5">
        <f t="shared" si="240"/>
        <v>0.845418257756949</v>
      </c>
      <c r="CF111" s="192">
        <f t="shared" si="241"/>
        <v>84.5418257756949</v>
      </c>
      <c r="CG111">
        <f t="shared" si="242"/>
        <v>1</v>
      </c>
      <c r="CI111" s="227">
        <f t="shared" si="243"/>
        <v>-50</v>
      </c>
      <c r="CJ111">
        <f t="shared" si="244"/>
        <v>-50</v>
      </c>
    </row>
    <row r="112" spans="5:88">
      <c r="E112" s="22">
        <v>2</v>
      </c>
      <c r="F112" s="25">
        <f t="shared" si="245"/>
        <v>0.01</v>
      </c>
      <c r="G112" s="25">
        <f t="shared" si="183"/>
        <v>0.008</v>
      </c>
      <c r="H112" s="25">
        <f t="shared" si="184"/>
        <v>0.18</v>
      </c>
      <c r="I112" s="25">
        <f t="shared" si="185"/>
        <v>0.04</v>
      </c>
      <c r="J112" s="212">
        <f t="shared" si="186"/>
        <v>10</v>
      </c>
      <c r="K112" s="131">
        <f t="shared" si="187"/>
        <v>12.2728</v>
      </c>
      <c r="L112" s="131">
        <f t="shared" si="188"/>
        <v>22.2728</v>
      </c>
      <c r="M112" s="131"/>
      <c r="N112" s="25">
        <f t="shared" si="189"/>
        <v>0.551021874214288</v>
      </c>
      <c r="O112" s="27">
        <f t="shared" si="190"/>
        <v>3.04314353259255</v>
      </c>
      <c r="P112" s="27">
        <f t="shared" si="191"/>
        <v>0.676254118353899</v>
      </c>
      <c r="Q112" s="25">
        <f t="shared" si="192"/>
        <v>0.169063529588475</v>
      </c>
      <c r="R112" s="25">
        <f t="shared" si="193"/>
        <v>0.608628706518509</v>
      </c>
      <c r="S112" s="25">
        <f t="shared" si="194"/>
        <v>18</v>
      </c>
      <c r="T112" s="25">
        <f t="shared" si="195"/>
        <v>0.0887240437752139</v>
      </c>
      <c r="U112" s="25">
        <f t="shared" si="196"/>
        <v>0.221810109438035</v>
      </c>
      <c r="V112" s="25">
        <f t="shared" si="197"/>
        <v>0.180733092234889</v>
      </c>
      <c r="W112" s="24">
        <f t="shared" si="198"/>
        <v>350</v>
      </c>
      <c r="X112" s="131">
        <f t="shared" si="199"/>
        <v>350</v>
      </c>
      <c r="Z112" s="25">
        <f t="shared" si="200"/>
        <v>0.62973928481633</v>
      </c>
      <c r="AA112" s="5">
        <f t="shared" si="201"/>
        <v>1.28279464510203</v>
      </c>
      <c r="AB112" s="5">
        <f t="shared" si="202"/>
        <v>0.077149236385196</v>
      </c>
      <c r="AC112" s="5"/>
      <c r="AD112" s="5">
        <f t="shared" si="203"/>
        <v>0.611107489733394</v>
      </c>
      <c r="AE112" s="216">
        <f t="shared" si="204"/>
        <v>199.901234567901</v>
      </c>
      <c r="AF112" s="217">
        <f t="shared" si="205"/>
        <v>0.0175086462450593</v>
      </c>
      <c r="AH112" s="5">
        <f t="shared" si="206"/>
        <v>0.224244764232555</v>
      </c>
      <c r="AI112" s="5">
        <f t="shared" si="207"/>
        <v>0.3</v>
      </c>
      <c r="AJ112" s="5">
        <f t="shared" si="208"/>
        <v>1.11422927689594</v>
      </c>
      <c r="AL112" s="216">
        <f t="shared" si="209"/>
        <v>10</v>
      </c>
      <c r="AM112" s="220">
        <f t="shared" si="210"/>
        <v>199.901234567901</v>
      </c>
      <c r="AO112" s="220">
        <f t="shared" si="211"/>
        <v>10</v>
      </c>
      <c r="AP112" s="220">
        <f t="shared" si="212"/>
        <v>199.901234567901</v>
      </c>
      <c r="AR112" s="192">
        <f t="shared" si="160"/>
        <v>5.00247035573122</v>
      </c>
      <c r="AS112" s="192">
        <f t="shared" si="213"/>
        <v>0.75</v>
      </c>
      <c r="AT112" s="192">
        <f t="shared" si="214"/>
        <v>4.25247035573122</v>
      </c>
      <c r="AU112" s="5">
        <f t="shared" si="215"/>
        <v>0.149925925925926</v>
      </c>
      <c r="AW112" s="192">
        <f t="shared" si="216"/>
        <v>0.0416666666666667</v>
      </c>
      <c r="AX112" s="192"/>
      <c r="AY112" s="192">
        <f t="shared" si="217"/>
        <v>0.12</v>
      </c>
      <c r="AZ112" s="192"/>
      <c r="BA112" s="192">
        <f t="shared" si="218"/>
        <v>0.141749011857707</v>
      </c>
      <c r="BB112" s="192"/>
      <c r="BC112" s="192"/>
      <c r="BD112" s="5">
        <f t="shared" si="219"/>
        <v>0.0670654738131162</v>
      </c>
      <c r="BE112" s="5">
        <f t="shared" si="220"/>
        <v>0.0871494541084737</v>
      </c>
      <c r="BF112" s="5">
        <f t="shared" si="221"/>
        <v>0.0659897101068278</v>
      </c>
      <c r="BG112" s="5"/>
      <c r="BH112" s="217">
        <f t="shared" si="222"/>
        <v>0.00157422222222222</v>
      </c>
      <c r="BI112" s="217">
        <f t="shared" si="223"/>
        <v>0.00667854032592593</v>
      </c>
      <c r="BJ112" s="217">
        <f t="shared" si="224"/>
        <v>0.00249876543209877</v>
      </c>
      <c r="BK112" s="217">
        <f t="shared" si="225"/>
        <v>0.0049583264323761</v>
      </c>
      <c r="BL112">
        <f t="shared" si="226"/>
        <v>0.0029</v>
      </c>
      <c r="BM112">
        <f t="shared" si="227"/>
        <v>2.49876543209877e-6</v>
      </c>
      <c r="BN112">
        <f t="shared" si="228"/>
        <v>0.0193024254758139</v>
      </c>
      <c r="BO112" s="220">
        <f t="shared" si="229"/>
        <v>18.609854412623</v>
      </c>
      <c r="BP112" s="5">
        <f t="shared" si="230"/>
        <v>0.0077</v>
      </c>
      <c r="BQ112" s="5">
        <f t="shared" si="231"/>
        <v>0.00616</v>
      </c>
      <c r="BR112" s="217"/>
      <c r="BT112" s="220">
        <f t="shared" si="232"/>
        <v>13.86</v>
      </c>
      <c r="BU112" s="217">
        <f t="shared" si="233"/>
        <v>0.000184408888888889</v>
      </c>
      <c r="BV112" s="217">
        <f t="shared" si="234"/>
        <v>0.000759502735140496</v>
      </c>
      <c r="BW112" s="217">
        <f t="shared" si="235"/>
        <v>0.000304824928798822</v>
      </c>
      <c r="BX112" s="217">
        <f t="shared" si="236"/>
        <v>0</v>
      </c>
      <c r="BY112" s="217">
        <f t="shared" si="180"/>
        <v>0.0017234286115672</v>
      </c>
      <c r="BZ112" s="217">
        <f t="shared" si="166"/>
        <v>0.00124873655282821</v>
      </c>
      <c r="CA112" s="225">
        <f t="shared" si="237"/>
        <v>0.000719644444444445</v>
      </c>
      <c r="CB112" s="220">
        <f t="shared" si="238"/>
        <v>4.94054616166806</v>
      </c>
      <c r="CC112" s="5">
        <f t="shared" si="168"/>
        <v>0.0356054985318256</v>
      </c>
      <c r="CD112" s="192">
        <f t="shared" si="239"/>
        <v>0.22</v>
      </c>
      <c r="CE112" s="5">
        <f t="shared" si="240"/>
        <v>0.860701359179125</v>
      </c>
      <c r="CF112" s="192">
        <f t="shared" si="241"/>
        <v>86.0701359179125</v>
      </c>
      <c r="CG112">
        <f t="shared" si="242"/>
        <v>2</v>
      </c>
      <c r="CI112" s="227">
        <f t="shared" si="243"/>
        <v>-50</v>
      </c>
      <c r="CJ112">
        <f t="shared" si="244"/>
        <v>-50</v>
      </c>
    </row>
    <row r="113" spans="5:88">
      <c r="E113" s="22">
        <v>3</v>
      </c>
      <c r="F113" s="25">
        <f t="shared" si="245"/>
        <v>0.015</v>
      </c>
      <c r="G113" s="25">
        <f t="shared" si="183"/>
        <v>0.012</v>
      </c>
      <c r="H113" s="25">
        <f t="shared" si="184"/>
        <v>0.27</v>
      </c>
      <c r="I113" s="25">
        <f t="shared" si="185"/>
        <v>0.06</v>
      </c>
      <c r="J113" s="212">
        <f t="shared" si="186"/>
        <v>10</v>
      </c>
      <c r="K113" s="131">
        <f t="shared" si="187"/>
        <v>12.2728</v>
      </c>
      <c r="L113" s="131">
        <f t="shared" si="188"/>
        <v>22.2728</v>
      </c>
      <c r="M113" s="131"/>
      <c r="N113" s="25">
        <f t="shared" si="189"/>
        <v>0.551021874214288</v>
      </c>
      <c r="O113" s="27">
        <f t="shared" si="190"/>
        <v>3.04314353259255</v>
      </c>
      <c r="P113" s="27">
        <f t="shared" si="191"/>
        <v>0.676254118353899</v>
      </c>
      <c r="Q113" s="25">
        <f t="shared" si="192"/>
        <v>0.169063529588475</v>
      </c>
      <c r="R113" s="25">
        <f t="shared" si="193"/>
        <v>0.608628706518509</v>
      </c>
      <c r="S113" s="25">
        <f t="shared" si="194"/>
        <v>18</v>
      </c>
      <c r="T113" s="25">
        <f t="shared" si="195"/>
        <v>0.133086065662821</v>
      </c>
      <c r="U113" s="25">
        <f t="shared" si="196"/>
        <v>0.332715164157052</v>
      </c>
      <c r="V113" s="25">
        <f t="shared" si="197"/>
        <v>0.271099638352334</v>
      </c>
      <c r="W113" s="24">
        <f t="shared" si="198"/>
        <v>350</v>
      </c>
      <c r="X113" s="131">
        <f t="shared" si="199"/>
        <v>350</v>
      </c>
      <c r="Z113" s="25">
        <f t="shared" si="200"/>
        <v>0.62973928481633</v>
      </c>
      <c r="AA113" s="5">
        <f t="shared" si="201"/>
        <v>1.28279464510203</v>
      </c>
      <c r="AB113" s="5">
        <f t="shared" si="202"/>
        <v>0.077149236385196</v>
      </c>
      <c r="AC113" s="5"/>
      <c r="AD113" s="5">
        <f t="shared" si="203"/>
        <v>0.611107489733394</v>
      </c>
      <c r="AE113" s="216">
        <f t="shared" si="204"/>
        <v>299.851851851852</v>
      </c>
      <c r="AF113" s="217">
        <f t="shared" si="205"/>
        <v>0.0175086462450593</v>
      </c>
      <c r="AH113" s="5">
        <f t="shared" si="206"/>
        <v>0.274642624930238</v>
      </c>
      <c r="AI113" s="5">
        <f t="shared" si="207"/>
        <v>0.3</v>
      </c>
      <c r="AJ113" s="5">
        <f t="shared" si="208"/>
        <v>1.17134391534392</v>
      </c>
      <c r="AL113" s="216">
        <f t="shared" si="209"/>
        <v>15</v>
      </c>
      <c r="AM113" s="220">
        <f t="shared" si="210"/>
        <v>299.851851851852</v>
      </c>
      <c r="AO113" s="220">
        <f t="shared" si="211"/>
        <v>15</v>
      </c>
      <c r="AP113" s="220">
        <f t="shared" si="212"/>
        <v>299.851851851852</v>
      </c>
      <c r="AR113" s="192">
        <f t="shared" si="160"/>
        <v>3.33498023715415</v>
      </c>
      <c r="AS113" s="192">
        <f t="shared" si="213"/>
        <v>0.75</v>
      </c>
      <c r="AT113" s="192">
        <f t="shared" si="214"/>
        <v>2.58498023715415</v>
      </c>
      <c r="AU113" s="5">
        <f t="shared" si="215"/>
        <v>0.224888888888889</v>
      </c>
      <c r="AW113" s="192">
        <f t="shared" si="216"/>
        <v>0.0625</v>
      </c>
      <c r="AX113" s="192"/>
      <c r="AY113" s="192">
        <f t="shared" si="217"/>
        <v>0.18</v>
      </c>
      <c r="AZ113" s="192"/>
      <c r="BA113" s="192">
        <f t="shared" si="218"/>
        <v>0.129249011857707</v>
      </c>
      <c r="BB113" s="192"/>
      <c r="BC113" s="192"/>
      <c r="BD113" s="5">
        <f t="shared" si="219"/>
        <v>0.082138095100061</v>
      </c>
      <c r="BE113" s="5">
        <f t="shared" si="220"/>
        <v>0.0832181902238461</v>
      </c>
      <c r="BF113" s="5">
        <f t="shared" si="221"/>
        <v>0.0630129506221715</v>
      </c>
      <c r="BG113" s="5"/>
      <c r="BH113" s="217">
        <f t="shared" si="222"/>
        <v>0.00236133333333333</v>
      </c>
      <c r="BI113" s="217">
        <f t="shared" si="223"/>
        <v>0.0100178104888889</v>
      </c>
      <c r="BJ113" s="217">
        <f t="shared" si="224"/>
        <v>0.00374814814814815</v>
      </c>
      <c r="BK113" s="217">
        <f t="shared" si="225"/>
        <v>0.00743748964856415</v>
      </c>
      <c r="BL113">
        <f t="shared" si="226"/>
        <v>0.0029</v>
      </c>
      <c r="BM113">
        <f t="shared" si="227"/>
        <v>3.74814814814815e-6</v>
      </c>
      <c r="BN113">
        <f t="shared" si="228"/>
        <v>0.0275145459627577</v>
      </c>
      <c r="BO113" s="220">
        <f t="shared" si="229"/>
        <v>26.4647816189345</v>
      </c>
      <c r="BP113" s="5">
        <f t="shared" si="230"/>
        <v>0.01155</v>
      </c>
      <c r="BQ113" s="5">
        <f t="shared" si="231"/>
        <v>0.00924</v>
      </c>
      <c r="BR113" s="217"/>
      <c r="BT113" s="220">
        <f t="shared" si="232"/>
        <v>20.79</v>
      </c>
      <c r="BU113" s="217">
        <f t="shared" si="233"/>
        <v>0.000276613333333333</v>
      </c>
      <c r="BV113" s="217">
        <f t="shared" si="234"/>
        <v>0.000692526718413223</v>
      </c>
      <c r="BW113" s="217">
        <f t="shared" si="235"/>
        <v>0.000277944236227856</v>
      </c>
      <c r="BX113" s="217">
        <f t="shared" si="236"/>
        <v>0</v>
      </c>
      <c r="BY113" s="217">
        <f t="shared" si="180"/>
        <v>0.001721148030738</v>
      </c>
      <c r="BZ113" s="217">
        <f t="shared" si="166"/>
        <v>0.00124708428797441</v>
      </c>
      <c r="CA113" s="225">
        <f t="shared" si="237"/>
        <v>0.00107946666666667</v>
      </c>
      <c r="CB113" s="220">
        <f t="shared" si="238"/>
        <v>5.29478327335349</v>
      </c>
      <c r="CC113" s="5">
        <f t="shared" si="168"/>
        <v>0.0511051606601624</v>
      </c>
      <c r="CD113" s="192">
        <f t="shared" si="239"/>
        <v>0.33</v>
      </c>
      <c r="CE113" s="5">
        <f t="shared" si="240"/>
        <v>0.865902732538084</v>
      </c>
      <c r="CF113" s="192">
        <f t="shared" si="241"/>
        <v>86.5902732538084</v>
      </c>
      <c r="CG113">
        <f t="shared" si="242"/>
        <v>3</v>
      </c>
      <c r="CI113" s="227">
        <f t="shared" si="243"/>
        <v>-50</v>
      </c>
      <c r="CJ113">
        <f t="shared" si="244"/>
        <v>-50</v>
      </c>
    </row>
    <row r="114" spans="5:88">
      <c r="E114" s="22">
        <v>4</v>
      </c>
      <c r="F114" s="25">
        <f t="shared" si="245"/>
        <v>0.02</v>
      </c>
      <c r="G114" s="25">
        <f t="shared" si="183"/>
        <v>0.016</v>
      </c>
      <c r="H114" s="25">
        <f t="shared" si="184"/>
        <v>0.36</v>
      </c>
      <c r="I114" s="25">
        <f t="shared" si="185"/>
        <v>0.08</v>
      </c>
      <c r="J114" s="212">
        <f t="shared" si="186"/>
        <v>10</v>
      </c>
      <c r="K114" s="131">
        <f t="shared" si="187"/>
        <v>12.2728</v>
      </c>
      <c r="L114" s="131">
        <f t="shared" si="188"/>
        <v>22.2728</v>
      </c>
      <c r="M114" s="131"/>
      <c r="N114" s="25">
        <f t="shared" si="189"/>
        <v>0.551021874214288</v>
      </c>
      <c r="O114" s="27">
        <f t="shared" si="190"/>
        <v>3.04314353259255</v>
      </c>
      <c r="P114" s="27">
        <f t="shared" si="191"/>
        <v>0.676254118353899</v>
      </c>
      <c r="Q114" s="25">
        <f t="shared" si="192"/>
        <v>0.169063529588475</v>
      </c>
      <c r="R114" s="25">
        <f t="shared" si="193"/>
        <v>0.608628706518509</v>
      </c>
      <c r="S114" s="25">
        <f t="shared" si="194"/>
        <v>18</v>
      </c>
      <c r="T114" s="25">
        <f t="shared" si="195"/>
        <v>0.177448087550428</v>
      </c>
      <c r="U114" s="25">
        <f t="shared" si="196"/>
        <v>0.44362021887607</v>
      </c>
      <c r="V114" s="25">
        <f t="shared" si="197"/>
        <v>0.361466184469779</v>
      </c>
      <c r="W114" s="24">
        <f t="shared" si="198"/>
        <v>350</v>
      </c>
      <c r="X114" s="131">
        <f t="shared" si="199"/>
        <v>350</v>
      </c>
      <c r="Z114" s="25">
        <f t="shared" si="200"/>
        <v>0.62973928481633</v>
      </c>
      <c r="AA114" s="5">
        <f t="shared" si="201"/>
        <v>1.28279464510203</v>
      </c>
      <c r="AB114" s="5">
        <f t="shared" si="202"/>
        <v>0.077149236385196</v>
      </c>
      <c r="AC114" s="5"/>
      <c r="AD114" s="5">
        <f t="shared" si="203"/>
        <v>0.611107489733394</v>
      </c>
      <c r="AE114" s="216">
        <f t="shared" si="204"/>
        <v>399.802469135803</v>
      </c>
      <c r="AF114" s="217">
        <f t="shared" si="205"/>
        <v>0.0175086462450593</v>
      </c>
      <c r="AH114" s="5">
        <f t="shared" si="206"/>
        <v>0.317129986868837</v>
      </c>
      <c r="AI114" s="5">
        <f t="shared" si="207"/>
        <v>0.317129986868837</v>
      </c>
      <c r="AJ114" s="5">
        <f t="shared" si="208"/>
        <v>1.2126888791621</v>
      </c>
      <c r="AL114" s="216">
        <f t="shared" si="209"/>
        <v>20</v>
      </c>
      <c r="AM114" s="220">
        <f t="shared" si="210"/>
        <v>350</v>
      </c>
      <c r="AO114" s="220">
        <f t="shared" si="211"/>
        <v>20</v>
      </c>
      <c r="AP114" s="220">
        <f t="shared" si="212"/>
        <v>350</v>
      </c>
      <c r="AR114" s="192">
        <f t="shared" si="160"/>
        <v>2.85714285714286</v>
      </c>
      <c r="AS114" s="192">
        <f t="shared" si="213"/>
        <v>0.792824967172092</v>
      </c>
      <c r="AT114" s="192">
        <f t="shared" si="214"/>
        <v>2.06431788997077</v>
      </c>
      <c r="AU114" s="5">
        <f t="shared" si="215"/>
        <v>0.277488738510232</v>
      </c>
      <c r="AW114" s="192">
        <f t="shared" si="216"/>
        <v>0.0880916630191213</v>
      </c>
      <c r="AX114" s="192"/>
      <c r="AY114" s="192">
        <f t="shared" si="217"/>
        <v>0.253703989495069</v>
      </c>
      <c r="AZ114" s="192"/>
      <c r="BA114" s="192">
        <f t="shared" si="218"/>
        <v>0.137621192664718</v>
      </c>
      <c r="BB114" s="192"/>
      <c r="BC114" s="192"/>
      <c r="BD114" s="5">
        <f t="shared" si="219"/>
        <v>0.0964493629570419</v>
      </c>
      <c r="BE114" s="5">
        <f t="shared" si="220"/>
        <v>0.0849326452920216</v>
      </c>
      <c r="BF114" s="5">
        <f t="shared" si="221"/>
        <v>0.0643111388219423</v>
      </c>
      <c r="BG114" s="5"/>
      <c r="BH114" s="217">
        <f t="shared" si="222"/>
        <v>0.00325586786518672</v>
      </c>
      <c r="BI114" s="217">
        <f t="shared" si="223"/>
        <v>0.0123609023501814</v>
      </c>
      <c r="BJ114" s="217">
        <f t="shared" si="224"/>
        <v>0.004375</v>
      </c>
      <c r="BK114" s="217">
        <f t="shared" si="225"/>
        <v>0.0086813583472</v>
      </c>
      <c r="BL114">
        <f t="shared" si="226"/>
        <v>0.0029</v>
      </c>
      <c r="BM114">
        <f t="shared" si="227"/>
        <v>4.375e-6</v>
      </c>
      <c r="BN114">
        <f t="shared" si="228"/>
        <v>0.0330298788430633</v>
      </c>
      <c r="BO114" s="220">
        <f t="shared" si="229"/>
        <v>31.5731285625681</v>
      </c>
      <c r="BP114" s="5">
        <f t="shared" si="230"/>
        <v>0.0154</v>
      </c>
      <c r="BQ114" s="5">
        <f t="shared" si="231"/>
        <v>0.01232</v>
      </c>
      <c r="BR114" s="217"/>
      <c r="BT114" s="220">
        <f t="shared" si="232"/>
        <v>27.72</v>
      </c>
      <c r="BU114" s="217">
        <f t="shared" si="233"/>
        <v>0.000381401664207588</v>
      </c>
      <c r="BV114" s="217">
        <f t="shared" si="234"/>
        <v>0.000721355423630037</v>
      </c>
      <c r="BW114" s="217">
        <f t="shared" si="235"/>
        <v>0.000289514580360259</v>
      </c>
      <c r="BX114" s="217">
        <f t="shared" si="236"/>
        <v>0</v>
      </c>
      <c r="BY114" s="217">
        <f t="shared" si="180"/>
        <v>0.00192154892756355</v>
      </c>
      <c r="BZ114" s="217">
        <f t="shared" si="166"/>
        <v>0.00139227166819788</v>
      </c>
      <c r="CA114" s="225">
        <f t="shared" si="237"/>
        <v>0.001408</v>
      </c>
      <c r="CB114" s="220">
        <f t="shared" si="238"/>
        <v>6.11409226395932</v>
      </c>
      <c r="CC114" s="5">
        <f t="shared" si="168"/>
        <v>0.0640794277706268</v>
      </c>
      <c r="CD114" s="192">
        <f t="shared" si="239"/>
        <v>0.44</v>
      </c>
      <c r="CE114" s="5">
        <f t="shared" si="240"/>
        <v>0.872878311947725</v>
      </c>
      <c r="CF114" s="192">
        <f t="shared" si="241"/>
        <v>87.2878311947725</v>
      </c>
      <c r="CG114">
        <f t="shared" si="242"/>
        <v>4</v>
      </c>
      <c r="CI114" s="227">
        <f t="shared" si="243"/>
        <v>-50</v>
      </c>
      <c r="CJ114">
        <f t="shared" si="244"/>
        <v>-50</v>
      </c>
    </row>
    <row r="115" spans="5:88">
      <c r="E115" s="22">
        <v>5</v>
      </c>
      <c r="F115" s="25">
        <f t="shared" si="245"/>
        <v>0.025</v>
      </c>
      <c r="G115" s="25">
        <f t="shared" si="183"/>
        <v>0.02</v>
      </c>
      <c r="H115" s="25">
        <f t="shared" si="184"/>
        <v>0.45</v>
      </c>
      <c r="I115" s="25">
        <f t="shared" si="185"/>
        <v>0.1</v>
      </c>
      <c r="J115" s="212">
        <f t="shared" si="186"/>
        <v>10</v>
      </c>
      <c r="K115" s="131">
        <f t="shared" si="187"/>
        <v>12.2728</v>
      </c>
      <c r="L115" s="131">
        <f t="shared" si="188"/>
        <v>22.2728</v>
      </c>
      <c r="M115" s="131"/>
      <c r="N115" s="25">
        <f t="shared" si="189"/>
        <v>0.551021874214288</v>
      </c>
      <c r="O115" s="27">
        <f t="shared" si="190"/>
        <v>3.04314353259255</v>
      </c>
      <c r="P115" s="27">
        <f t="shared" si="191"/>
        <v>0.676254118353899</v>
      </c>
      <c r="Q115" s="25">
        <f t="shared" si="192"/>
        <v>0.169063529588475</v>
      </c>
      <c r="R115" s="25">
        <f t="shared" si="193"/>
        <v>0.608628706518509</v>
      </c>
      <c r="S115" s="25">
        <f t="shared" si="194"/>
        <v>18</v>
      </c>
      <c r="T115" s="25">
        <f t="shared" si="195"/>
        <v>0.221810109438035</v>
      </c>
      <c r="U115" s="25">
        <f t="shared" si="196"/>
        <v>0.554525273595088</v>
      </c>
      <c r="V115" s="25">
        <f t="shared" si="197"/>
        <v>0.451832730587223</v>
      </c>
      <c r="W115" s="24">
        <f t="shared" si="198"/>
        <v>350</v>
      </c>
      <c r="X115" s="131">
        <f t="shared" si="199"/>
        <v>350</v>
      </c>
      <c r="Z115" s="25">
        <f t="shared" si="200"/>
        <v>0.62973928481633</v>
      </c>
      <c r="AA115" s="5">
        <f t="shared" si="201"/>
        <v>1.28279464510203</v>
      </c>
      <c r="AB115" s="5">
        <f t="shared" si="202"/>
        <v>0.077149236385196</v>
      </c>
      <c r="AC115" s="5"/>
      <c r="AD115" s="5">
        <f t="shared" si="203"/>
        <v>0.611107489733394</v>
      </c>
      <c r="AE115" s="216">
        <f t="shared" si="204"/>
        <v>499.753086419753</v>
      </c>
      <c r="AF115" s="217">
        <f t="shared" si="205"/>
        <v>0.0175086462450593</v>
      </c>
      <c r="AH115" s="5">
        <f t="shared" si="206"/>
        <v>0.354562104171167</v>
      </c>
      <c r="AI115" s="5">
        <f t="shared" si="207"/>
        <v>0.354562104171167</v>
      </c>
      <c r="AJ115" s="5">
        <f t="shared" si="208"/>
        <v>1.24041637346012</v>
      </c>
      <c r="AL115" s="216">
        <f t="shared" si="209"/>
        <v>25</v>
      </c>
      <c r="AM115" s="220">
        <f t="shared" si="210"/>
        <v>350</v>
      </c>
      <c r="AO115" s="220">
        <f t="shared" si="211"/>
        <v>25</v>
      </c>
      <c r="AP115" s="220">
        <f t="shared" si="212"/>
        <v>350</v>
      </c>
      <c r="AR115" s="192">
        <f t="shared" si="160"/>
        <v>2.85714285714286</v>
      </c>
      <c r="AS115" s="192">
        <f t="shared" ref="AS115:AS178" si="246">L*AI115/J115*1000000</f>
        <v>0.886405260427918</v>
      </c>
      <c r="AT115" s="192">
        <f t="shared" ref="AT115:AT178" si="247">AR115-AS115</f>
        <v>1.97073759671494</v>
      </c>
      <c r="AU115" s="5">
        <f t="shared" ref="AU115:AU178" si="248">AS115/AR115</f>
        <v>0.310241841149771</v>
      </c>
      <c r="AW115" s="192">
        <f t="shared" si="216"/>
        <v>0.1231118417261</v>
      </c>
      <c r="AX115" s="192"/>
      <c r="AY115" s="192">
        <f t="shared" si="217"/>
        <v>0.354562104171167</v>
      </c>
      <c r="AZ115" s="192"/>
      <c r="BA115" s="192">
        <f t="shared" si="218"/>
        <v>0.164228133059578</v>
      </c>
      <c r="BB115" s="192"/>
      <c r="BC115" s="192"/>
      <c r="BD115" s="5">
        <f t="shared" si="219"/>
        <v>0.114020219637905</v>
      </c>
      <c r="BE115" s="5">
        <f t="shared" si="220"/>
        <v>0.0927802994840306</v>
      </c>
      <c r="BF115" s="5">
        <f t="shared" si="221"/>
        <v>0.0702533954940808</v>
      </c>
      <c r="BG115" s="5"/>
      <c r="BH115" s="217">
        <f t="shared" si="222"/>
        <v>0.00455021367019665</v>
      </c>
      <c r="BI115" s="217">
        <f t="shared" si="223"/>
        <v>0.0138199089591213</v>
      </c>
      <c r="BJ115" s="217">
        <f t="shared" si="224"/>
        <v>0.004375</v>
      </c>
      <c r="BK115" s="217">
        <f t="shared" si="225"/>
        <v>0.0086813583472</v>
      </c>
      <c r="BL115">
        <f t="shared" si="226"/>
        <v>0.0029</v>
      </c>
      <c r="BM115">
        <f t="shared" si="227"/>
        <v>4.375e-6</v>
      </c>
      <c r="BN115">
        <f t="shared" si="228"/>
        <v>0.0363691590080537</v>
      </c>
      <c r="BO115" s="220">
        <f t="shared" si="229"/>
        <v>34.3264809765179</v>
      </c>
      <c r="BP115" s="5">
        <f t="shared" si="230"/>
        <v>0.01925</v>
      </c>
      <c r="BQ115" s="5">
        <f t="shared" si="231"/>
        <v>0.0154</v>
      </c>
      <c r="BR115" s="217"/>
      <c r="BT115" s="220">
        <f t="shared" si="232"/>
        <v>34.65</v>
      </c>
      <c r="BU115" s="217">
        <f t="shared" si="233"/>
        <v>0.000533025029937322</v>
      </c>
      <c r="BV115" s="217">
        <f t="shared" si="234"/>
        <v>0.000860818397234642</v>
      </c>
      <c r="BW115" s="217">
        <f t="shared" si="235"/>
        <v>0.000345487770491341</v>
      </c>
      <c r="BX115" s="217">
        <f t="shared" si="236"/>
        <v>0</v>
      </c>
      <c r="BY115" s="217">
        <f t="shared" si="180"/>
        <v>0.00240061108939626</v>
      </c>
      <c r="BZ115" s="217">
        <f t="shared" si="166"/>
        <v>0.0017393311976633</v>
      </c>
      <c r="CA115" s="225">
        <f t="shared" si="237"/>
        <v>0.00176</v>
      </c>
      <c r="CB115" s="220">
        <f t="shared" si="238"/>
        <v>7.63927348472287</v>
      </c>
      <c r="CC115" s="5">
        <f t="shared" si="168"/>
        <v>0.07517977009745</v>
      </c>
      <c r="CD115" s="192">
        <f t="shared" si="239"/>
        <v>0.55</v>
      </c>
      <c r="CE115" s="5">
        <f t="shared" si="240"/>
        <v>0.879746956486242</v>
      </c>
      <c r="CF115" s="192">
        <f t="shared" si="241"/>
        <v>87.9746956486242</v>
      </c>
      <c r="CG115">
        <f t="shared" si="242"/>
        <v>5</v>
      </c>
      <c r="CI115" s="227">
        <f t="shared" si="243"/>
        <v>-50</v>
      </c>
      <c r="CJ115">
        <f t="shared" si="244"/>
        <v>-50</v>
      </c>
    </row>
    <row r="116" spans="5:88">
      <c r="E116" s="22">
        <v>6</v>
      </c>
      <c r="F116" s="25">
        <f t="shared" si="245"/>
        <v>0.03</v>
      </c>
      <c r="G116" s="25">
        <f t="shared" si="183"/>
        <v>0.024</v>
      </c>
      <c r="H116" s="25">
        <f t="shared" si="184"/>
        <v>0.54</v>
      </c>
      <c r="I116" s="25">
        <f t="shared" si="185"/>
        <v>0.12</v>
      </c>
      <c r="J116" s="212">
        <f t="shared" si="186"/>
        <v>10</v>
      </c>
      <c r="K116" s="131">
        <f t="shared" si="187"/>
        <v>12.2728</v>
      </c>
      <c r="L116" s="131">
        <f t="shared" si="188"/>
        <v>22.2728</v>
      </c>
      <c r="M116" s="131"/>
      <c r="N116" s="25">
        <f t="shared" si="189"/>
        <v>0.551021874214288</v>
      </c>
      <c r="O116" s="27">
        <f t="shared" si="190"/>
        <v>3.04314353259255</v>
      </c>
      <c r="P116" s="27">
        <f t="shared" si="191"/>
        <v>0.676254118353899</v>
      </c>
      <c r="Q116" s="25">
        <f t="shared" si="192"/>
        <v>0.169063529588475</v>
      </c>
      <c r="R116" s="25">
        <f t="shared" si="193"/>
        <v>0.608628706518509</v>
      </c>
      <c r="S116" s="25">
        <f t="shared" si="194"/>
        <v>18</v>
      </c>
      <c r="T116" s="25">
        <f t="shared" si="195"/>
        <v>0.266172131325642</v>
      </c>
      <c r="U116" s="25">
        <f t="shared" si="196"/>
        <v>0.665430328314105</v>
      </c>
      <c r="V116" s="25">
        <f t="shared" si="197"/>
        <v>0.542199276704668</v>
      </c>
      <c r="W116" s="24">
        <f t="shared" si="198"/>
        <v>350</v>
      </c>
      <c r="X116" s="131">
        <f t="shared" si="199"/>
        <v>350</v>
      </c>
      <c r="Z116" s="25">
        <f t="shared" si="200"/>
        <v>0.62973928481633</v>
      </c>
      <c r="AA116" s="5">
        <f t="shared" si="201"/>
        <v>1.28279464510203</v>
      </c>
      <c r="AB116" s="5">
        <f t="shared" si="202"/>
        <v>0.077149236385196</v>
      </c>
      <c r="AC116" s="5"/>
      <c r="AD116" s="5">
        <f t="shared" si="203"/>
        <v>0.611107489733394</v>
      </c>
      <c r="AE116" s="216">
        <f t="shared" si="204"/>
        <v>599.703703703704</v>
      </c>
      <c r="AF116" s="217">
        <f t="shared" si="205"/>
        <v>0.0175086462450593</v>
      </c>
      <c r="AH116" s="5">
        <f t="shared" si="206"/>
        <v>0.38840332498209</v>
      </c>
      <c r="AI116" s="5">
        <f t="shared" si="207"/>
        <v>0.38840332498209</v>
      </c>
      <c r="AJ116" s="5">
        <f t="shared" si="208"/>
        <v>1.26548394443118</v>
      </c>
      <c r="AL116" s="216">
        <f t="shared" si="209"/>
        <v>30</v>
      </c>
      <c r="AM116" s="220">
        <f t="shared" si="210"/>
        <v>350</v>
      </c>
      <c r="AO116" s="220">
        <f t="shared" si="211"/>
        <v>30</v>
      </c>
      <c r="AP116" s="220">
        <f t="shared" si="212"/>
        <v>350</v>
      </c>
      <c r="AR116" s="192">
        <f t="shared" si="160"/>
        <v>2.85714285714286</v>
      </c>
      <c r="AS116" s="192">
        <f t="shared" si="246"/>
        <v>0.971008312455224</v>
      </c>
      <c r="AT116" s="192">
        <f t="shared" si="247"/>
        <v>1.88613454468763</v>
      </c>
      <c r="AU116" s="5">
        <f t="shared" si="248"/>
        <v>0.339852909359329</v>
      </c>
      <c r="AW116" s="192">
        <f t="shared" si="216"/>
        <v>0.161834718742537</v>
      </c>
      <c r="AX116" s="192"/>
      <c r="AY116" s="192">
        <f t="shared" si="217"/>
        <v>0.466083989978508</v>
      </c>
      <c r="AZ116" s="192"/>
      <c r="BA116" s="192">
        <f t="shared" si="218"/>
        <v>0.188613454468763</v>
      </c>
      <c r="BB116" s="192"/>
      <c r="BC116" s="192"/>
      <c r="BD116" s="5">
        <f t="shared" si="219"/>
        <v>0.130727756422314</v>
      </c>
      <c r="BE116" s="5">
        <f t="shared" si="220"/>
        <v>0.0994302031505331</v>
      </c>
      <c r="BF116" s="5">
        <f t="shared" si="221"/>
        <v>0.0752887134966999</v>
      </c>
      <c r="BG116" s="5"/>
      <c r="BH116" s="217">
        <f t="shared" si="222"/>
        <v>0.00598141120472418</v>
      </c>
      <c r="BI116" s="217">
        <f t="shared" si="223"/>
        <v>0.0151389517591569</v>
      </c>
      <c r="BJ116" s="217">
        <f t="shared" si="224"/>
        <v>0.004375</v>
      </c>
      <c r="BK116" s="217">
        <f t="shared" si="225"/>
        <v>0.0086813583472</v>
      </c>
      <c r="BL116">
        <f t="shared" si="226"/>
        <v>0.0029</v>
      </c>
      <c r="BM116">
        <f t="shared" si="227"/>
        <v>4.375e-6</v>
      </c>
      <c r="BN116">
        <f t="shared" si="228"/>
        <v>0.0397719641164883</v>
      </c>
      <c r="BO116" s="220">
        <f t="shared" si="229"/>
        <v>37.0767213110811</v>
      </c>
      <c r="BP116" s="5">
        <f t="shared" si="230"/>
        <v>0.0231</v>
      </c>
      <c r="BQ116" s="5">
        <f t="shared" si="231"/>
        <v>0.01848</v>
      </c>
      <c r="BR116" s="217"/>
      <c r="BT116" s="220">
        <f t="shared" si="232"/>
        <v>41.58</v>
      </c>
      <c r="BU116" s="217">
        <f t="shared" si="233"/>
        <v>0.00070067959826769</v>
      </c>
      <c r="BV116" s="217">
        <f t="shared" si="234"/>
        <v>0.000988636529855628</v>
      </c>
      <c r="BW116" s="217">
        <f t="shared" si="235"/>
        <v>0.000396787326599172</v>
      </c>
      <c r="BX116" s="217">
        <f t="shared" si="236"/>
        <v>0</v>
      </c>
      <c r="BY116" s="217">
        <f t="shared" si="180"/>
        <v>0.00287930328948019</v>
      </c>
      <c r="BZ116" s="217">
        <f t="shared" si="166"/>
        <v>0.00208610345472249</v>
      </c>
      <c r="CA116" s="225">
        <f t="shared" si="237"/>
        <v>0.002112</v>
      </c>
      <c r="CB116" s="220">
        <f t="shared" si="238"/>
        <v>9.16351019892516</v>
      </c>
      <c r="CC116" s="5">
        <f t="shared" si="168"/>
        <v>0.0863432674059685</v>
      </c>
      <c r="CD116" s="192">
        <f t="shared" si="239"/>
        <v>0.66</v>
      </c>
      <c r="CE116" s="5">
        <f t="shared" si="240"/>
        <v>0.884311588009539</v>
      </c>
      <c r="CF116" s="192">
        <f t="shared" si="241"/>
        <v>88.4311588009539</v>
      </c>
      <c r="CG116">
        <f t="shared" si="242"/>
        <v>6</v>
      </c>
      <c r="CI116" s="227">
        <f t="shared" si="243"/>
        <v>-50</v>
      </c>
      <c r="CJ116">
        <f t="shared" si="244"/>
        <v>-50</v>
      </c>
    </row>
    <row r="117" spans="5:88">
      <c r="E117" s="22">
        <v>7</v>
      </c>
      <c r="F117" s="25">
        <f t="shared" si="245"/>
        <v>0.035</v>
      </c>
      <c r="G117" s="25">
        <f t="shared" si="183"/>
        <v>0.028</v>
      </c>
      <c r="H117" s="25">
        <f t="shared" si="184"/>
        <v>0.63</v>
      </c>
      <c r="I117" s="25">
        <f t="shared" si="185"/>
        <v>0.14</v>
      </c>
      <c r="J117" s="212">
        <f t="shared" si="186"/>
        <v>10</v>
      </c>
      <c r="K117" s="131">
        <f t="shared" si="187"/>
        <v>12.2728</v>
      </c>
      <c r="L117" s="131">
        <f t="shared" si="188"/>
        <v>22.2728</v>
      </c>
      <c r="M117" s="131"/>
      <c r="N117" s="25">
        <f t="shared" si="189"/>
        <v>0.551021874214288</v>
      </c>
      <c r="O117" s="27">
        <f t="shared" si="190"/>
        <v>3.04314353259255</v>
      </c>
      <c r="P117" s="27">
        <f t="shared" si="191"/>
        <v>0.676254118353899</v>
      </c>
      <c r="Q117" s="25">
        <f t="shared" si="192"/>
        <v>0.169063529588475</v>
      </c>
      <c r="R117" s="25">
        <f t="shared" si="193"/>
        <v>0.608628706518509</v>
      </c>
      <c r="S117" s="25">
        <f t="shared" si="194"/>
        <v>18</v>
      </c>
      <c r="T117" s="25">
        <f t="shared" si="195"/>
        <v>0.310534153213249</v>
      </c>
      <c r="U117" s="25">
        <f t="shared" si="196"/>
        <v>0.776335383033122</v>
      </c>
      <c r="V117" s="25">
        <f t="shared" si="197"/>
        <v>0.632565822822113</v>
      </c>
      <c r="W117" s="24">
        <f t="shared" si="198"/>
        <v>350</v>
      </c>
      <c r="X117" s="131">
        <f t="shared" si="199"/>
        <v>350</v>
      </c>
      <c r="Z117" s="25">
        <f t="shared" si="200"/>
        <v>0.62973928481633</v>
      </c>
      <c r="AA117" s="5">
        <f t="shared" si="201"/>
        <v>1.28279464510203</v>
      </c>
      <c r="AB117" s="5">
        <f t="shared" si="202"/>
        <v>0.077149236385196</v>
      </c>
      <c r="AC117" s="5"/>
      <c r="AD117" s="5">
        <f t="shared" si="203"/>
        <v>0.611107489733394</v>
      </c>
      <c r="AE117" s="216">
        <f t="shared" si="204"/>
        <v>699.654320987654</v>
      </c>
      <c r="AF117" s="217">
        <f t="shared" si="205"/>
        <v>0.0175086462450593</v>
      </c>
      <c r="AH117" s="5">
        <f t="shared" si="206"/>
        <v>0.419523539268061</v>
      </c>
      <c r="AI117" s="5">
        <f t="shared" si="207"/>
        <v>0.419523539268061</v>
      </c>
      <c r="AJ117" s="5">
        <f t="shared" si="208"/>
        <v>1.28853595501338</v>
      </c>
      <c r="AL117" s="216">
        <f t="shared" si="209"/>
        <v>35</v>
      </c>
      <c r="AM117" s="220">
        <f t="shared" si="210"/>
        <v>350</v>
      </c>
      <c r="AO117" s="220">
        <f t="shared" si="211"/>
        <v>35</v>
      </c>
      <c r="AP117" s="220">
        <f t="shared" si="212"/>
        <v>350</v>
      </c>
      <c r="AR117" s="192">
        <f t="shared" si="160"/>
        <v>2.85714285714286</v>
      </c>
      <c r="AS117" s="192">
        <f t="shared" si="246"/>
        <v>1.04880884817015</v>
      </c>
      <c r="AT117" s="192">
        <f t="shared" si="247"/>
        <v>1.80833400897271</v>
      </c>
      <c r="AU117" s="5">
        <f t="shared" si="248"/>
        <v>0.367083096859553</v>
      </c>
      <c r="AW117" s="192">
        <f t="shared" si="216"/>
        <v>0.203935053810863</v>
      </c>
      <c r="AX117" s="192"/>
      <c r="AY117" s="192">
        <f t="shared" si="217"/>
        <v>0.587332954975285</v>
      </c>
      <c r="AZ117" s="192"/>
      <c r="BA117" s="192">
        <f t="shared" si="218"/>
        <v>0.210972301046816</v>
      </c>
      <c r="BB117" s="192"/>
      <c r="BC117" s="192"/>
      <c r="BD117" s="5">
        <f t="shared" si="219"/>
        <v>0.146749929071285</v>
      </c>
      <c r="BE117" s="5">
        <f t="shared" si="220"/>
        <v>0.10515857974264</v>
      </c>
      <c r="BF117" s="5">
        <f t="shared" si="221"/>
        <v>0.0796262496816695</v>
      </c>
      <c r="BG117" s="5"/>
      <c r="BH117" s="217">
        <f t="shared" si="222"/>
        <v>0.00753743958884949</v>
      </c>
      <c r="BI117" s="217">
        <f t="shared" si="223"/>
        <v>0.0163519367994669</v>
      </c>
      <c r="BJ117" s="217">
        <f t="shared" si="224"/>
        <v>0.004375</v>
      </c>
      <c r="BK117" s="217">
        <f t="shared" si="225"/>
        <v>0.0086813583472</v>
      </c>
      <c r="BL117">
        <f t="shared" si="226"/>
        <v>0.0029</v>
      </c>
      <c r="BM117">
        <f t="shared" si="227"/>
        <v>4.375e-6</v>
      </c>
      <c r="BN117">
        <f t="shared" si="228"/>
        <v>0.0432557613593145</v>
      </c>
      <c r="BO117" s="220">
        <f t="shared" si="229"/>
        <v>39.8457347355164</v>
      </c>
      <c r="BP117" s="5">
        <f t="shared" si="230"/>
        <v>0.02695</v>
      </c>
      <c r="BQ117" s="5">
        <f t="shared" si="231"/>
        <v>0.02156</v>
      </c>
      <c r="BR117" s="217"/>
      <c r="BT117" s="220">
        <f t="shared" si="232"/>
        <v>48.51</v>
      </c>
      <c r="BU117" s="217">
        <f t="shared" si="233"/>
        <v>0.000882957208979511</v>
      </c>
      <c r="BV117" s="217">
        <f t="shared" si="234"/>
        <v>0.00110583268934891</v>
      </c>
      <c r="BW117" s="217">
        <f t="shared" si="235"/>
        <v>0.00044382377468573</v>
      </c>
      <c r="BX117" s="217">
        <f t="shared" si="236"/>
        <v>0</v>
      </c>
      <c r="BY117" s="217">
        <f t="shared" si="180"/>
        <v>0.00335766029998794</v>
      </c>
      <c r="BZ117" s="217">
        <f t="shared" si="166"/>
        <v>0.00243261367301415</v>
      </c>
      <c r="CA117" s="225">
        <f t="shared" si="237"/>
        <v>0.002464</v>
      </c>
      <c r="CB117" s="220">
        <f t="shared" si="238"/>
        <v>10.6868876460162</v>
      </c>
      <c r="CC117" s="5">
        <f t="shared" si="168"/>
        <v>0.0975874216593025</v>
      </c>
      <c r="CD117" s="192">
        <f t="shared" si="239"/>
        <v>0.77</v>
      </c>
      <c r="CE117" s="5">
        <f t="shared" si="240"/>
        <v>0.887518630142583</v>
      </c>
      <c r="CF117" s="192">
        <f t="shared" si="241"/>
        <v>88.7518630142583</v>
      </c>
      <c r="CG117">
        <f t="shared" si="242"/>
        <v>7</v>
      </c>
      <c r="CI117" s="227">
        <f t="shared" si="243"/>
        <v>-50</v>
      </c>
      <c r="CJ117">
        <f t="shared" si="244"/>
        <v>-50</v>
      </c>
    </row>
    <row r="118" spans="5:88">
      <c r="E118" s="22">
        <v>8</v>
      </c>
      <c r="F118" s="25">
        <f t="shared" si="245"/>
        <v>0.04</v>
      </c>
      <c r="G118" s="25">
        <f t="shared" si="183"/>
        <v>0.032</v>
      </c>
      <c r="H118" s="25">
        <f t="shared" si="184"/>
        <v>0.72</v>
      </c>
      <c r="I118" s="25">
        <f t="shared" si="185"/>
        <v>0.16</v>
      </c>
      <c r="J118" s="212">
        <f t="shared" si="186"/>
        <v>10</v>
      </c>
      <c r="K118" s="131">
        <f t="shared" si="187"/>
        <v>12.2728</v>
      </c>
      <c r="L118" s="131">
        <f t="shared" si="188"/>
        <v>22.2728</v>
      </c>
      <c r="M118" s="131"/>
      <c r="N118" s="25">
        <f t="shared" si="189"/>
        <v>0.551021874214288</v>
      </c>
      <c r="O118" s="27">
        <f t="shared" si="190"/>
        <v>3.04314353259255</v>
      </c>
      <c r="P118" s="27">
        <f t="shared" si="191"/>
        <v>0.676254118353899</v>
      </c>
      <c r="Q118" s="25">
        <f t="shared" si="192"/>
        <v>0.169063529588475</v>
      </c>
      <c r="R118" s="25">
        <f t="shared" si="193"/>
        <v>0.608628706518509</v>
      </c>
      <c r="S118" s="25">
        <f t="shared" si="194"/>
        <v>18</v>
      </c>
      <c r="T118" s="25">
        <f t="shared" si="195"/>
        <v>0.354896175100855</v>
      </c>
      <c r="U118" s="25">
        <f t="shared" si="196"/>
        <v>0.887240437752138</v>
      </c>
      <c r="V118" s="25">
        <f t="shared" si="197"/>
        <v>0.722932368939555</v>
      </c>
      <c r="W118" s="24">
        <f t="shared" si="198"/>
        <v>350</v>
      </c>
      <c r="X118" s="131">
        <f t="shared" si="199"/>
        <v>350</v>
      </c>
      <c r="Z118" s="25">
        <f t="shared" si="200"/>
        <v>0.62973928481633</v>
      </c>
      <c r="AA118" s="5">
        <f t="shared" si="201"/>
        <v>1.28279464510203</v>
      </c>
      <c r="AB118" s="5">
        <f t="shared" si="202"/>
        <v>0.077149236385196</v>
      </c>
      <c r="AC118" s="5"/>
      <c r="AD118" s="5">
        <f t="shared" si="203"/>
        <v>0.611107489733394</v>
      </c>
      <c r="AE118" s="216">
        <f t="shared" si="204"/>
        <v>799.604938271605</v>
      </c>
      <c r="AF118" s="217">
        <f t="shared" si="205"/>
        <v>0.0175086462450593</v>
      </c>
      <c r="AH118" s="5">
        <f t="shared" si="206"/>
        <v>0.44848952846511</v>
      </c>
      <c r="AI118" s="5">
        <f t="shared" si="207"/>
        <v>0.44848952846511</v>
      </c>
      <c r="AJ118" s="5">
        <f t="shared" si="208"/>
        <v>1.30999224330749</v>
      </c>
      <c r="AL118" s="216">
        <f t="shared" si="209"/>
        <v>40</v>
      </c>
      <c r="AM118" s="220">
        <f t="shared" si="210"/>
        <v>350</v>
      </c>
      <c r="AO118" s="220">
        <f t="shared" si="211"/>
        <v>40</v>
      </c>
      <c r="AP118" s="220">
        <f t="shared" si="212"/>
        <v>350</v>
      </c>
      <c r="AR118" s="192">
        <f t="shared" si="160"/>
        <v>2.85714285714286</v>
      </c>
      <c r="AS118" s="192">
        <f t="shared" si="246"/>
        <v>1.12122382116278</v>
      </c>
      <c r="AT118" s="192">
        <f t="shared" si="247"/>
        <v>1.73591903598008</v>
      </c>
      <c r="AU118" s="5">
        <f t="shared" si="248"/>
        <v>0.392428337406972</v>
      </c>
      <c r="AW118" s="192">
        <f t="shared" si="216"/>
        <v>0.249160849147284</v>
      </c>
      <c r="AX118" s="192"/>
      <c r="AY118" s="192">
        <f t="shared" si="217"/>
        <v>0.717583245544177</v>
      </c>
      <c r="AZ118" s="192"/>
      <c r="BA118" s="192">
        <f t="shared" si="218"/>
        <v>0.231455871464011</v>
      </c>
      <c r="BB118" s="192"/>
      <c r="BC118" s="192"/>
      <c r="BD118" s="5">
        <f t="shared" si="219"/>
        <v>0.162207847128162</v>
      </c>
      <c r="BE118" s="5">
        <f t="shared" si="220"/>
        <v>0.110145331215741</v>
      </c>
      <c r="BF118" s="5">
        <f t="shared" si="221"/>
        <v>0.0834022261057465</v>
      </c>
      <c r="BG118" s="5"/>
      <c r="BH118" s="217">
        <f t="shared" si="222"/>
        <v>0.0092089849844836</v>
      </c>
      <c r="BI118" s="217">
        <f t="shared" si="223"/>
        <v>0.017480955746796</v>
      </c>
      <c r="BJ118" s="217">
        <f t="shared" si="224"/>
        <v>0.004375</v>
      </c>
      <c r="BK118" s="217">
        <f t="shared" si="225"/>
        <v>0.0086813583472</v>
      </c>
      <c r="BL118">
        <f t="shared" si="226"/>
        <v>0.0029</v>
      </c>
      <c r="BM118">
        <f t="shared" si="227"/>
        <v>4.375e-6</v>
      </c>
      <c r="BN118">
        <f t="shared" si="228"/>
        <v>0.0468300975962383</v>
      </c>
      <c r="BO118" s="220">
        <f t="shared" si="229"/>
        <v>42.6462990784796</v>
      </c>
      <c r="BP118" s="5">
        <f t="shared" si="230"/>
        <v>0.0308</v>
      </c>
      <c r="BQ118" s="5">
        <f t="shared" si="231"/>
        <v>0.02464</v>
      </c>
      <c r="BR118" s="217"/>
      <c r="BT118" s="220">
        <f t="shared" si="232"/>
        <v>55.44</v>
      </c>
      <c r="BU118" s="217">
        <f t="shared" si="233"/>
        <v>0.00107876681246808</v>
      </c>
      <c r="BV118" s="217">
        <f t="shared" si="234"/>
        <v>0.00121319939886254</v>
      </c>
      <c r="BW118" s="217">
        <f t="shared" si="235"/>
        <v>0.000486915192357584</v>
      </c>
      <c r="BX118" s="217">
        <f t="shared" si="236"/>
        <v>0</v>
      </c>
      <c r="BY118" s="217">
        <f t="shared" si="180"/>
        <v>0.00383570905553487</v>
      </c>
      <c r="BZ118" s="217">
        <f t="shared" si="166"/>
        <v>0.0027788814036882</v>
      </c>
      <c r="CA118" s="225">
        <f t="shared" si="237"/>
        <v>0.002816</v>
      </c>
      <c r="CB118" s="220">
        <f t="shared" si="238"/>
        <v>12.2094718629113</v>
      </c>
      <c r="CC118" s="5">
        <f t="shared" si="168"/>
        <v>0.108921806651773</v>
      </c>
      <c r="CD118" s="192">
        <f t="shared" si="239"/>
        <v>0.88</v>
      </c>
      <c r="CE118" s="5">
        <f t="shared" si="240"/>
        <v>0.889858019189047</v>
      </c>
      <c r="CF118" s="192">
        <f t="shared" si="241"/>
        <v>88.9858019189047</v>
      </c>
      <c r="CG118">
        <f t="shared" si="242"/>
        <v>8</v>
      </c>
      <c r="CI118" s="227">
        <f t="shared" si="243"/>
        <v>-50</v>
      </c>
      <c r="CJ118">
        <f t="shared" si="244"/>
        <v>-50</v>
      </c>
    </row>
    <row r="119" spans="5:88">
      <c r="E119" s="22">
        <v>9</v>
      </c>
      <c r="F119" s="25">
        <f t="shared" si="245"/>
        <v>0.045</v>
      </c>
      <c r="G119" s="25">
        <f t="shared" si="183"/>
        <v>0.036</v>
      </c>
      <c r="H119" s="25">
        <f t="shared" si="184"/>
        <v>0.81</v>
      </c>
      <c r="I119" s="25">
        <f t="shared" si="185"/>
        <v>0.18</v>
      </c>
      <c r="J119" s="212">
        <f t="shared" si="186"/>
        <v>10</v>
      </c>
      <c r="K119" s="131">
        <f t="shared" si="187"/>
        <v>12.2728</v>
      </c>
      <c r="L119" s="131">
        <f t="shared" si="188"/>
        <v>22.2728</v>
      </c>
      <c r="M119" s="131"/>
      <c r="N119" s="25">
        <f t="shared" si="189"/>
        <v>0.551021874214288</v>
      </c>
      <c r="O119" s="27">
        <f t="shared" si="190"/>
        <v>3.04314353259255</v>
      </c>
      <c r="P119" s="27">
        <f t="shared" si="191"/>
        <v>0.676254118353899</v>
      </c>
      <c r="Q119" s="25">
        <f t="shared" si="192"/>
        <v>0.169063529588475</v>
      </c>
      <c r="R119" s="25">
        <f t="shared" si="193"/>
        <v>0.608628706518509</v>
      </c>
      <c r="S119" s="25">
        <f t="shared" si="194"/>
        <v>18</v>
      </c>
      <c r="T119" s="25">
        <f t="shared" si="195"/>
        <v>0.399258196988462</v>
      </c>
      <c r="U119" s="25">
        <f t="shared" si="196"/>
        <v>0.998145492471155</v>
      </c>
      <c r="V119" s="25">
        <f t="shared" si="197"/>
        <v>0.813298915057</v>
      </c>
      <c r="W119" s="24">
        <f t="shared" si="198"/>
        <v>350</v>
      </c>
      <c r="X119" s="131">
        <f t="shared" si="199"/>
        <v>350</v>
      </c>
      <c r="Z119" s="25">
        <f t="shared" si="200"/>
        <v>0.62973928481633</v>
      </c>
      <c r="AA119" s="5">
        <f t="shared" si="201"/>
        <v>1.28279464510203</v>
      </c>
      <c r="AB119" s="5">
        <f t="shared" si="202"/>
        <v>0.077149236385196</v>
      </c>
      <c r="AC119" s="5"/>
      <c r="AD119" s="5">
        <f t="shared" si="203"/>
        <v>0.611107489733394</v>
      </c>
      <c r="AE119" s="216">
        <f t="shared" si="204"/>
        <v>899.555555555556</v>
      </c>
      <c r="AF119" s="217">
        <f t="shared" si="205"/>
        <v>0.0175086462450593</v>
      </c>
      <c r="AH119" s="5">
        <f t="shared" si="206"/>
        <v>0.475694980303255</v>
      </c>
      <c r="AI119" s="5">
        <f t="shared" si="207"/>
        <v>0.475694980303255</v>
      </c>
      <c r="AJ119" s="5">
        <f t="shared" si="208"/>
        <v>1.33014442985426</v>
      </c>
      <c r="AL119" s="216">
        <f t="shared" si="209"/>
        <v>45</v>
      </c>
      <c r="AM119" s="220">
        <f t="shared" si="210"/>
        <v>350</v>
      </c>
      <c r="AO119" s="220">
        <f t="shared" si="211"/>
        <v>45</v>
      </c>
      <c r="AP119" s="220">
        <f t="shared" si="212"/>
        <v>350</v>
      </c>
      <c r="AR119" s="192">
        <f t="shared" si="160"/>
        <v>2.85714285714286</v>
      </c>
      <c r="AS119" s="192">
        <f t="shared" si="246"/>
        <v>1.18923745075814</v>
      </c>
      <c r="AT119" s="192">
        <f t="shared" si="247"/>
        <v>1.66790540638472</v>
      </c>
      <c r="AU119" s="5">
        <f t="shared" si="248"/>
        <v>0.416233107765348</v>
      </c>
      <c r="AW119" s="192">
        <f t="shared" si="216"/>
        <v>0.297309362689534</v>
      </c>
      <c r="AX119" s="192"/>
      <c r="AY119" s="192">
        <f t="shared" si="217"/>
        <v>0.856250964545859</v>
      </c>
      <c r="AZ119" s="192"/>
      <c r="BA119" s="192">
        <f t="shared" si="218"/>
        <v>0.250185810957708</v>
      </c>
      <c r="BB119" s="192"/>
      <c r="BC119" s="192"/>
      <c r="BD119" s="5">
        <f t="shared" si="219"/>
        <v>0.177188793945935</v>
      </c>
      <c r="BE119" s="5">
        <f t="shared" si="220"/>
        <v>0.114515251134156</v>
      </c>
      <c r="BF119" s="5">
        <f t="shared" si="221"/>
        <v>0.0867111366612543</v>
      </c>
      <c r="BG119" s="5"/>
      <c r="BH119" s="217">
        <f t="shared" si="222"/>
        <v>0.0109885540450052</v>
      </c>
      <c r="BI119" s="217">
        <f t="shared" si="223"/>
        <v>0.0185413535252721</v>
      </c>
      <c r="BJ119" s="217">
        <f t="shared" si="224"/>
        <v>0.004375</v>
      </c>
      <c r="BK119" s="217">
        <f t="shared" si="225"/>
        <v>0.0086813583472</v>
      </c>
      <c r="BL119">
        <f t="shared" si="226"/>
        <v>0.0029</v>
      </c>
      <c r="BM119">
        <f t="shared" si="227"/>
        <v>4.375e-6</v>
      </c>
      <c r="BN119">
        <f t="shared" si="228"/>
        <v>0.0505003938192792</v>
      </c>
      <c r="BO119" s="220">
        <f t="shared" si="229"/>
        <v>45.4862659174773</v>
      </c>
      <c r="BP119" s="5">
        <f t="shared" si="230"/>
        <v>0.03465</v>
      </c>
      <c r="BQ119" s="5">
        <f t="shared" si="231"/>
        <v>0.02772</v>
      </c>
      <c r="BR119" s="217"/>
      <c r="BT119" s="220">
        <f t="shared" si="232"/>
        <v>62.37</v>
      </c>
      <c r="BU119" s="217">
        <f t="shared" si="233"/>
        <v>0.00128723061670061</v>
      </c>
      <c r="BV119" s="217">
        <f t="shared" si="234"/>
        <v>0.00131137427423189</v>
      </c>
      <c r="BW119" s="217">
        <f t="shared" si="235"/>
        <v>0.00052631748547607</v>
      </c>
      <c r="BX119" s="217">
        <f t="shared" si="236"/>
        <v>0</v>
      </c>
      <c r="BY119" s="217">
        <f t="shared" si="180"/>
        <v>0.00431347122046277</v>
      </c>
      <c r="BZ119" s="217">
        <f t="shared" si="166"/>
        <v>0.00312492237640857</v>
      </c>
      <c r="CA119" s="225">
        <f t="shared" si="237"/>
        <v>0.003168</v>
      </c>
      <c r="CB119" s="220">
        <f t="shared" si="238"/>
        <v>13.7313159732799</v>
      </c>
      <c r="CC119" s="5">
        <f t="shared" si="168"/>
        <v>0.120351865039742</v>
      </c>
      <c r="CD119" s="192">
        <f t="shared" si="239"/>
        <v>0.99</v>
      </c>
      <c r="CE119" s="5">
        <f t="shared" si="240"/>
        <v>0.891609255742157</v>
      </c>
      <c r="CF119" s="192">
        <f t="shared" si="241"/>
        <v>89.1609255742157</v>
      </c>
      <c r="CG119">
        <f t="shared" si="242"/>
        <v>9</v>
      </c>
      <c r="CI119" s="227">
        <f t="shared" si="243"/>
        <v>-50</v>
      </c>
      <c r="CJ119">
        <f t="shared" si="244"/>
        <v>-50</v>
      </c>
    </row>
    <row r="120" spans="5:88">
      <c r="E120" s="22">
        <v>10</v>
      </c>
      <c r="F120" s="25">
        <f t="shared" si="245"/>
        <v>0.05</v>
      </c>
      <c r="G120" s="25">
        <f t="shared" si="183"/>
        <v>0.04</v>
      </c>
      <c r="H120" s="25">
        <f t="shared" si="184"/>
        <v>0.9</v>
      </c>
      <c r="I120" s="25">
        <f t="shared" si="185"/>
        <v>0.2</v>
      </c>
      <c r="J120" s="212">
        <f t="shared" si="186"/>
        <v>10</v>
      </c>
      <c r="K120" s="131">
        <f t="shared" si="187"/>
        <v>12.2728</v>
      </c>
      <c r="L120" s="131">
        <f t="shared" si="188"/>
        <v>22.2728</v>
      </c>
      <c r="M120" s="131"/>
      <c r="N120" s="25">
        <f t="shared" si="189"/>
        <v>0.551021874214288</v>
      </c>
      <c r="O120" s="27">
        <f t="shared" si="190"/>
        <v>3.04314353259255</v>
      </c>
      <c r="P120" s="27">
        <f t="shared" si="191"/>
        <v>0.676254118353899</v>
      </c>
      <c r="Q120" s="25">
        <f t="shared" si="192"/>
        <v>0.169063529588475</v>
      </c>
      <c r="R120" s="25">
        <f t="shared" si="193"/>
        <v>0.608628706518509</v>
      </c>
      <c r="S120" s="25">
        <f t="shared" si="194"/>
        <v>18</v>
      </c>
      <c r="T120" s="25">
        <f t="shared" si="195"/>
        <v>0.443620218876069</v>
      </c>
      <c r="U120" s="25">
        <f t="shared" si="196"/>
        <v>1.10905054719017</v>
      </c>
      <c r="V120" s="25">
        <f t="shared" si="197"/>
        <v>0.903665461174445</v>
      </c>
      <c r="W120" s="24">
        <f t="shared" si="198"/>
        <v>350</v>
      </c>
      <c r="X120" s="131">
        <f t="shared" si="199"/>
        <v>350</v>
      </c>
      <c r="Z120" s="25">
        <f t="shared" si="200"/>
        <v>0.62973928481633</v>
      </c>
      <c r="AA120" s="5">
        <f t="shared" si="201"/>
        <v>1.28279464510203</v>
      </c>
      <c r="AB120" s="5">
        <f t="shared" si="202"/>
        <v>0.077149236385196</v>
      </c>
      <c r="AC120" s="5"/>
      <c r="AD120" s="5">
        <f t="shared" si="203"/>
        <v>0.611107489733394</v>
      </c>
      <c r="AE120" s="216">
        <f t="shared" si="204"/>
        <v>999.506172839506</v>
      </c>
      <c r="AF120" s="217">
        <f t="shared" si="205"/>
        <v>0.0175086462450593</v>
      </c>
      <c r="AH120" s="5">
        <f t="shared" si="206"/>
        <v>0.501426536422407</v>
      </c>
      <c r="AI120" s="5">
        <f t="shared" si="207"/>
        <v>0.501426536422407</v>
      </c>
      <c r="AJ120" s="5">
        <f t="shared" si="208"/>
        <v>1.34920484179438</v>
      </c>
      <c r="AL120" s="216">
        <f t="shared" si="209"/>
        <v>50</v>
      </c>
      <c r="AM120" s="220">
        <f t="shared" si="210"/>
        <v>350</v>
      </c>
      <c r="AO120" s="220">
        <f t="shared" si="211"/>
        <v>50</v>
      </c>
      <c r="AP120" s="220">
        <f t="shared" si="212"/>
        <v>350</v>
      </c>
      <c r="AR120" s="192">
        <f t="shared" si="160"/>
        <v>2.85714285714286</v>
      </c>
      <c r="AS120" s="192">
        <f t="shared" si="246"/>
        <v>1.25356634105602</v>
      </c>
      <c r="AT120" s="192">
        <f t="shared" si="247"/>
        <v>1.60357651608684</v>
      </c>
      <c r="AU120" s="5">
        <f t="shared" si="248"/>
        <v>0.438748219369606</v>
      </c>
      <c r="AW120" s="192">
        <f t="shared" si="216"/>
        <v>0.34821287251556</v>
      </c>
      <c r="AX120" s="192"/>
      <c r="AY120" s="192">
        <f t="shared" si="217"/>
        <v>1.00285307284481</v>
      </c>
      <c r="AZ120" s="192"/>
      <c r="BA120" s="192">
        <f t="shared" si="218"/>
        <v>0.26726275268114</v>
      </c>
      <c r="BB120" s="192"/>
      <c r="BC120" s="192"/>
      <c r="BD120" s="5">
        <f t="shared" si="219"/>
        <v>0.191758387919911</v>
      </c>
      <c r="BE120" s="5">
        <f t="shared" si="220"/>
        <v>0.118358979140778</v>
      </c>
      <c r="BF120" s="5">
        <f t="shared" si="221"/>
        <v>0.0896216138349921</v>
      </c>
      <c r="BG120" s="5"/>
      <c r="BH120" s="217">
        <f t="shared" si="222"/>
        <v>0.0128699477681751</v>
      </c>
      <c r="BI120" s="217">
        <f t="shared" si="223"/>
        <v>0.0195443026807507</v>
      </c>
      <c r="BJ120" s="217">
        <f t="shared" si="224"/>
        <v>0.004375</v>
      </c>
      <c r="BK120" s="217">
        <f t="shared" si="225"/>
        <v>0.0086813583472</v>
      </c>
      <c r="BL120">
        <f t="shared" si="226"/>
        <v>0.0029</v>
      </c>
      <c r="BM120">
        <f t="shared" si="227"/>
        <v>4.375e-6</v>
      </c>
      <c r="BN120">
        <f t="shared" si="228"/>
        <v>0.0542697640456412</v>
      </c>
      <c r="BO120" s="220">
        <f t="shared" si="229"/>
        <v>48.3706087961258</v>
      </c>
      <c r="BP120" s="5">
        <f t="shared" si="230"/>
        <v>0.0385</v>
      </c>
      <c r="BQ120" s="5">
        <f t="shared" si="231"/>
        <v>0.0308</v>
      </c>
      <c r="BR120" s="217"/>
      <c r="BT120" s="220">
        <f t="shared" si="232"/>
        <v>69.3</v>
      </c>
      <c r="BU120" s="217">
        <f t="shared" si="233"/>
        <v>0.00150762245284337</v>
      </c>
      <c r="BV120" s="217">
        <f t="shared" si="234"/>
        <v>0.0014008847943247</v>
      </c>
      <c r="BW120" s="217">
        <f t="shared" si="235"/>
        <v>0.000562242356647191</v>
      </c>
      <c r="BX120" s="217">
        <f t="shared" si="236"/>
        <v>0</v>
      </c>
      <c r="BY120" s="217">
        <f t="shared" si="180"/>
        <v>0.00479096471237526</v>
      </c>
      <c r="BZ120" s="217">
        <f t="shared" si="166"/>
        <v>0.00347074960381527</v>
      </c>
      <c r="CA120" s="225">
        <f t="shared" si="237"/>
        <v>0.00352</v>
      </c>
      <c r="CB120" s="220">
        <f t="shared" si="238"/>
        <v>15.2524639200058</v>
      </c>
      <c r="CC120" s="5">
        <f t="shared" si="168"/>
        <v>0.131880728758016</v>
      </c>
      <c r="CD120" s="192">
        <f t="shared" si="239"/>
        <v>1.1</v>
      </c>
      <c r="CE120" s="5">
        <f t="shared" si="240"/>
        <v>0.892943589684223</v>
      </c>
      <c r="CF120" s="192">
        <f t="shared" si="241"/>
        <v>89.2943589684223</v>
      </c>
      <c r="CG120">
        <f t="shared" si="242"/>
        <v>10</v>
      </c>
      <c r="CI120" s="227">
        <f t="shared" si="243"/>
        <v>-50</v>
      </c>
      <c r="CJ120">
        <f t="shared" si="244"/>
        <v>-50</v>
      </c>
    </row>
    <row r="121" spans="5:88">
      <c r="E121" s="22">
        <v>11</v>
      </c>
      <c r="F121" s="25">
        <f t="shared" si="245"/>
        <v>0.055</v>
      </c>
      <c r="G121" s="25">
        <f t="shared" si="183"/>
        <v>0.044</v>
      </c>
      <c r="H121" s="25">
        <f t="shared" si="184"/>
        <v>0.99</v>
      </c>
      <c r="I121" s="25">
        <f t="shared" si="185"/>
        <v>0.22</v>
      </c>
      <c r="J121" s="212">
        <f t="shared" si="186"/>
        <v>10</v>
      </c>
      <c r="K121" s="131">
        <f t="shared" si="187"/>
        <v>12.2728</v>
      </c>
      <c r="L121" s="131">
        <f t="shared" si="188"/>
        <v>22.2728</v>
      </c>
      <c r="M121" s="131"/>
      <c r="N121" s="25">
        <f t="shared" si="189"/>
        <v>0.551021874214288</v>
      </c>
      <c r="O121" s="27">
        <f t="shared" si="190"/>
        <v>3.04314353259255</v>
      </c>
      <c r="P121" s="27">
        <f t="shared" si="191"/>
        <v>0.676254118353899</v>
      </c>
      <c r="Q121" s="25">
        <f t="shared" si="192"/>
        <v>0.169063529588475</v>
      </c>
      <c r="R121" s="25">
        <f t="shared" si="193"/>
        <v>0.608628706518509</v>
      </c>
      <c r="S121" s="25">
        <f t="shared" si="194"/>
        <v>18</v>
      </c>
      <c r="T121" s="25">
        <f t="shared" si="195"/>
        <v>0.487982240763676</v>
      </c>
      <c r="U121" s="25">
        <f t="shared" si="196"/>
        <v>1.21995560190919</v>
      </c>
      <c r="V121" s="25">
        <f t="shared" si="197"/>
        <v>0.99403200729189</v>
      </c>
      <c r="W121" s="24">
        <f t="shared" si="198"/>
        <v>350</v>
      </c>
      <c r="X121" s="131">
        <f t="shared" si="199"/>
        <v>350</v>
      </c>
      <c r="Z121" s="25">
        <f t="shared" si="200"/>
        <v>0.62973928481633</v>
      </c>
      <c r="AA121" s="5">
        <f t="shared" si="201"/>
        <v>1.28279464510203</v>
      </c>
      <c r="AB121" s="5">
        <f t="shared" si="202"/>
        <v>0.077149236385196</v>
      </c>
      <c r="AC121" s="5"/>
      <c r="AD121" s="5">
        <f t="shared" si="203"/>
        <v>0.611107489733394</v>
      </c>
      <c r="AE121" s="216">
        <f t="shared" si="204"/>
        <v>1099.45679012346</v>
      </c>
      <c r="AF121" s="217">
        <f t="shared" si="205"/>
        <v>0.0175086462450593</v>
      </c>
      <c r="AH121" s="5">
        <f t="shared" si="206"/>
        <v>0.525900588107133</v>
      </c>
      <c r="AI121" s="5">
        <f t="shared" si="207"/>
        <v>0.525900588107133</v>
      </c>
      <c r="AJ121" s="5">
        <f t="shared" si="208"/>
        <v>1.36733376896825</v>
      </c>
      <c r="AL121" s="216">
        <f t="shared" si="209"/>
        <v>55</v>
      </c>
      <c r="AM121" s="220">
        <f t="shared" si="210"/>
        <v>350</v>
      </c>
      <c r="AO121" s="220">
        <f t="shared" si="211"/>
        <v>55</v>
      </c>
      <c r="AP121" s="220">
        <f t="shared" si="212"/>
        <v>350</v>
      </c>
      <c r="AR121" s="192">
        <f t="shared" si="160"/>
        <v>2.85714285714286</v>
      </c>
      <c r="AS121" s="192">
        <f t="shared" si="246"/>
        <v>1.31475147026783</v>
      </c>
      <c r="AT121" s="192">
        <f t="shared" si="247"/>
        <v>1.54239138687502</v>
      </c>
      <c r="AU121" s="5">
        <f t="shared" si="248"/>
        <v>0.460163014593742</v>
      </c>
      <c r="AW121" s="192">
        <f t="shared" si="216"/>
        <v>0.401729615915171</v>
      </c>
      <c r="AX121" s="192"/>
      <c r="AY121" s="192">
        <f t="shared" si="217"/>
        <v>1.15698129383569</v>
      </c>
      <c r="AZ121" s="192"/>
      <c r="BA121" s="192">
        <f t="shared" si="218"/>
        <v>0.282771754260421</v>
      </c>
      <c r="BB121" s="192"/>
      <c r="BC121" s="192"/>
      <c r="BD121" s="5">
        <f t="shared" si="219"/>
        <v>0.205967588325547</v>
      </c>
      <c r="BE121" s="5">
        <f t="shared" si="220"/>
        <v>0.121744683551495</v>
      </c>
      <c r="BF121" s="5">
        <f t="shared" si="221"/>
        <v>0.092185274787963</v>
      </c>
      <c r="BG121" s="5"/>
      <c r="BH121" s="217">
        <f t="shared" si="222"/>
        <v>0.0148479266042247</v>
      </c>
      <c r="BI121" s="217">
        <f t="shared" si="223"/>
        <v>0.020498237582887</v>
      </c>
      <c r="BJ121" s="217">
        <f t="shared" si="224"/>
        <v>0.004375</v>
      </c>
      <c r="BK121" s="217">
        <f t="shared" si="225"/>
        <v>0.0086813583472</v>
      </c>
      <c r="BL121">
        <f t="shared" si="226"/>
        <v>0.0029</v>
      </c>
      <c r="BM121">
        <f t="shared" si="227"/>
        <v>4.375e-6</v>
      </c>
      <c r="BN121">
        <f t="shared" si="228"/>
        <v>0.0581399687765235</v>
      </c>
      <c r="BO121" s="220">
        <f t="shared" si="229"/>
        <v>51.3025225343117</v>
      </c>
      <c r="BP121" s="5">
        <f t="shared" si="230"/>
        <v>0.04235</v>
      </c>
      <c r="BQ121" s="5">
        <f t="shared" si="231"/>
        <v>0.03388</v>
      </c>
      <c r="BR121" s="217"/>
      <c r="BT121" s="220">
        <f t="shared" si="232"/>
        <v>76.23</v>
      </c>
      <c r="BU121" s="217">
        <f t="shared" si="233"/>
        <v>0.00173932854506633</v>
      </c>
      <c r="BV121" s="217">
        <f t="shared" si="234"/>
        <v>0.00148217679730536</v>
      </c>
      <c r="BW121" s="217">
        <f t="shared" si="235"/>
        <v>0.000594868742141257</v>
      </c>
      <c r="BX121" s="217">
        <f t="shared" si="236"/>
        <v>0</v>
      </c>
      <c r="BY121" s="217">
        <f t="shared" si="180"/>
        <v>0.00526820467181037</v>
      </c>
      <c r="BZ121" s="217">
        <f t="shared" si="166"/>
        <v>0.00381637408451294</v>
      </c>
      <c r="CA121" s="225">
        <f t="shared" si="237"/>
        <v>0.003872</v>
      </c>
      <c r="CB121" s="220">
        <f t="shared" si="238"/>
        <v>16.7729528408362</v>
      </c>
      <c r="CC121" s="5">
        <f t="shared" si="168"/>
        <v>0.143510173448334</v>
      </c>
      <c r="CD121" s="192">
        <f t="shared" si="239"/>
        <v>1.21</v>
      </c>
      <c r="CE121" s="5">
        <f t="shared" si="240"/>
        <v>0.893971854616568</v>
      </c>
      <c r="CF121" s="192">
        <f t="shared" si="241"/>
        <v>89.3971854616568</v>
      </c>
      <c r="CG121">
        <f t="shared" si="242"/>
        <v>11</v>
      </c>
      <c r="CI121" s="227">
        <f t="shared" si="243"/>
        <v>-50</v>
      </c>
      <c r="CJ121">
        <f t="shared" si="244"/>
        <v>-50</v>
      </c>
    </row>
    <row r="122" spans="5:88">
      <c r="E122" s="22">
        <v>12</v>
      </c>
      <c r="F122" s="25">
        <f t="shared" si="245"/>
        <v>0.06</v>
      </c>
      <c r="G122" s="25">
        <f t="shared" si="183"/>
        <v>0.048</v>
      </c>
      <c r="H122" s="25">
        <f t="shared" si="184"/>
        <v>1.08</v>
      </c>
      <c r="I122" s="25">
        <f t="shared" si="185"/>
        <v>0.24</v>
      </c>
      <c r="J122" s="212">
        <f t="shared" si="186"/>
        <v>10</v>
      </c>
      <c r="K122" s="131">
        <f t="shared" si="187"/>
        <v>12.2728</v>
      </c>
      <c r="L122" s="131">
        <f t="shared" si="188"/>
        <v>22.2728</v>
      </c>
      <c r="M122" s="131"/>
      <c r="N122" s="25">
        <f t="shared" si="189"/>
        <v>0.551021874214288</v>
      </c>
      <c r="O122" s="27">
        <f t="shared" si="190"/>
        <v>3.04314353259255</v>
      </c>
      <c r="P122" s="27">
        <f t="shared" si="191"/>
        <v>0.676254118353899</v>
      </c>
      <c r="Q122" s="25">
        <f t="shared" si="192"/>
        <v>0.169063529588475</v>
      </c>
      <c r="R122" s="25">
        <f t="shared" si="193"/>
        <v>0.608628706518509</v>
      </c>
      <c r="S122" s="25">
        <f t="shared" si="194"/>
        <v>18</v>
      </c>
      <c r="T122" s="25">
        <f t="shared" si="195"/>
        <v>0.532344262651283</v>
      </c>
      <c r="U122" s="25">
        <f t="shared" si="196"/>
        <v>1.33086065662821</v>
      </c>
      <c r="V122" s="25">
        <f t="shared" si="197"/>
        <v>1.08439855340933</v>
      </c>
      <c r="W122" s="24">
        <f t="shared" si="198"/>
        <v>350</v>
      </c>
      <c r="X122" s="131">
        <f t="shared" si="199"/>
        <v>350</v>
      </c>
      <c r="Z122" s="25">
        <f t="shared" si="200"/>
        <v>0.62973928481633</v>
      </c>
      <c r="AA122" s="5">
        <f t="shared" si="201"/>
        <v>1.28279464510203</v>
      </c>
      <c r="AB122" s="5">
        <f t="shared" si="202"/>
        <v>0.077149236385196</v>
      </c>
      <c r="AC122" s="5"/>
      <c r="AD122" s="5">
        <f t="shared" si="203"/>
        <v>0.611107489733394</v>
      </c>
      <c r="AE122" s="216">
        <f t="shared" si="204"/>
        <v>1199.40740740741</v>
      </c>
      <c r="AF122" s="217">
        <f t="shared" si="205"/>
        <v>0.0175086462450593</v>
      </c>
      <c r="AH122" s="5">
        <f t="shared" si="206"/>
        <v>0.549285249860476</v>
      </c>
      <c r="AI122" s="5">
        <f t="shared" si="207"/>
        <v>0.549285249860476</v>
      </c>
      <c r="AJ122" s="5">
        <f t="shared" si="208"/>
        <v>1.38465574063739</v>
      </c>
      <c r="AL122" s="216">
        <f t="shared" si="209"/>
        <v>60</v>
      </c>
      <c r="AM122" s="220">
        <f t="shared" si="210"/>
        <v>350</v>
      </c>
      <c r="AO122" s="220">
        <f t="shared" si="211"/>
        <v>60</v>
      </c>
      <c r="AP122" s="220">
        <f t="shared" si="212"/>
        <v>350</v>
      </c>
      <c r="AR122" s="192">
        <f t="shared" si="160"/>
        <v>2.85714285714286</v>
      </c>
      <c r="AS122" s="192">
        <f t="shared" si="246"/>
        <v>1.37321312465119</v>
      </c>
      <c r="AT122" s="192">
        <f t="shared" si="247"/>
        <v>1.48392973249167</v>
      </c>
      <c r="AU122" s="5">
        <f t="shared" si="248"/>
        <v>0.480624593627917</v>
      </c>
      <c r="AW122" s="192">
        <f t="shared" si="216"/>
        <v>0.457737708217063</v>
      </c>
      <c r="AX122" s="192"/>
      <c r="AY122" s="192">
        <f t="shared" si="217"/>
        <v>1.31828459966514</v>
      </c>
      <c r="AZ122" s="192"/>
      <c r="BA122" s="192">
        <f t="shared" si="218"/>
        <v>0.296785946498333</v>
      </c>
      <c r="BB122" s="192"/>
      <c r="BC122" s="192"/>
      <c r="BD122" s="5">
        <f t="shared" si="219"/>
        <v>0.21985700349937</v>
      </c>
      <c r="BE122" s="5">
        <f t="shared" si="220"/>
        <v>0.124725041819414</v>
      </c>
      <c r="BF122" s="5">
        <f t="shared" si="221"/>
        <v>0.0944420069743708</v>
      </c>
      <c r="BG122" s="5"/>
      <c r="BH122" s="217">
        <f t="shared" si="222"/>
        <v>0.0169179856957027</v>
      </c>
      <c r="BI122" s="217">
        <f t="shared" si="223"/>
        <v>0.0214097108979117</v>
      </c>
      <c r="BJ122" s="217">
        <f t="shared" si="224"/>
        <v>0.004375</v>
      </c>
      <c r="BK122" s="217">
        <f t="shared" si="225"/>
        <v>0.0086813583472</v>
      </c>
      <c r="BL122">
        <f t="shared" si="226"/>
        <v>0.0029</v>
      </c>
      <c r="BM122">
        <f t="shared" si="227"/>
        <v>4.375e-6</v>
      </c>
      <c r="BN122">
        <f t="shared" si="228"/>
        <v>0.0621119489239049</v>
      </c>
      <c r="BO122" s="220">
        <f t="shared" si="229"/>
        <v>54.2840549408144</v>
      </c>
      <c r="BP122" s="5">
        <f t="shared" si="230"/>
        <v>0.0462</v>
      </c>
      <c r="BQ122" s="5">
        <f t="shared" si="231"/>
        <v>0.03696</v>
      </c>
      <c r="BR122" s="217"/>
      <c r="BT122" s="220">
        <f t="shared" si="232"/>
        <v>83.16</v>
      </c>
      <c r="BU122" s="217">
        <f t="shared" si="233"/>
        <v>0.0019818211814966</v>
      </c>
      <c r="BV122" s="217">
        <f t="shared" si="234"/>
        <v>0.00155563360568545</v>
      </c>
      <c r="BW122" s="217">
        <f t="shared" si="235"/>
        <v>0.000624350487694297</v>
      </c>
      <c r="BX122" s="217">
        <f t="shared" si="236"/>
        <v>0</v>
      </c>
      <c r="BY122" s="217">
        <f t="shared" si="180"/>
        <v>0.00574520411299197</v>
      </c>
      <c r="BZ122" s="217">
        <f t="shared" si="166"/>
        <v>0.00416180527487634</v>
      </c>
      <c r="CA122" s="225">
        <f t="shared" si="237"/>
        <v>0.004224</v>
      </c>
      <c r="CB122" s="220">
        <f t="shared" si="238"/>
        <v>18.2928146627447</v>
      </c>
      <c r="CC122" s="5">
        <f t="shared" si="168"/>
        <v>0.155241153036897</v>
      </c>
      <c r="CD122" s="192">
        <f t="shared" si="239"/>
        <v>1.32</v>
      </c>
      <c r="CE122" s="5">
        <f t="shared" si="240"/>
        <v>0.894768965252006</v>
      </c>
      <c r="CF122" s="192">
        <f t="shared" si="241"/>
        <v>89.4768965252006</v>
      </c>
      <c r="CG122">
        <f t="shared" si="242"/>
        <v>12</v>
      </c>
      <c r="CI122" s="227">
        <f t="shared" si="243"/>
        <v>-50</v>
      </c>
      <c r="CJ122">
        <f t="shared" si="244"/>
        <v>-50</v>
      </c>
    </row>
    <row r="123" spans="5:88">
      <c r="E123" s="22">
        <v>13</v>
      </c>
      <c r="F123" s="25">
        <f t="shared" si="245"/>
        <v>0.065</v>
      </c>
      <c r="G123" s="25">
        <f t="shared" si="183"/>
        <v>0.052</v>
      </c>
      <c r="H123" s="25">
        <f t="shared" si="184"/>
        <v>1.17</v>
      </c>
      <c r="I123" s="25">
        <f t="shared" si="185"/>
        <v>0.26</v>
      </c>
      <c r="J123" s="212">
        <f t="shared" si="186"/>
        <v>10</v>
      </c>
      <c r="K123" s="131">
        <f t="shared" si="187"/>
        <v>12.2728</v>
      </c>
      <c r="L123" s="131">
        <f t="shared" si="188"/>
        <v>22.2728</v>
      </c>
      <c r="M123" s="131"/>
      <c r="N123" s="25">
        <f t="shared" si="189"/>
        <v>0.551021874214288</v>
      </c>
      <c r="O123" s="27">
        <f t="shared" si="190"/>
        <v>3.04314353259255</v>
      </c>
      <c r="P123" s="27">
        <f t="shared" si="191"/>
        <v>0.676254118353899</v>
      </c>
      <c r="Q123" s="25">
        <f t="shared" si="192"/>
        <v>0.169063529588475</v>
      </c>
      <c r="R123" s="25">
        <f t="shared" si="193"/>
        <v>0.608628706518509</v>
      </c>
      <c r="S123" s="25">
        <f t="shared" si="194"/>
        <v>18</v>
      </c>
      <c r="T123" s="25">
        <f t="shared" si="195"/>
        <v>0.57670628453889</v>
      </c>
      <c r="U123" s="25">
        <f t="shared" si="196"/>
        <v>1.44176571134722</v>
      </c>
      <c r="V123" s="25">
        <f t="shared" si="197"/>
        <v>1.17476509952678</v>
      </c>
      <c r="W123" s="24">
        <f t="shared" si="198"/>
        <v>350</v>
      </c>
      <c r="X123" s="131">
        <f t="shared" si="199"/>
        <v>350</v>
      </c>
      <c r="Z123" s="25">
        <f t="shared" si="200"/>
        <v>0.62973928481633</v>
      </c>
      <c r="AA123" s="5">
        <f t="shared" si="201"/>
        <v>1.28279464510203</v>
      </c>
      <c r="AB123" s="5">
        <f t="shared" si="202"/>
        <v>0.077149236385196</v>
      </c>
      <c r="AC123" s="5"/>
      <c r="AD123" s="5">
        <f t="shared" si="203"/>
        <v>0.611107489733394</v>
      </c>
      <c r="AE123" s="216">
        <f t="shared" si="204"/>
        <v>1299.35802469136</v>
      </c>
      <c r="AF123" s="217">
        <f t="shared" si="205"/>
        <v>0.0175086462450593</v>
      </c>
      <c r="AH123" s="5">
        <f t="shared" si="206"/>
        <v>0.571714214321406</v>
      </c>
      <c r="AI123" s="5">
        <f t="shared" si="207"/>
        <v>0.571714214321406</v>
      </c>
      <c r="AJ123" s="5">
        <f t="shared" si="208"/>
        <v>1.40126978838623</v>
      </c>
      <c r="AL123" s="216">
        <f t="shared" si="209"/>
        <v>65</v>
      </c>
      <c r="AM123" s="220">
        <f t="shared" si="210"/>
        <v>350</v>
      </c>
      <c r="AO123" s="220">
        <f t="shared" si="211"/>
        <v>65</v>
      </c>
      <c r="AP123" s="220">
        <f t="shared" si="212"/>
        <v>350</v>
      </c>
      <c r="AR123" s="192">
        <f t="shared" si="160"/>
        <v>2.85714285714286</v>
      </c>
      <c r="AS123" s="192">
        <f t="shared" si="246"/>
        <v>1.42928553580352</v>
      </c>
      <c r="AT123" s="192">
        <f t="shared" si="247"/>
        <v>1.42785732133934</v>
      </c>
      <c r="AU123" s="5">
        <f t="shared" si="248"/>
        <v>0.50024993753123</v>
      </c>
      <c r="AW123" s="192">
        <f t="shared" si="216"/>
        <v>0.516130887929047</v>
      </c>
      <c r="AX123" s="192"/>
      <c r="AY123" s="192">
        <f t="shared" si="217"/>
        <v>1.48645695723566</v>
      </c>
      <c r="AZ123" s="192"/>
      <c r="BA123" s="192">
        <f t="shared" si="218"/>
        <v>0.309369086290191</v>
      </c>
      <c r="BB123" s="192"/>
      <c r="BC123" s="192"/>
      <c r="BD123" s="5">
        <f t="shared" si="219"/>
        <v>0.233459679099641</v>
      </c>
      <c r="BE123" s="5">
        <f t="shared" si="220"/>
        <v>0.127341643137307</v>
      </c>
      <c r="BF123" s="5">
        <f t="shared" si="221"/>
        <v>0.0964233017994422</v>
      </c>
      <c r="BG123" s="5"/>
      <c r="BH123" s="217">
        <f t="shared" si="222"/>
        <v>0.0190761976178576</v>
      </c>
      <c r="BI123" s="217">
        <f t="shared" si="223"/>
        <v>0.0222839336172912</v>
      </c>
      <c r="BJ123" s="217">
        <f t="shared" si="224"/>
        <v>0.004375</v>
      </c>
      <c r="BK123" s="217">
        <f t="shared" si="225"/>
        <v>0.0086813583472</v>
      </c>
      <c r="BL123">
        <f t="shared" si="226"/>
        <v>0.0029</v>
      </c>
      <c r="BM123">
        <f t="shared" si="227"/>
        <v>4.375e-6</v>
      </c>
      <c r="BN123">
        <f t="shared" si="228"/>
        <v>0.0661861402526836</v>
      </c>
      <c r="BO123" s="220">
        <f t="shared" si="229"/>
        <v>57.3164895823488</v>
      </c>
      <c r="BP123" s="5">
        <f t="shared" si="230"/>
        <v>0.05005</v>
      </c>
      <c r="BQ123" s="5">
        <f t="shared" si="231"/>
        <v>0.04004</v>
      </c>
      <c r="BR123" s="217"/>
      <c r="BT123" s="220">
        <f t="shared" si="232"/>
        <v>90.09</v>
      </c>
      <c r="BU123" s="217">
        <f t="shared" si="233"/>
        <v>0.0022346402923776</v>
      </c>
      <c r="BV123" s="217">
        <f t="shared" si="234"/>
        <v>0.00162158940769092</v>
      </c>
      <c r="BW123" s="217">
        <f t="shared" si="235"/>
        <v>0.000650821719093443</v>
      </c>
      <c r="BX123" s="217">
        <f t="shared" si="236"/>
        <v>0</v>
      </c>
      <c r="BY123" s="217">
        <f t="shared" si="180"/>
        <v>0.00622197437911995</v>
      </c>
      <c r="BZ123" s="217">
        <f t="shared" si="166"/>
        <v>0.00450705141916197</v>
      </c>
      <c r="CA123" s="225">
        <f t="shared" si="237"/>
        <v>0.004576</v>
      </c>
      <c r="CB123" s="220">
        <f t="shared" si="238"/>
        <v>19.8120772174439</v>
      </c>
      <c r="CC123" s="5">
        <f t="shared" si="168"/>
        <v>0.167074114631803</v>
      </c>
      <c r="CD123" s="192">
        <f t="shared" si="239"/>
        <v>1.43</v>
      </c>
      <c r="CE123" s="5">
        <f t="shared" si="240"/>
        <v>0.895387375513051</v>
      </c>
      <c r="CF123" s="192">
        <f t="shared" si="241"/>
        <v>89.5387375513051</v>
      </c>
      <c r="CG123">
        <f t="shared" si="242"/>
        <v>13</v>
      </c>
      <c r="CI123" s="227">
        <f t="shared" si="243"/>
        <v>-50</v>
      </c>
      <c r="CJ123">
        <f t="shared" si="244"/>
        <v>-50</v>
      </c>
    </row>
    <row r="124" spans="5:88">
      <c r="E124" s="22">
        <v>14</v>
      </c>
      <c r="F124" s="25">
        <f t="shared" si="245"/>
        <v>0.07</v>
      </c>
      <c r="G124" s="25">
        <f t="shared" si="183"/>
        <v>0.056</v>
      </c>
      <c r="H124" s="25">
        <f t="shared" si="184"/>
        <v>1.26</v>
      </c>
      <c r="I124" s="25">
        <f t="shared" si="185"/>
        <v>0.28</v>
      </c>
      <c r="J124" s="212">
        <f t="shared" si="186"/>
        <v>10</v>
      </c>
      <c r="K124" s="131">
        <f t="shared" si="187"/>
        <v>12.2728</v>
      </c>
      <c r="L124" s="131">
        <f t="shared" si="188"/>
        <v>22.2728</v>
      </c>
      <c r="M124" s="131"/>
      <c r="N124" s="25">
        <f t="shared" si="189"/>
        <v>0.551021874214288</v>
      </c>
      <c r="O124" s="27">
        <f t="shared" si="190"/>
        <v>3.04314353259255</v>
      </c>
      <c r="P124" s="27">
        <f t="shared" si="191"/>
        <v>0.676254118353899</v>
      </c>
      <c r="Q124" s="25">
        <f t="shared" si="192"/>
        <v>0.169063529588475</v>
      </c>
      <c r="R124" s="25">
        <f t="shared" si="193"/>
        <v>0.608628706518509</v>
      </c>
      <c r="S124" s="25">
        <f t="shared" si="194"/>
        <v>18</v>
      </c>
      <c r="T124" s="25">
        <f t="shared" si="195"/>
        <v>0.621068306426497</v>
      </c>
      <c r="U124" s="25">
        <f t="shared" si="196"/>
        <v>1.55267076606624</v>
      </c>
      <c r="V124" s="25">
        <f t="shared" si="197"/>
        <v>1.26513164564422</v>
      </c>
      <c r="W124" s="24">
        <f t="shared" si="198"/>
        <v>350</v>
      </c>
      <c r="X124" s="131">
        <f t="shared" si="199"/>
        <v>350</v>
      </c>
      <c r="Z124" s="25">
        <f t="shared" si="200"/>
        <v>0.62973928481633</v>
      </c>
      <c r="AA124" s="5">
        <f t="shared" si="201"/>
        <v>1.28279464510203</v>
      </c>
      <c r="AB124" s="5">
        <f t="shared" si="202"/>
        <v>0.077149236385196</v>
      </c>
      <c r="AC124" s="5"/>
      <c r="AD124" s="5">
        <f t="shared" si="203"/>
        <v>0.611107489733394</v>
      </c>
      <c r="AE124" s="216">
        <f t="shared" si="204"/>
        <v>1399.30864197531</v>
      </c>
      <c r="AF124" s="217">
        <f t="shared" si="205"/>
        <v>0.0175086462450593</v>
      </c>
      <c r="AH124" s="5">
        <f t="shared" si="206"/>
        <v>0.593295878967653</v>
      </c>
      <c r="AI124" s="5">
        <f t="shared" si="207"/>
        <v>0.593295878967653</v>
      </c>
      <c r="AJ124" s="5">
        <f t="shared" si="208"/>
        <v>1.41725620664271</v>
      </c>
      <c r="AL124" s="216">
        <f t="shared" si="209"/>
        <v>70</v>
      </c>
      <c r="AM124" s="220">
        <f t="shared" si="210"/>
        <v>350</v>
      </c>
      <c r="AO124" s="220">
        <f t="shared" si="211"/>
        <v>70</v>
      </c>
      <c r="AP124" s="220">
        <f t="shared" si="212"/>
        <v>350</v>
      </c>
      <c r="AR124" s="192">
        <f t="shared" si="160"/>
        <v>2.85714285714286</v>
      </c>
      <c r="AS124" s="192">
        <f t="shared" si="246"/>
        <v>1.48323969741913</v>
      </c>
      <c r="AT124" s="192">
        <f t="shared" si="247"/>
        <v>1.37390315972372</v>
      </c>
      <c r="AU124" s="5">
        <f t="shared" si="248"/>
        <v>0.519133894096696</v>
      </c>
      <c r="AW124" s="192">
        <f t="shared" si="216"/>
        <v>0.576815437885218</v>
      </c>
      <c r="AX124" s="192"/>
      <c r="AY124" s="192">
        <f t="shared" si="217"/>
        <v>1.66122846110943</v>
      </c>
      <c r="AZ124" s="192"/>
      <c r="BA124" s="192">
        <f t="shared" si="218"/>
        <v>0.320577403935536</v>
      </c>
      <c r="BB124" s="192"/>
      <c r="BC124" s="192"/>
      <c r="BD124" s="5">
        <f t="shared" si="219"/>
        <v>0.24680297858956</v>
      </c>
      <c r="BE124" s="5">
        <f t="shared" si="220"/>
        <v>0.129627888208266</v>
      </c>
      <c r="BF124" s="5">
        <f t="shared" si="221"/>
        <v>0.0981544503305388</v>
      </c>
      <c r="BG124" s="5"/>
      <c r="BH124" s="217">
        <f t="shared" si="222"/>
        <v>0.0213190985842377</v>
      </c>
      <c r="BI124" s="217">
        <f t="shared" si="223"/>
        <v>0.0231251307928738</v>
      </c>
      <c r="BJ124" s="217">
        <f t="shared" si="224"/>
        <v>0.004375</v>
      </c>
      <c r="BK124" s="217">
        <f t="shared" si="225"/>
        <v>0.0086813583472</v>
      </c>
      <c r="BL124">
        <f t="shared" si="226"/>
        <v>0.0029</v>
      </c>
      <c r="BM124">
        <f t="shared" si="227"/>
        <v>4.375e-6</v>
      </c>
      <c r="BN124">
        <f t="shared" si="228"/>
        <v>0.0703626659635063</v>
      </c>
      <c r="BO124" s="220">
        <f t="shared" si="229"/>
        <v>60.4005877243115</v>
      </c>
      <c r="BP124" s="5">
        <f t="shared" si="230"/>
        <v>0.0539</v>
      </c>
      <c r="BQ124" s="5">
        <f t="shared" si="231"/>
        <v>0.04312</v>
      </c>
      <c r="BR124" s="217"/>
      <c r="BT124" s="220">
        <f t="shared" si="232"/>
        <v>97.02</v>
      </c>
      <c r="BU124" s="217">
        <f t="shared" si="233"/>
        <v>0.00249738011986784</v>
      </c>
      <c r="BV124" s="217">
        <f t="shared" si="234"/>
        <v>0.00168033894013347</v>
      </c>
      <c r="BW124" s="217">
        <f t="shared" si="235"/>
        <v>0.000674400728378315</v>
      </c>
      <c r="BX124" s="217">
        <f t="shared" si="236"/>
        <v>0</v>
      </c>
      <c r="BY124" s="217">
        <f t="shared" si="180"/>
        <v>0.00669852547180346</v>
      </c>
      <c r="BZ124" s="217">
        <f t="shared" si="166"/>
        <v>0.00485211978837963</v>
      </c>
      <c r="CA124" s="225">
        <f t="shared" si="237"/>
        <v>0.004928</v>
      </c>
      <c r="CB124" s="220">
        <f t="shared" si="238"/>
        <v>21.3307650485627</v>
      </c>
      <c r="CC124" s="5">
        <f t="shared" si="168"/>
        <v>0.17900919143531</v>
      </c>
      <c r="CD124" s="192">
        <f t="shared" si="239"/>
        <v>1.54</v>
      </c>
      <c r="CE124" s="5">
        <f t="shared" si="240"/>
        <v>0.895864901521647</v>
      </c>
      <c r="CF124" s="192">
        <f t="shared" si="241"/>
        <v>89.5864901521647</v>
      </c>
      <c r="CG124">
        <f t="shared" si="242"/>
        <v>14</v>
      </c>
      <c r="CI124" s="227">
        <f t="shared" si="243"/>
        <v>-50</v>
      </c>
      <c r="CJ124">
        <f t="shared" si="244"/>
        <v>-50</v>
      </c>
    </row>
    <row r="125" spans="5:88">
      <c r="E125" s="22">
        <v>15</v>
      </c>
      <c r="F125" s="25">
        <f t="shared" si="245"/>
        <v>0.075</v>
      </c>
      <c r="G125" s="25">
        <f t="shared" si="183"/>
        <v>0.06</v>
      </c>
      <c r="H125" s="25">
        <f t="shared" si="184"/>
        <v>1.35</v>
      </c>
      <c r="I125" s="25">
        <f t="shared" si="185"/>
        <v>0.3</v>
      </c>
      <c r="J125" s="212">
        <f t="shared" si="186"/>
        <v>10</v>
      </c>
      <c r="K125" s="131">
        <f t="shared" si="187"/>
        <v>12.2728</v>
      </c>
      <c r="L125" s="131">
        <f t="shared" si="188"/>
        <v>22.2728</v>
      </c>
      <c r="M125" s="131"/>
      <c r="N125" s="25">
        <f t="shared" si="189"/>
        <v>0.551021874214288</v>
      </c>
      <c r="O125" s="27">
        <f t="shared" si="190"/>
        <v>3.04314353259255</v>
      </c>
      <c r="P125" s="27">
        <f t="shared" si="191"/>
        <v>0.676254118353899</v>
      </c>
      <c r="Q125" s="25">
        <f t="shared" si="192"/>
        <v>0.169063529588475</v>
      </c>
      <c r="R125" s="25">
        <f t="shared" si="193"/>
        <v>0.608628706518509</v>
      </c>
      <c r="S125" s="25">
        <f t="shared" si="194"/>
        <v>18</v>
      </c>
      <c r="T125" s="25">
        <f t="shared" si="195"/>
        <v>0.665430328314104</v>
      </c>
      <c r="U125" s="25">
        <f t="shared" si="196"/>
        <v>1.66357582078526</v>
      </c>
      <c r="V125" s="25">
        <f t="shared" si="197"/>
        <v>1.35549819176167</v>
      </c>
      <c r="W125" s="24">
        <f t="shared" si="198"/>
        <v>350</v>
      </c>
      <c r="X125" s="131">
        <f t="shared" si="199"/>
        <v>331.227388213775</v>
      </c>
      <c r="Z125" s="25">
        <f t="shared" si="200"/>
        <v>0.62973928481633</v>
      </c>
      <c r="AA125" s="5">
        <f t="shared" si="201"/>
        <v>1.28279464510203</v>
      </c>
      <c r="AB125" s="5">
        <f t="shared" si="202"/>
        <v>0.077149236385196</v>
      </c>
      <c r="AC125" s="5"/>
      <c r="AD125" s="5">
        <f t="shared" si="203"/>
        <v>0.611107489733394</v>
      </c>
      <c r="AE125" s="216">
        <f t="shared" si="204"/>
        <v>1499.25925925926</v>
      </c>
      <c r="AF125" s="217">
        <f t="shared" si="205"/>
        <v>0.0175086462450593</v>
      </c>
      <c r="AH125" s="5">
        <f t="shared" si="206"/>
        <v>0.614119578862991</v>
      </c>
      <c r="AI125" s="5">
        <f t="shared" si="207"/>
        <v>0.614119578862991</v>
      </c>
      <c r="AJ125" s="5">
        <f t="shared" si="208"/>
        <v>1.43268116952814</v>
      </c>
      <c r="AL125" s="216">
        <f t="shared" si="209"/>
        <v>75</v>
      </c>
      <c r="AM125" s="220">
        <f t="shared" si="210"/>
        <v>331.227388213775</v>
      </c>
      <c r="AO125" s="220">
        <f t="shared" si="211"/>
        <v>75</v>
      </c>
      <c r="AP125" s="220">
        <f t="shared" si="212"/>
        <v>331.227388213775</v>
      </c>
      <c r="AR125" s="192">
        <f t="shared" si="160"/>
        <v>3.01907401254693</v>
      </c>
      <c r="AS125" s="192">
        <f t="shared" si="246"/>
        <v>1.53529894715748</v>
      </c>
      <c r="AT125" s="192">
        <f t="shared" si="247"/>
        <v>1.48377506538945</v>
      </c>
      <c r="AU125" s="5">
        <f t="shared" si="248"/>
        <v>0.508533060394329</v>
      </c>
      <c r="AW125" s="192">
        <f t="shared" si="216"/>
        <v>0.639707894648949</v>
      </c>
      <c r="AX125" s="192"/>
      <c r="AY125" s="192">
        <f t="shared" si="217"/>
        <v>1.84235873658897</v>
      </c>
      <c r="AZ125" s="192"/>
      <c r="BA125" s="192">
        <f t="shared" si="218"/>
        <v>0.370943766347363</v>
      </c>
      <c r="BB125" s="192"/>
      <c r="BC125" s="192"/>
      <c r="BD125" s="5">
        <f t="shared" si="219"/>
        <v>0.25284356912837</v>
      </c>
      <c r="BE125" s="5">
        <f t="shared" si="220"/>
        <v>0.135648541512142</v>
      </c>
      <c r="BF125" s="5">
        <f t="shared" si="221"/>
        <v>0.102713298922774</v>
      </c>
      <c r="BG125" s="5"/>
      <c r="BH125" s="217">
        <f t="shared" si="222"/>
        <v>0.0223754546573505</v>
      </c>
      <c r="BI125" s="217">
        <f t="shared" si="223"/>
        <v>0.0226529102951016</v>
      </c>
      <c r="BJ125" s="217">
        <f t="shared" si="224"/>
        <v>0.00414034235267218</v>
      </c>
      <c r="BK125" s="217">
        <f t="shared" si="225"/>
        <v>0.00821572471854545</v>
      </c>
      <c r="BL125">
        <f t="shared" si="226"/>
        <v>0.0029</v>
      </c>
      <c r="BM125">
        <f t="shared" si="227"/>
        <v>4.14034235267218e-6</v>
      </c>
      <c r="BN125">
        <f t="shared" si="228"/>
        <v>0.070744482965646</v>
      </c>
      <c r="BO125" s="220">
        <f t="shared" si="229"/>
        <v>60.2844320236698</v>
      </c>
      <c r="BP125" s="5">
        <f t="shared" si="230"/>
        <v>0.05775</v>
      </c>
      <c r="BQ125" s="5">
        <f t="shared" si="231"/>
        <v>0.0462</v>
      </c>
      <c r="BR125" s="217"/>
      <c r="BT125" s="220">
        <f t="shared" si="232"/>
        <v>103.95</v>
      </c>
      <c r="BU125" s="217">
        <f t="shared" si="233"/>
        <v>0.00262112468843249</v>
      </c>
      <c r="BV125" s="217">
        <f t="shared" si="234"/>
        <v>0.00184005268143713</v>
      </c>
      <c r="BW125" s="217">
        <f t="shared" si="235"/>
        <v>0.000738501524291942</v>
      </c>
      <c r="BX125" s="217">
        <f t="shared" si="236"/>
        <v>0</v>
      </c>
      <c r="BY125" s="217">
        <f t="shared" si="180"/>
        <v>0.00717854296340997</v>
      </c>
      <c r="BZ125" s="217">
        <f t="shared" si="166"/>
        <v>0.00519967889416156</v>
      </c>
      <c r="CA125" s="225">
        <f t="shared" si="237"/>
        <v>0.00499680174219638</v>
      </c>
      <c r="CB125" s="220">
        <f t="shared" si="238"/>
        <v>22.5747024939295</v>
      </c>
      <c r="CC125" s="5">
        <f t="shared" si="168"/>
        <v>0.186869827671252</v>
      </c>
      <c r="CD125" s="192">
        <f t="shared" si="239"/>
        <v>1.65</v>
      </c>
      <c r="CE125" s="5">
        <f t="shared" si="240"/>
        <v>0.898267245258113</v>
      </c>
      <c r="CF125" s="192">
        <f t="shared" si="241"/>
        <v>89.8267245258113</v>
      </c>
      <c r="CG125">
        <f t="shared" si="242"/>
        <v>15</v>
      </c>
      <c r="CI125" s="227">
        <f t="shared" si="243"/>
        <v>-50</v>
      </c>
      <c r="CJ125">
        <f t="shared" si="244"/>
        <v>-50</v>
      </c>
    </row>
    <row r="126" spans="5:88">
      <c r="E126" s="22">
        <v>16</v>
      </c>
      <c r="F126" s="25">
        <f t="shared" si="245"/>
        <v>0.08</v>
      </c>
      <c r="G126" s="25">
        <f t="shared" si="183"/>
        <v>0.064</v>
      </c>
      <c r="H126" s="25">
        <f t="shared" si="184"/>
        <v>1.44</v>
      </c>
      <c r="I126" s="25">
        <f t="shared" si="185"/>
        <v>0.32</v>
      </c>
      <c r="J126" s="212">
        <f t="shared" si="186"/>
        <v>10</v>
      </c>
      <c r="K126" s="131">
        <f t="shared" si="187"/>
        <v>12.2728</v>
      </c>
      <c r="L126" s="131">
        <f t="shared" si="188"/>
        <v>22.2728</v>
      </c>
      <c r="M126" s="131"/>
      <c r="N126" s="25">
        <f t="shared" si="189"/>
        <v>0.551021874214288</v>
      </c>
      <c r="O126" s="27">
        <f t="shared" si="190"/>
        <v>3.04314353259255</v>
      </c>
      <c r="P126" s="27">
        <f t="shared" si="191"/>
        <v>0.676254118353899</v>
      </c>
      <c r="Q126" s="25">
        <f t="shared" si="192"/>
        <v>0.169063529588475</v>
      </c>
      <c r="R126" s="25">
        <f t="shared" si="193"/>
        <v>0.608628706518509</v>
      </c>
      <c r="S126" s="25">
        <f t="shared" si="194"/>
        <v>18</v>
      </c>
      <c r="T126" s="25">
        <f t="shared" si="195"/>
        <v>0.709792350201711</v>
      </c>
      <c r="U126" s="25">
        <f t="shared" si="196"/>
        <v>1.77448087550428</v>
      </c>
      <c r="V126" s="25">
        <f t="shared" si="197"/>
        <v>1.44586473787911</v>
      </c>
      <c r="W126" s="24">
        <f t="shared" si="198"/>
        <v>350</v>
      </c>
      <c r="X126" s="131">
        <f t="shared" si="199"/>
        <v>310.525676450414</v>
      </c>
      <c r="Z126" s="25">
        <f t="shared" si="200"/>
        <v>0.62973928481633</v>
      </c>
      <c r="AA126" s="5">
        <f t="shared" si="201"/>
        <v>1.28279464510203</v>
      </c>
      <c r="AB126" s="5">
        <f t="shared" si="202"/>
        <v>0.077149236385196</v>
      </c>
      <c r="AC126" s="5"/>
      <c r="AD126" s="5">
        <f t="shared" si="203"/>
        <v>0.611107489733394</v>
      </c>
      <c r="AE126" s="216">
        <f t="shared" si="204"/>
        <v>1599.20987654321</v>
      </c>
      <c r="AF126" s="217">
        <f t="shared" si="205"/>
        <v>0.0175086462450593</v>
      </c>
      <c r="AH126" s="5">
        <f t="shared" si="206"/>
        <v>0.634259973737674</v>
      </c>
      <c r="AI126" s="5">
        <f t="shared" si="207"/>
        <v>0.709792350201711</v>
      </c>
      <c r="AJ126" s="5">
        <f t="shared" si="208"/>
        <v>1.5035498890383</v>
      </c>
      <c r="AL126" s="216">
        <f t="shared" si="209"/>
        <v>80</v>
      </c>
      <c r="AM126" s="220">
        <f t="shared" si="210"/>
        <v>310.525676450414</v>
      </c>
      <c r="AO126" s="220">
        <f t="shared" si="211"/>
        <v>80</v>
      </c>
      <c r="AP126" s="220">
        <f t="shared" si="212"/>
        <v>310.525676450414</v>
      </c>
      <c r="AR126" s="192">
        <f t="shared" si="160"/>
        <v>3.22034561338339</v>
      </c>
      <c r="AS126" s="192">
        <f t="shared" si="246"/>
        <v>1.77448087550428</v>
      </c>
      <c r="AT126" s="192">
        <f t="shared" si="247"/>
        <v>1.44586473787911</v>
      </c>
      <c r="AU126" s="5">
        <f t="shared" si="248"/>
        <v>0.551021874214288</v>
      </c>
      <c r="AW126" s="192">
        <f t="shared" si="216"/>
        <v>0.78865816689079</v>
      </c>
      <c r="AX126" s="192"/>
      <c r="AY126" s="192">
        <f t="shared" si="217"/>
        <v>2.27133552064548</v>
      </c>
      <c r="AZ126" s="192"/>
      <c r="BA126" s="192">
        <f t="shared" si="218"/>
        <v>0.385563930101097</v>
      </c>
      <c r="BB126" s="192"/>
      <c r="BC126" s="192"/>
      <c r="BD126" s="5">
        <f t="shared" si="219"/>
        <v>0.304197126189339</v>
      </c>
      <c r="BE126" s="5">
        <f t="shared" si="220"/>
        <v>0.149850755411144</v>
      </c>
      <c r="BF126" s="5">
        <f t="shared" si="221"/>
        <v>0.113467238665228</v>
      </c>
      <c r="BG126" s="5"/>
      <c r="BH126" s="217">
        <f t="shared" si="222"/>
        <v>0.0323875620536485</v>
      </c>
      <c r="BI126" s="217">
        <f t="shared" si="223"/>
        <v>0.0245456</v>
      </c>
      <c r="BJ126" s="217">
        <f t="shared" si="224"/>
        <v>0.00388157095563017</v>
      </c>
      <c r="BK126" s="217">
        <f t="shared" si="225"/>
        <v>0.00770224192363636</v>
      </c>
      <c r="BL126">
        <f t="shared" si="226"/>
        <v>0.0029</v>
      </c>
      <c r="BM126">
        <f t="shared" si="227"/>
        <v>3.88157095563017e-6</v>
      </c>
      <c r="BN126">
        <f t="shared" si="228"/>
        <v>0.086848750129105</v>
      </c>
      <c r="BO126" s="220">
        <f t="shared" si="229"/>
        <v>71.416974932915</v>
      </c>
      <c r="BP126" s="5">
        <f t="shared" si="230"/>
        <v>0.0616</v>
      </c>
      <c r="BQ126" s="5">
        <f t="shared" si="231"/>
        <v>0.04928</v>
      </c>
      <c r="BR126" s="217"/>
      <c r="BT126" s="220">
        <f t="shared" si="232"/>
        <v>110.88</v>
      </c>
      <c r="BU126" s="217">
        <f t="shared" si="233"/>
        <v>0.00379397155485596</v>
      </c>
      <c r="BV126" s="217">
        <f t="shared" si="234"/>
        <v>0.00224552488972905</v>
      </c>
      <c r="BW126" s="217">
        <f t="shared" si="235"/>
        <v>0.000901236997521832</v>
      </c>
      <c r="BX126" s="217">
        <f t="shared" si="236"/>
        <v>0</v>
      </c>
      <c r="BY126" s="217">
        <f t="shared" si="180"/>
        <v>0.00958353349021858</v>
      </c>
      <c r="BZ126" s="217">
        <f t="shared" si="166"/>
        <v>0.00694073344210685</v>
      </c>
      <c r="CA126" s="225">
        <f t="shared" si="237"/>
        <v>0.00625777777777778</v>
      </c>
      <c r="CB126" s="220">
        <f t="shared" si="238"/>
        <v>29.72277815221</v>
      </c>
      <c r="CC126" s="5">
        <f t="shared" si="168"/>
        <v>0.213570061397101</v>
      </c>
      <c r="CD126" s="192">
        <f t="shared" si="239"/>
        <v>1.76</v>
      </c>
      <c r="CE126" s="5">
        <f t="shared" si="240"/>
        <v>0.891784910211947</v>
      </c>
      <c r="CF126" s="192">
        <f t="shared" si="241"/>
        <v>89.1784910211947</v>
      </c>
      <c r="CG126">
        <f t="shared" si="242"/>
        <v>16</v>
      </c>
      <c r="CI126" s="227">
        <f t="shared" si="243"/>
        <v>-50</v>
      </c>
      <c r="CJ126">
        <f t="shared" si="244"/>
        <v>-50</v>
      </c>
    </row>
    <row r="127" spans="5:88">
      <c r="E127" s="22">
        <v>17</v>
      </c>
      <c r="F127" s="25">
        <f t="shared" si="245"/>
        <v>0.085</v>
      </c>
      <c r="G127" s="25">
        <f t="shared" si="183"/>
        <v>0.068</v>
      </c>
      <c r="H127" s="25">
        <f t="shared" si="184"/>
        <v>1.53</v>
      </c>
      <c r="I127" s="25">
        <f t="shared" si="185"/>
        <v>0.34</v>
      </c>
      <c r="J127" s="212">
        <f t="shared" si="186"/>
        <v>10</v>
      </c>
      <c r="K127" s="131">
        <f t="shared" si="187"/>
        <v>12.2728</v>
      </c>
      <c r="L127" s="131">
        <f t="shared" si="188"/>
        <v>22.2728</v>
      </c>
      <c r="M127" s="131"/>
      <c r="N127" s="25">
        <f t="shared" si="189"/>
        <v>0.551021874214288</v>
      </c>
      <c r="O127" s="27">
        <f t="shared" si="190"/>
        <v>3.04314353259255</v>
      </c>
      <c r="P127" s="27">
        <f t="shared" si="191"/>
        <v>0.676254118353899</v>
      </c>
      <c r="Q127" s="25">
        <f t="shared" si="192"/>
        <v>0.169063529588475</v>
      </c>
      <c r="R127" s="25">
        <f t="shared" si="193"/>
        <v>0.608628706518509</v>
      </c>
      <c r="S127" s="25">
        <f t="shared" si="194"/>
        <v>18</v>
      </c>
      <c r="T127" s="25">
        <f t="shared" si="195"/>
        <v>0.754154372089318</v>
      </c>
      <c r="U127" s="25">
        <f t="shared" si="196"/>
        <v>1.88538593022329</v>
      </c>
      <c r="V127" s="25">
        <f t="shared" si="197"/>
        <v>1.53623128399656</v>
      </c>
      <c r="W127" s="24">
        <f t="shared" si="198"/>
        <v>350</v>
      </c>
      <c r="X127" s="131">
        <f t="shared" si="199"/>
        <v>292.259460188625</v>
      </c>
      <c r="Z127" s="25">
        <f t="shared" si="200"/>
        <v>0.62973928481633</v>
      </c>
      <c r="AA127" s="5">
        <f t="shared" si="201"/>
        <v>1.28279464510203</v>
      </c>
      <c r="AB127" s="5">
        <f t="shared" si="202"/>
        <v>0.077149236385196</v>
      </c>
      <c r="AC127" s="5"/>
      <c r="AD127" s="5">
        <f t="shared" si="203"/>
        <v>0.611107489733394</v>
      </c>
      <c r="AE127" s="216">
        <f t="shared" si="204"/>
        <v>1699.16049382716</v>
      </c>
      <c r="AF127" s="217">
        <f t="shared" si="205"/>
        <v>0.0175086462450593</v>
      </c>
      <c r="AH127" s="5">
        <f t="shared" si="206"/>
        <v>0.653780216455478</v>
      </c>
      <c r="AI127" s="5">
        <f t="shared" si="207"/>
        <v>0.754154372089318</v>
      </c>
      <c r="AJ127" s="5">
        <f t="shared" si="208"/>
        <v>1.53641064599209</v>
      </c>
      <c r="AL127" s="216">
        <f t="shared" si="209"/>
        <v>85</v>
      </c>
      <c r="AM127" s="220">
        <f t="shared" si="210"/>
        <v>292.259460188625</v>
      </c>
      <c r="AO127" s="220">
        <f t="shared" si="211"/>
        <v>85</v>
      </c>
      <c r="AP127" s="220">
        <f t="shared" si="212"/>
        <v>292.259460188625</v>
      </c>
      <c r="AR127" s="192">
        <f t="shared" si="160"/>
        <v>3.42161721421985</v>
      </c>
      <c r="AS127" s="192">
        <f t="shared" si="246"/>
        <v>1.88538593022329</v>
      </c>
      <c r="AT127" s="192">
        <f t="shared" si="247"/>
        <v>1.53623128399656</v>
      </c>
      <c r="AU127" s="5">
        <f t="shared" si="248"/>
        <v>0.551021874214288</v>
      </c>
      <c r="AW127" s="192">
        <f t="shared" si="216"/>
        <v>0.890321133716556</v>
      </c>
      <c r="AX127" s="192"/>
      <c r="AY127" s="192">
        <f t="shared" si="217"/>
        <v>2.56412486510368</v>
      </c>
      <c r="AZ127" s="192"/>
      <c r="BA127" s="192">
        <f t="shared" si="218"/>
        <v>0.435265530465691</v>
      </c>
      <c r="BB127" s="192"/>
      <c r="BC127" s="192"/>
      <c r="BD127" s="5">
        <f t="shared" si="219"/>
        <v>0.323209446576173</v>
      </c>
      <c r="BE127" s="5">
        <f t="shared" si="220"/>
        <v>0.159216427624341</v>
      </c>
      <c r="BF127" s="5">
        <f t="shared" si="221"/>
        <v>0.120558941081805</v>
      </c>
      <c r="BG127" s="5"/>
      <c r="BH127" s="217">
        <f t="shared" si="222"/>
        <v>0.0365625212246266</v>
      </c>
      <c r="BI127" s="217">
        <f t="shared" si="223"/>
        <v>0.0245456</v>
      </c>
      <c r="BJ127" s="217">
        <f t="shared" si="224"/>
        <v>0.00365324325235781</v>
      </c>
      <c r="BK127" s="217">
        <f t="shared" si="225"/>
        <v>0.00724916886930481</v>
      </c>
      <c r="BL127">
        <f t="shared" si="226"/>
        <v>0.0029</v>
      </c>
      <c r="BM127">
        <f t="shared" si="227"/>
        <v>3.65324325235781e-6</v>
      </c>
      <c r="BN127">
        <f t="shared" si="228"/>
        <v>0.0924459464067345</v>
      </c>
      <c r="BO127" s="220">
        <f t="shared" si="229"/>
        <v>74.9105333462892</v>
      </c>
      <c r="BP127" s="5">
        <f t="shared" si="230"/>
        <v>0.06545</v>
      </c>
      <c r="BQ127" s="5">
        <f t="shared" si="231"/>
        <v>0.05236</v>
      </c>
      <c r="BR127" s="217"/>
      <c r="BT127" s="220">
        <f t="shared" si="232"/>
        <v>117.81</v>
      </c>
      <c r="BU127" s="217">
        <f t="shared" si="233"/>
        <v>0.00428303820059911</v>
      </c>
      <c r="BV127" s="217">
        <f t="shared" si="234"/>
        <v>0.00253498708254569</v>
      </c>
      <c r="BW127" s="217">
        <f t="shared" si="235"/>
        <v>0.00101741207923363</v>
      </c>
      <c r="BX127" s="217">
        <f t="shared" si="236"/>
        <v>0</v>
      </c>
      <c r="BY127" s="217">
        <f t="shared" si="180"/>
        <v>0.0108196857176599</v>
      </c>
      <c r="BZ127" s="217">
        <f t="shared" si="166"/>
        <v>0.00783543736237843</v>
      </c>
      <c r="CA127" s="225">
        <f t="shared" si="237"/>
        <v>0.00664888888888889</v>
      </c>
      <c r="CB127" s="220">
        <f t="shared" si="238"/>
        <v>33.1394493313057</v>
      </c>
      <c r="CC127" s="5">
        <f t="shared" si="168"/>
        <v>0.227724521013283</v>
      </c>
      <c r="CD127" s="192">
        <f t="shared" si="239"/>
        <v>1.87</v>
      </c>
      <c r="CE127" s="5">
        <f t="shared" si="240"/>
        <v>0.89144212277059</v>
      </c>
      <c r="CF127" s="192">
        <f t="shared" si="241"/>
        <v>89.144212277059</v>
      </c>
      <c r="CG127">
        <f t="shared" si="242"/>
        <v>17</v>
      </c>
      <c r="CI127" s="227">
        <f t="shared" si="243"/>
        <v>-50</v>
      </c>
      <c r="CJ127">
        <f t="shared" si="244"/>
        <v>-50</v>
      </c>
    </row>
    <row r="128" spans="5:88">
      <c r="E128" s="22">
        <v>18</v>
      </c>
      <c r="F128" s="25">
        <f t="shared" si="245"/>
        <v>0.09</v>
      </c>
      <c r="G128" s="25">
        <f t="shared" si="183"/>
        <v>0.072</v>
      </c>
      <c r="H128" s="25">
        <f t="shared" si="184"/>
        <v>1.62</v>
      </c>
      <c r="I128" s="25">
        <f t="shared" si="185"/>
        <v>0.36</v>
      </c>
      <c r="J128" s="212">
        <f t="shared" si="186"/>
        <v>10</v>
      </c>
      <c r="K128" s="131">
        <f t="shared" si="187"/>
        <v>12.2728</v>
      </c>
      <c r="L128" s="131">
        <f t="shared" si="188"/>
        <v>22.2728</v>
      </c>
      <c r="M128" s="131"/>
      <c r="N128" s="25">
        <f t="shared" si="189"/>
        <v>0.551021874214288</v>
      </c>
      <c r="O128" s="27">
        <f t="shared" si="190"/>
        <v>3.04314353259255</v>
      </c>
      <c r="P128" s="27">
        <f t="shared" si="191"/>
        <v>0.676254118353899</v>
      </c>
      <c r="Q128" s="25">
        <f t="shared" si="192"/>
        <v>0.169063529588475</v>
      </c>
      <c r="R128" s="25">
        <f t="shared" si="193"/>
        <v>0.608628706518509</v>
      </c>
      <c r="S128" s="25">
        <f t="shared" si="194"/>
        <v>18</v>
      </c>
      <c r="T128" s="25">
        <f t="shared" si="195"/>
        <v>0.798516393976925</v>
      </c>
      <c r="U128" s="25">
        <f t="shared" si="196"/>
        <v>1.99629098494231</v>
      </c>
      <c r="V128" s="25">
        <f t="shared" si="197"/>
        <v>1.626597830114</v>
      </c>
      <c r="W128" s="24">
        <f t="shared" si="198"/>
        <v>350</v>
      </c>
      <c r="X128" s="131">
        <f t="shared" si="199"/>
        <v>276.022823511479</v>
      </c>
      <c r="Z128" s="25">
        <f t="shared" si="200"/>
        <v>0.62973928481633</v>
      </c>
      <c r="AA128" s="5">
        <f t="shared" si="201"/>
        <v>1.28279464510203</v>
      </c>
      <c r="AB128" s="5">
        <f t="shared" si="202"/>
        <v>0.077149236385196</v>
      </c>
      <c r="AC128" s="5"/>
      <c r="AD128" s="5">
        <f t="shared" si="203"/>
        <v>0.611107489733394</v>
      </c>
      <c r="AE128" s="216">
        <f t="shared" si="204"/>
        <v>1799.11111111111</v>
      </c>
      <c r="AF128" s="217">
        <f t="shared" si="205"/>
        <v>0.0175086462450593</v>
      </c>
      <c r="AH128" s="5">
        <f t="shared" si="206"/>
        <v>0.672734292697666</v>
      </c>
      <c r="AI128" s="5">
        <f t="shared" si="207"/>
        <v>0.798516393976925</v>
      </c>
      <c r="AJ128" s="5">
        <f t="shared" si="208"/>
        <v>1.56927140294587</v>
      </c>
      <c r="AL128" s="216">
        <f t="shared" si="209"/>
        <v>90</v>
      </c>
      <c r="AM128" s="220">
        <f t="shared" si="210"/>
        <v>276.022823511479</v>
      </c>
      <c r="AO128" s="220">
        <f t="shared" si="211"/>
        <v>90</v>
      </c>
      <c r="AP128" s="220">
        <f t="shared" si="212"/>
        <v>276.022823511479</v>
      </c>
      <c r="AR128" s="192">
        <f t="shared" si="160"/>
        <v>3.62288881505631</v>
      </c>
      <c r="AS128" s="192">
        <f t="shared" si="246"/>
        <v>1.99629098494231</v>
      </c>
      <c r="AT128" s="192">
        <f t="shared" si="247"/>
        <v>1.626597830114</v>
      </c>
      <c r="AU128" s="5">
        <f t="shared" si="248"/>
        <v>0.551021874214288</v>
      </c>
      <c r="AW128" s="192">
        <f t="shared" si="216"/>
        <v>0.998145492471156</v>
      </c>
      <c r="AX128" s="192"/>
      <c r="AY128" s="192">
        <f t="shared" si="217"/>
        <v>2.87465901831693</v>
      </c>
      <c r="AZ128" s="192"/>
      <c r="BA128" s="192">
        <f t="shared" si="218"/>
        <v>0.487979349034201</v>
      </c>
      <c r="BB128" s="192"/>
      <c r="BC128" s="192"/>
      <c r="BD128" s="5">
        <f t="shared" si="219"/>
        <v>0.342221766963007</v>
      </c>
      <c r="BE128" s="5">
        <f t="shared" si="220"/>
        <v>0.168582099837537</v>
      </c>
      <c r="BF128" s="5">
        <f t="shared" si="221"/>
        <v>0.127650643498382</v>
      </c>
      <c r="BG128" s="5"/>
      <c r="BH128" s="217">
        <f t="shared" si="222"/>
        <v>0.0409905082241488</v>
      </c>
      <c r="BI128" s="217">
        <f t="shared" si="223"/>
        <v>0.0245456</v>
      </c>
      <c r="BJ128" s="217">
        <f t="shared" si="224"/>
        <v>0.00345028529389349</v>
      </c>
      <c r="BK128" s="217">
        <f t="shared" si="225"/>
        <v>0.00684643726545454</v>
      </c>
      <c r="BL128">
        <f t="shared" si="226"/>
        <v>0.0029</v>
      </c>
      <c r="BM128">
        <f t="shared" si="227"/>
        <v>3.45028529389349e-6</v>
      </c>
      <c r="BN128">
        <f t="shared" si="228"/>
        <v>0.0985315818691463</v>
      </c>
      <c r="BO128" s="220">
        <f t="shared" si="229"/>
        <v>78.7328307834969</v>
      </c>
      <c r="BP128" s="5">
        <f t="shared" si="230"/>
        <v>0.0693</v>
      </c>
      <c r="BQ128" s="5">
        <f t="shared" si="231"/>
        <v>0.05544</v>
      </c>
      <c r="BR128" s="217"/>
      <c r="BT128" s="220">
        <f t="shared" si="232"/>
        <v>124.74</v>
      </c>
      <c r="BU128" s="217">
        <f t="shared" si="233"/>
        <v>0.00480174524911458</v>
      </c>
      <c r="BV128" s="217">
        <f t="shared" si="234"/>
        <v>0.00284199243856333</v>
      </c>
      <c r="BW128" s="217">
        <f t="shared" si="235"/>
        <v>0.00114062807498857</v>
      </c>
      <c r="BX128" s="217">
        <f t="shared" si="236"/>
        <v>0</v>
      </c>
      <c r="BY128" s="217">
        <f t="shared" si="180"/>
        <v>0.0121309497684649</v>
      </c>
      <c r="BZ128" s="217">
        <f t="shared" si="166"/>
        <v>0.00878436576266648</v>
      </c>
      <c r="CA128" s="225">
        <f t="shared" si="237"/>
        <v>0.00704</v>
      </c>
      <c r="CB128" s="220">
        <f t="shared" si="238"/>
        <v>36.7396812937979</v>
      </c>
      <c r="CC128" s="5">
        <f t="shared" si="168"/>
        <v>0.242442531637611</v>
      </c>
      <c r="CD128" s="192">
        <f t="shared" si="239"/>
        <v>1.98</v>
      </c>
      <c r="CE128" s="5">
        <f t="shared" si="240"/>
        <v>0.890911675696304</v>
      </c>
      <c r="CF128" s="192">
        <f t="shared" si="241"/>
        <v>89.0911675696304</v>
      </c>
      <c r="CG128">
        <f t="shared" si="242"/>
        <v>18</v>
      </c>
      <c r="CI128" s="227">
        <f t="shared" si="243"/>
        <v>-50</v>
      </c>
      <c r="CJ128">
        <f t="shared" si="244"/>
        <v>-50</v>
      </c>
    </row>
    <row r="129" spans="5:88">
      <c r="E129" s="22">
        <v>19</v>
      </c>
      <c r="F129" s="25">
        <f t="shared" si="245"/>
        <v>0.095</v>
      </c>
      <c r="G129" s="25">
        <f t="shared" si="183"/>
        <v>0.076</v>
      </c>
      <c r="H129" s="25">
        <f t="shared" si="184"/>
        <v>1.71</v>
      </c>
      <c r="I129" s="25">
        <f t="shared" si="185"/>
        <v>0.38</v>
      </c>
      <c r="J129" s="212">
        <f t="shared" si="186"/>
        <v>10</v>
      </c>
      <c r="K129" s="131">
        <f t="shared" si="187"/>
        <v>12.2728</v>
      </c>
      <c r="L129" s="131">
        <f t="shared" si="188"/>
        <v>22.2728</v>
      </c>
      <c r="M129" s="131"/>
      <c r="N129" s="25">
        <f t="shared" si="189"/>
        <v>0.551021874214288</v>
      </c>
      <c r="O129" s="27">
        <f t="shared" si="190"/>
        <v>3.04314353259255</v>
      </c>
      <c r="P129" s="27">
        <f t="shared" si="191"/>
        <v>0.676254118353899</v>
      </c>
      <c r="Q129" s="25">
        <f t="shared" si="192"/>
        <v>0.169063529588475</v>
      </c>
      <c r="R129" s="25">
        <f t="shared" si="193"/>
        <v>0.608628706518509</v>
      </c>
      <c r="S129" s="25">
        <f t="shared" si="194"/>
        <v>18</v>
      </c>
      <c r="T129" s="25">
        <f t="shared" si="195"/>
        <v>0.842878415864531</v>
      </c>
      <c r="U129" s="25">
        <f t="shared" si="196"/>
        <v>2.10719603966133</v>
      </c>
      <c r="V129" s="25">
        <f t="shared" si="197"/>
        <v>1.71696437623145</v>
      </c>
      <c r="W129" s="24">
        <f t="shared" si="198"/>
        <v>350</v>
      </c>
      <c r="X129" s="131">
        <f t="shared" si="199"/>
        <v>261.495306484559</v>
      </c>
      <c r="Z129" s="25">
        <f t="shared" si="200"/>
        <v>0.62973928481633</v>
      </c>
      <c r="AA129" s="5">
        <f t="shared" si="201"/>
        <v>1.28279464510203</v>
      </c>
      <c r="AB129" s="5">
        <f t="shared" si="202"/>
        <v>0.077149236385196</v>
      </c>
      <c r="AC129" s="5"/>
      <c r="AD129" s="5">
        <f t="shared" si="203"/>
        <v>0.611107489733394</v>
      </c>
      <c r="AE129" s="216">
        <f t="shared" si="204"/>
        <v>1899.06172839506</v>
      </c>
      <c r="AF129" s="217">
        <f t="shared" si="205"/>
        <v>0.0175086462450593</v>
      </c>
      <c r="AH129" s="5">
        <f t="shared" si="206"/>
        <v>0.69116878236382</v>
      </c>
      <c r="AI129" s="5">
        <f t="shared" si="207"/>
        <v>0.842878415864531</v>
      </c>
      <c r="AJ129" s="5">
        <f t="shared" si="208"/>
        <v>1.60213215989965</v>
      </c>
      <c r="AL129" s="216">
        <f t="shared" si="209"/>
        <v>95</v>
      </c>
      <c r="AM129" s="220">
        <f t="shared" si="210"/>
        <v>261.495306484559</v>
      </c>
      <c r="AO129" s="220">
        <f t="shared" si="211"/>
        <v>95</v>
      </c>
      <c r="AP129" s="220">
        <f t="shared" si="212"/>
        <v>261.495306484559</v>
      </c>
      <c r="AR129" s="192">
        <f t="shared" si="160"/>
        <v>3.82416041589277</v>
      </c>
      <c r="AS129" s="192">
        <f t="shared" si="246"/>
        <v>2.10719603966133</v>
      </c>
      <c r="AT129" s="192">
        <f t="shared" si="247"/>
        <v>1.71696437623145</v>
      </c>
      <c r="AU129" s="5">
        <f t="shared" si="248"/>
        <v>0.551021874214288</v>
      </c>
      <c r="AW129" s="192">
        <f t="shared" si="216"/>
        <v>1.11213124315459</v>
      </c>
      <c r="AX129" s="192"/>
      <c r="AY129" s="192">
        <f t="shared" si="217"/>
        <v>3.20293798028522</v>
      </c>
      <c r="AZ129" s="192"/>
      <c r="BA129" s="192">
        <f t="shared" si="218"/>
        <v>0.543705385806624</v>
      </c>
      <c r="BB129" s="192"/>
      <c r="BC129" s="192"/>
      <c r="BD129" s="5">
        <f t="shared" si="219"/>
        <v>0.36123408734984</v>
      </c>
      <c r="BE129" s="5">
        <f t="shared" si="220"/>
        <v>0.177947772050733</v>
      </c>
      <c r="BF129" s="5">
        <f t="shared" si="221"/>
        <v>0.134742345914959</v>
      </c>
      <c r="BG129" s="5"/>
      <c r="BH129" s="217">
        <f t="shared" si="222"/>
        <v>0.0456715230522151</v>
      </c>
      <c r="BI129" s="217">
        <f t="shared" si="223"/>
        <v>0.0245456</v>
      </c>
      <c r="BJ129" s="217">
        <f t="shared" si="224"/>
        <v>0.00326869133105699</v>
      </c>
      <c r="BK129" s="217">
        <f t="shared" si="225"/>
        <v>0.00648609846200957</v>
      </c>
      <c r="BL129">
        <f t="shared" si="226"/>
        <v>0.0029</v>
      </c>
      <c r="BM129">
        <f t="shared" si="227"/>
        <v>3.26869133105699e-6</v>
      </c>
      <c r="BN129">
        <f t="shared" si="228"/>
        <v>0.105099795747586</v>
      </c>
      <c r="BO129" s="220">
        <f t="shared" si="229"/>
        <v>82.8719128452817</v>
      </c>
      <c r="BP129" s="5">
        <f t="shared" si="230"/>
        <v>0.07315</v>
      </c>
      <c r="BQ129" s="5">
        <f t="shared" si="231"/>
        <v>0.05852</v>
      </c>
      <c r="BR129" s="217"/>
      <c r="BT129" s="220">
        <f t="shared" si="232"/>
        <v>131.67</v>
      </c>
      <c r="BU129" s="217">
        <f t="shared" si="233"/>
        <v>0.00535009270040234</v>
      </c>
      <c r="BV129" s="217">
        <f t="shared" si="234"/>
        <v>0.00316654095778198</v>
      </c>
      <c r="BW129" s="217">
        <f t="shared" si="235"/>
        <v>0.00127088498478664</v>
      </c>
      <c r="BX129" s="217">
        <f t="shared" si="236"/>
        <v>0</v>
      </c>
      <c r="BY129" s="217">
        <f t="shared" si="180"/>
        <v>0.0135173598402151</v>
      </c>
      <c r="BZ129" s="217">
        <f t="shared" si="166"/>
        <v>0.00978751864297096</v>
      </c>
      <c r="CA129" s="225">
        <f t="shared" si="237"/>
        <v>0.00743111111111111</v>
      </c>
      <c r="CB129" s="220">
        <f t="shared" si="238"/>
        <v>40.5235082372681</v>
      </c>
      <c r="CC129" s="5">
        <f t="shared" si="168"/>
        <v>0.257718266698912</v>
      </c>
      <c r="CD129" s="192">
        <f t="shared" si="239"/>
        <v>2.09</v>
      </c>
      <c r="CE129" s="5">
        <f t="shared" si="240"/>
        <v>0.8902260674313</v>
      </c>
      <c r="CF129" s="192">
        <f t="shared" si="241"/>
        <v>89.02260674313</v>
      </c>
      <c r="CG129">
        <f t="shared" si="242"/>
        <v>19</v>
      </c>
      <c r="CI129" s="227">
        <f t="shared" si="243"/>
        <v>-50</v>
      </c>
      <c r="CJ129">
        <f t="shared" si="244"/>
        <v>-50</v>
      </c>
    </row>
    <row r="130" spans="5:88">
      <c r="E130" s="22">
        <v>20</v>
      </c>
      <c r="F130" s="25">
        <f t="shared" si="245"/>
        <v>0.1</v>
      </c>
      <c r="G130" s="25">
        <f t="shared" si="183"/>
        <v>0.08</v>
      </c>
      <c r="H130" s="25">
        <f t="shared" si="184"/>
        <v>1.8</v>
      </c>
      <c r="I130" s="25">
        <f t="shared" si="185"/>
        <v>0.4</v>
      </c>
      <c r="J130" s="212">
        <f t="shared" si="186"/>
        <v>10</v>
      </c>
      <c r="K130" s="131">
        <f t="shared" si="187"/>
        <v>12.2728</v>
      </c>
      <c r="L130" s="131">
        <f t="shared" si="188"/>
        <v>22.2728</v>
      </c>
      <c r="M130" s="131"/>
      <c r="N130" s="25">
        <f t="shared" si="189"/>
        <v>0.551021874214288</v>
      </c>
      <c r="O130" s="27">
        <f t="shared" si="190"/>
        <v>3.04314353259255</v>
      </c>
      <c r="P130" s="27">
        <f t="shared" si="191"/>
        <v>0.676254118353899</v>
      </c>
      <c r="Q130" s="25">
        <f t="shared" si="192"/>
        <v>0.169063529588475</v>
      </c>
      <c r="R130" s="25">
        <f t="shared" si="193"/>
        <v>0.608628706518509</v>
      </c>
      <c r="S130" s="25">
        <f t="shared" si="194"/>
        <v>18</v>
      </c>
      <c r="T130" s="25">
        <f t="shared" si="195"/>
        <v>0.887240437752139</v>
      </c>
      <c r="U130" s="25">
        <f t="shared" si="196"/>
        <v>2.21810109438035</v>
      </c>
      <c r="V130" s="25">
        <f t="shared" si="197"/>
        <v>1.80733092234889</v>
      </c>
      <c r="W130" s="24">
        <f t="shared" si="198"/>
        <v>350</v>
      </c>
      <c r="X130" s="131">
        <f t="shared" si="199"/>
        <v>248.420541160331</v>
      </c>
      <c r="Z130" s="25">
        <f t="shared" si="200"/>
        <v>0.62973928481633</v>
      </c>
      <c r="AA130" s="5">
        <f t="shared" si="201"/>
        <v>1.28279464510203</v>
      </c>
      <c r="AB130" s="5">
        <f t="shared" si="202"/>
        <v>0.077149236385196</v>
      </c>
      <c r="AC130" s="5"/>
      <c r="AD130" s="5">
        <f t="shared" si="203"/>
        <v>0.611107489733394</v>
      </c>
      <c r="AE130" s="216">
        <f t="shared" si="204"/>
        <v>1999.01234567901</v>
      </c>
      <c r="AF130" s="217">
        <f t="shared" si="205"/>
        <v>0.0175086462450593</v>
      </c>
      <c r="AH130" s="5">
        <f t="shared" si="206"/>
        <v>0.709124208342335</v>
      </c>
      <c r="AI130" s="5">
        <f t="shared" si="207"/>
        <v>0.887240437752139</v>
      </c>
      <c r="AJ130" s="5">
        <f t="shared" si="208"/>
        <v>1.63499291685344</v>
      </c>
      <c r="AL130" s="216">
        <f t="shared" si="209"/>
        <v>100</v>
      </c>
      <c r="AM130" s="220">
        <f t="shared" si="210"/>
        <v>248.420541160331</v>
      </c>
      <c r="AO130" s="220">
        <f t="shared" si="211"/>
        <v>100</v>
      </c>
      <c r="AP130" s="220">
        <f t="shared" si="212"/>
        <v>248.420541160331</v>
      </c>
      <c r="AR130" s="192">
        <f t="shared" si="160"/>
        <v>4.02543201672924</v>
      </c>
      <c r="AS130" s="192">
        <f t="shared" si="246"/>
        <v>2.21810109438035</v>
      </c>
      <c r="AT130" s="192">
        <f t="shared" si="247"/>
        <v>1.80733092234889</v>
      </c>
      <c r="AU130" s="5">
        <f t="shared" si="248"/>
        <v>0.551021874214288</v>
      </c>
      <c r="AW130" s="192">
        <f t="shared" si="216"/>
        <v>1.23227838576686</v>
      </c>
      <c r="AX130" s="192"/>
      <c r="AY130" s="192">
        <f t="shared" si="217"/>
        <v>3.54896175100856</v>
      </c>
      <c r="AZ130" s="192"/>
      <c r="BA130" s="192">
        <f t="shared" si="218"/>
        <v>0.602443640782964</v>
      </c>
      <c r="BB130" s="192"/>
      <c r="BC130" s="192"/>
      <c r="BD130" s="5">
        <f t="shared" si="219"/>
        <v>0.380246407736674</v>
      </c>
      <c r="BE130" s="5">
        <f t="shared" si="220"/>
        <v>0.18731344426393</v>
      </c>
      <c r="BF130" s="5">
        <f t="shared" si="221"/>
        <v>0.141834048331536</v>
      </c>
      <c r="BG130" s="5"/>
      <c r="BH130" s="217">
        <f t="shared" si="222"/>
        <v>0.0506055657088257</v>
      </c>
      <c r="BI130" s="217">
        <f t="shared" si="223"/>
        <v>0.0245456</v>
      </c>
      <c r="BJ130" s="217">
        <f t="shared" si="224"/>
        <v>0.00310525676450414</v>
      </c>
      <c r="BK130" s="217">
        <f t="shared" si="225"/>
        <v>0.00616179353890909</v>
      </c>
      <c r="BL130">
        <f t="shared" si="226"/>
        <v>0.0029</v>
      </c>
      <c r="BM130">
        <f t="shared" si="227"/>
        <v>3.10525676450414e-6</v>
      </c>
      <c r="BN130">
        <f t="shared" si="228"/>
        <v>0.112147551392636</v>
      </c>
      <c r="BO130" s="220">
        <f t="shared" si="229"/>
        <v>87.3182160122389</v>
      </c>
      <c r="BP130" s="5">
        <f t="shared" si="230"/>
        <v>0.077</v>
      </c>
      <c r="BQ130" s="5">
        <f t="shared" si="231"/>
        <v>0.0616</v>
      </c>
      <c r="BR130" s="217"/>
      <c r="BT130" s="220">
        <f t="shared" si="232"/>
        <v>138.6</v>
      </c>
      <c r="BU130" s="217">
        <f t="shared" si="233"/>
        <v>0.00592808055446244</v>
      </c>
      <c r="BV130" s="217">
        <f t="shared" si="234"/>
        <v>0.00350863264020164</v>
      </c>
      <c r="BW130" s="217">
        <f t="shared" si="235"/>
        <v>0.00140818280862786</v>
      </c>
      <c r="BX130" s="217">
        <f t="shared" si="236"/>
        <v>0</v>
      </c>
      <c r="BY130" s="217">
        <f t="shared" si="180"/>
        <v>0.0149789520987628</v>
      </c>
      <c r="BZ130" s="217">
        <f t="shared" si="166"/>
        <v>0.010844896003292</v>
      </c>
      <c r="CA130" s="225">
        <f t="shared" si="237"/>
        <v>0.00782222222222223</v>
      </c>
      <c r="CB130" s="220">
        <f t="shared" si="238"/>
        <v>44.490966327569</v>
      </c>
      <c r="CC130" s="5">
        <f t="shared" si="168"/>
        <v>0.273548725713621</v>
      </c>
      <c r="CD130" s="192">
        <f t="shared" si="239"/>
        <v>2.2</v>
      </c>
      <c r="CE130" s="5">
        <f t="shared" si="240"/>
        <v>0.889410415541864</v>
      </c>
      <c r="CF130" s="192">
        <f t="shared" si="241"/>
        <v>88.9410415541864</v>
      </c>
      <c r="CG130">
        <f t="shared" si="242"/>
        <v>20</v>
      </c>
      <c r="CI130" s="227">
        <f t="shared" si="243"/>
        <v>-50</v>
      </c>
      <c r="CJ130">
        <f t="shared" si="244"/>
        <v>-50</v>
      </c>
    </row>
    <row r="131" spans="5:88">
      <c r="E131" s="22">
        <v>21</v>
      </c>
      <c r="F131" s="25">
        <f t="shared" si="245"/>
        <v>0.105</v>
      </c>
      <c r="G131" s="25">
        <f t="shared" si="183"/>
        <v>0.084</v>
      </c>
      <c r="H131" s="25">
        <f t="shared" si="184"/>
        <v>1.89</v>
      </c>
      <c r="I131" s="25">
        <f t="shared" si="185"/>
        <v>0.42</v>
      </c>
      <c r="J131" s="212">
        <f t="shared" si="186"/>
        <v>10</v>
      </c>
      <c r="K131" s="131">
        <f t="shared" si="187"/>
        <v>12.2728</v>
      </c>
      <c r="L131" s="131">
        <f t="shared" si="188"/>
        <v>22.2728</v>
      </c>
      <c r="M131" s="131"/>
      <c r="N131" s="25">
        <f t="shared" si="189"/>
        <v>0.551021874214288</v>
      </c>
      <c r="O131" s="27">
        <f t="shared" si="190"/>
        <v>3.04314353259255</v>
      </c>
      <c r="P131" s="27">
        <f t="shared" si="191"/>
        <v>0.676254118353899</v>
      </c>
      <c r="Q131" s="25">
        <f t="shared" si="192"/>
        <v>0.169063529588475</v>
      </c>
      <c r="R131" s="25">
        <f t="shared" si="193"/>
        <v>0.608628706518509</v>
      </c>
      <c r="S131" s="25">
        <f t="shared" si="194"/>
        <v>18</v>
      </c>
      <c r="T131" s="25">
        <f t="shared" si="195"/>
        <v>0.931602459639745</v>
      </c>
      <c r="U131" s="25">
        <f t="shared" si="196"/>
        <v>2.32900614909936</v>
      </c>
      <c r="V131" s="25">
        <f t="shared" si="197"/>
        <v>1.89769746846633</v>
      </c>
      <c r="W131" s="24">
        <f t="shared" si="198"/>
        <v>350</v>
      </c>
      <c r="X131" s="131">
        <f t="shared" si="199"/>
        <v>236.590991581268</v>
      </c>
      <c r="Z131" s="25">
        <f t="shared" si="200"/>
        <v>0.62973928481633</v>
      </c>
      <c r="AA131" s="5">
        <f t="shared" si="201"/>
        <v>1.28279464510203</v>
      </c>
      <c r="AB131" s="5">
        <f t="shared" si="202"/>
        <v>0.077149236385196</v>
      </c>
      <c r="AC131" s="5"/>
      <c r="AD131" s="5">
        <f t="shared" si="203"/>
        <v>0.611107489733394</v>
      </c>
      <c r="AE131" s="216">
        <f t="shared" si="204"/>
        <v>2098.96296296296</v>
      </c>
      <c r="AF131" s="217">
        <f t="shared" si="205"/>
        <v>0.0175086462450593</v>
      </c>
      <c r="AH131" s="5">
        <f t="shared" si="206"/>
        <v>0.726636084983398</v>
      </c>
      <c r="AI131" s="5">
        <f t="shared" si="207"/>
        <v>0.931602459639745</v>
      </c>
      <c r="AJ131" s="5">
        <f t="shared" si="208"/>
        <v>1.66785367380722</v>
      </c>
      <c r="AL131" s="216">
        <f t="shared" si="209"/>
        <v>105</v>
      </c>
      <c r="AM131" s="220">
        <f t="shared" si="210"/>
        <v>236.590991581268</v>
      </c>
      <c r="AO131" s="220">
        <f t="shared" si="211"/>
        <v>105</v>
      </c>
      <c r="AP131" s="220">
        <f t="shared" si="212"/>
        <v>236.590991581268</v>
      </c>
      <c r="AR131" s="192">
        <f t="shared" si="160"/>
        <v>4.2267036175657</v>
      </c>
      <c r="AS131" s="192">
        <f t="shared" si="246"/>
        <v>2.32900614909936</v>
      </c>
      <c r="AT131" s="192">
        <f t="shared" si="247"/>
        <v>1.89769746846633</v>
      </c>
      <c r="AU131" s="5">
        <f t="shared" si="248"/>
        <v>0.551021874214288</v>
      </c>
      <c r="AW131" s="192">
        <f t="shared" si="216"/>
        <v>1.35858692030796</v>
      </c>
      <c r="AX131" s="192"/>
      <c r="AY131" s="192">
        <f t="shared" si="217"/>
        <v>3.91273033048693</v>
      </c>
      <c r="AZ131" s="192"/>
      <c r="BA131" s="192">
        <f t="shared" si="218"/>
        <v>0.664194113963217</v>
      </c>
      <c r="BB131" s="192"/>
      <c r="BC131" s="192"/>
      <c r="BD131" s="5">
        <f t="shared" si="219"/>
        <v>0.399258728123507</v>
      </c>
      <c r="BE131" s="5">
        <f t="shared" si="220"/>
        <v>0.196679116477126</v>
      </c>
      <c r="BF131" s="5">
        <f t="shared" si="221"/>
        <v>0.148925750748112</v>
      </c>
      <c r="BG131" s="5"/>
      <c r="BH131" s="217">
        <f t="shared" si="222"/>
        <v>0.0557926361939802</v>
      </c>
      <c r="BI131" s="217">
        <f t="shared" si="223"/>
        <v>0.0245456</v>
      </c>
      <c r="BJ131" s="217">
        <f t="shared" si="224"/>
        <v>0.00295738739476585</v>
      </c>
      <c r="BK131" s="217">
        <f t="shared" si="225"/>
        <v>0.00586837479896104</v>
      </c>
      <c r="BL131">
        <f t="shared" si="226"/>
        <v>0.0029</v>
      </c>
      <c r="BM131">
        <f t="shared" si="227"/>
        <v>2.95738739476585e-6</v>
      </c>
      <c r="BN131">
        <f t="shared" si="228"/>
        <v>0.119674082299288</v>
      </c>
      <c r="BO131" s="220">
        <f t="shared" si="229"/>
        <v>92.0639983877071</v>
      </c>
      <c r="BP131" s="5">
        <f t="shared" si="230"/>
        <v>0.08085</v>
      </c>
      <c r="BQ131" s="5">
        <f t="shared" si="231"/>
        <v>0.06468</v>
      </c>
      <c r="BR131" s="217"/>
      <c r="BT131" s="220">
        <f t="shared" si="232"/>
        <v>145.53</v>
      </c>
      <c r="BU131" s="217">
        <f t="shared" si="233"/>
        <v>0.00653570881129483</v>
      </c>
      <c r="BV131" s="217">
        <f t="shared" si="234"/>
        <v>0.00386826748582231</v>
      </c>
      <c r="BW131" s="217">
        <f t="shared" si="235"/>
        <v>0.00155252154651222</v>
      </c>
      <c r="BX131" s="217">
        <f t="shared" si="236"/>
        <v>0</v>
      </c>
      <c r="BY131" s="217">
        <f t="shared" si="180"/>
        <v>0.0165157646805917</v>
      </c>
      <c r="BZ131" s="217">
        <f t="shared" si="166"/>
        <v>0.0119564978436294</v>
      </c>
      <c r="CA131" s="225">
        <f t="shared" si="237"/>
        <v>0.00821333333333333</v>
      </c>
      <c r="CB131" s="220">
        <f t="shared" si="238"/>
        <v>48.6420937011837</v>
      </c>
      <c r="CC131" s="5">
        <f t="shared" si="168"/>
        <v>0.289933180313213</v>
      </c>
      <c r="CD131" s="192">
        <f t="shared" si="239"/>
        <v>2.31</v>
      </c>
      <c r="CE131" s="5">
        <f t="shared" si="240"/>
        <v>0.888484372402876</v>
      </c>
      <c r="CF131" s="192">
        <f t="shared" si="241"/>
        <v>88.8484372402877</v>
      </c>
      <c r="CG131">
        <f t="shared" si="242"/>
        <v>21</v>
      </c>
      <c r="CI131" s="227">
        <f t="shared" si="243"/>
        <v>-50</v>
      </c>
      <c r="CJ131">
        <f t="shared" si="244"/>
        <v>-50</v>
      </c>
    </row>
    <row r="132" spans="5:88">
      <c r="E132" s="22">
        <v>22</v>
      </c>
      <c r="F132" s="25">
        <f t="shared" si="245"/>
        <v>0.11</v>
      </c>
      <c r="G132" s="25">
        <f t="shared" si="183"/>
        <v>0.088</v>
      </c>
      <c r="H132" s="25">
        <f t="shared" si="184"/>
        <v>1.98</v>
      </c>
      <c r="I132" s="25">
        <f t="shared" si="185"/>
        <v>0.44</v>
      </c>
      <c r="J132" s="212">
        <f t="shared" si="186"/>
        <v>10</v>
      </c>
      <c r="K132" s="131">
        <f t="shared" si="187"/>
        <v>12.2728</v>
      </c>
      <c r="L132" s="131">
        <f t="shared" si="188"/>
        <v>22.2728</v>
      </c>
      <c r="M132" s="131"/>
      <c r="N132" s="25">
        <f t="shared" si="189"/>
        <v>0.551021874214288</v>
      </c>
      <c r="O132" s="27">
        <f t="shared" si="190"/>
        <v>3.04314353259255</v>
      </c>
      <c r="P132" s="27">
        <f t="shared" si="191"/>
        <v>0.676254118353899</v>
      </c>
      <c r="Q132" s="25">
        <f t="shared" si="192"/>
        <v>0.169063529588475</v>
      </c>
      <c r="R132" s="25">
        <f t="shared" si="193"/>
        <v>0.608628706518509</v>
      </c>
      <c r="S132" s="25">
        <f t="shared" si="194"/>
        <v>18</v>
      </c>
      <c r="T132" s="25">
        <f t="shared" si="195"/>
        <v>0.975964481527352</v>
      </c>
      <c r="U132" s="25">
        <f t="shared" si="196"/>
        <v>2.43991120381838</v>
      </c>
      <c r="V132" s="25">
        <f t="shared" si="197"/>
        <v>1.98806401458378</v>
      </c>
      <c r="W132" s="24">
        <f t="shared" si="198"/>
        <v>350</v>
      </c>
      <c r="X132" s="131">
        <f t="shared" si="199"/>
        <v>225.836855600301</v>
      </c>
      <c r="Z132" s="25">
        <f t="shared" si="200"/>
        <v>0.62973928481633</v>
      </c>
      <c r="AA132" s="5">
        <f t="shared" si="201"/>
        <v>1.28279464510203</v>
      </c>
      <c r="AB132" s="5">
        <f t="shared" si="202"/>
        <v>0.077149236385196</v>
      </c>
      <c r="AC132" s="5"/>
      <c r="AD132" s="5">
        <f t="shared" si="203"/>
        <v>0.611107489733394</v>
      </c>
      <c r="AE132" s="216">
        <f t="shared" si="204"/>
        <v>2198.91358024691</v>
      </c>
      <c r="AF132" s="217">
        <f t="shared" si="205"/>
        <v>0.0175086462450593</v>
      </c>
      <c r="AH132" s="5">
        <f t="shared" si="206"/>
        <v>0.743735744161095</v>
      </c>
      <c r="AI132" s="5">
        <f t="shared" si="207"/>
        <v>0.975964481527352</v>
      </c>
      <c r="AJ132" s="5">
        <f t="shared" si="208"/>
        <v>1.700714430761</v>
      </c>
      <c r="AL132" s="216">
        <f t="shared" si="209"/>
        <v>110</v>
      </c>
      <c r="AM132" s="220">
        <f t="shared" si="210"/>
        <v>225.836855600301</v>
      </c>
      <c r="AO132" s="220">
        <f t="shared" si="211"/>
        <v>110</v>
      </c>
      <c r="AP132" s="220">
        <f t="shared" si="212"/>
        <v>225.836855600301</v>
      </c>
      <c r="AR132" s="192">
        <f t="shared" si="160"/>
        <v>4.42797521840216</v>
      </c>
      <c r="AS132" s="192">
        <f t="shared" si="246"/>
        <v>2.43991120381838</v>
      </c>
      <c r="AT132" s="192">
        <f t="shared" si="247"/>
        <v>1.98806401458378</v>
      </c>
      <c r="AU132" s="5">
        <f t="shared" si="248"/>
        <v>0.551021874214288</v>
      </c>
      <c r="AW132" s="192">
        <f t="shared" si="216"/>
        <v>1.4910568467779</v>
      </c>
      <c r="AX132" s="192"/>
      <c r="AY132" s="192">
        <f t="shared" si="217"/>
        <v>4.29424371872035</v>
      </c>
      <c r="AZ132" s="192"/>
      <c r="BA132" s="192">
        <f t="shared" si="218"/>
        <v>0.728956805347386</v>
      </c>
      <c r="BB132" s="192"/>
      <c r="BC132" s="192"/>
      <c r="BD132" s="5">
        <f t="shared" si="219"/>
        <v>0.418271048510341</v>
      </c>
      <c r="BE132" s="5">
        <f t="shared" si="220"/>
        <v>0.206044788690323</v>
      </c>
      <c r="BF132" s="5">
        <f t="shared" si="221"/>
        <v>0.156017453164689</v>
      </c>
      <c r="BG132" s="5"/>
      <c r="BH132" s="217">
        <f t="shared" si="222"/>
        <v>0.061232734507679</v>
      </c>
      <c r="BI132" s="217">
        <f t="shared" si="223"/>
        <v>0.0245456</v>
      </c>
      <c r="BJ132" s="217">
        <f t="shared" si="224"/>
        <v>0.00282296069500376</v>
      </c>
      <c r="BK132" s="217">
        <f t="shared" si="225"/>
        <v>0.00560163048991736</v>
      </c>
      <c r="BL132">
        <f t="shared" si="226"/>
        <v>0.0029</v>
      </c>
      <c r="BM132">
        <f t="shared" si="227"/>
        <v>2.82296069500376e-6</v>
      </c>
      <c r="BN132">
        <f t="shared" si="228"/>
        <v>0.127680494686356</v>
      </c>
      <c r="BO132" s="220">
        <f t="shared" si="229"/>
        <v>97.1029256926001</v>
      </c>
      <c r="BP132" s="5">
        <f t="shared" si="230"/>
        <v>0.0847</v>
      </c>
      <c r="BQ132" s="5">
        <f t="shared" si="231"/>
        <v>0.06776</v>
      </c>
      <c r="BR132" s="217"/>
      <c r="BT132" s="220">
        <f t="shared" si="232"/>
        <v>152.46</v>
      </c>
      <c r="BU132" s="217">
        <f t="shared" si="233"/>
        <v>0.00717297747089954</v>
      </c>
      <c r="BV132" s="217">
        <f t="shared" si="234"/>
        <v>0.00424544549464398</v>
      </c>
      <c r="BW132" s="217">
        <f t="shared" si="235"/>
        <v>0.00170390119843971</v>
      </c>
      <c r="BX132" s="217">
        <f t="shared" si="236"/>
        <v>0</v>
      </c>
      <c r="BY132" s="217">
        <f t="shared" si="180"/>
        <v>0.0181278376953073</v>
      </c>
      <c r="BZ132" s="217">
        <f t="shared" si="166"/>
        <v>0.0131223241639832</v>
      </c>
      <c r="CA132" s="225">
        <f t="shared" si="237"/>
        <v>0.00860444444444444</v>
      </c>
      <c r="CB132" s="220">
        <f t="shared" si="238"/>
        <v>52.9769304677182</v>
      </c>
      <c r="CC132" s="5">
        <f t="shared" si="168"/>
        <v>0.306872776826108</v>
      </c>
      <c r="CD132" s="192">
        <f t="shared" si="239"/>
        <v>2.42</v>
      </c>
      <c r="CE132" s="5">
        <f t="shared" si="240"/>
        <v>0.887463478518684</v>
      </c>
      <c r="CF132" s="192">
        <f t="shared" si="241"/>
        <v>88.7463478518684</v>
      </c>
      <c r="CG132">
        <f t="shared" si="242"/>
        <v>22</v>
      </c>
      <c r="CI132" s="227">
        <f t="shared" si="243"/>
        <v>-50</v>
      </c>
      <c r="CJ132">
        <f t="shared" si="244"/>
        <v>-50</v>
      </c>
    </row>
    <row r="133" spans="5:88">
      <c r="E133" s="22">
        <v>23</v>
      </c>
      <c r="F133" s="25">
        <f t="shared" si="245"/>
        <v>0.115</v>
      </c>
      <c r="G133" s="25">
        <f t="shared" si="183"/>
        <v>0.092</v>
      </c>
      <c r="H133" s="25">
        <f t="shared" si="184"/>
        <v>2.07</v>
      </c>
      <c r="I133" s="25">
        <f t="shared" si="185"/>
        <v>0.46</v>
      </c>
      <c r="J133" s="212">
        <f t="shared" si="186"/>
        <v>10</v>
      </c>
      <c r="K133" s="131">
        <f t="shared" si="187"/>
        <v>12.2728</v>
      </c>
      <c r="L133" s="131">
        <f t="shared" si="188"/>
        <v>22.2728</v>
      </c>
      <c r="M133" s="131"/>
      <c r="N133" s="25">
        <f t="shared" si="189"/>
        <v>0.551021874214288</v>
      </c>
      <c r="O133" s="27">
        <f t="shared" si="190"/>
        <v>3.04314353259255</v>
      </c>
      <c r="P133" s="27">
        <f t="shared" si="191"/>
        <v>0.676254118353899</v>
      </c>
      <c r="Q133" s="25">
        <f t="shared" si="192"/>
        <v>0.169063529588475</v>
      </c>
      <c r="R133" s="25">
        <f t="shared" si="193"/>
        <v>0.608628706518509</v>
      </c>
      <c r="S133" s="25">
        <f t="shared" si="194"/>
        <v>18</v>
      </c>
      <c r="T133" s="25">
        <f t="shared" si="195"/>
        <v>1.02032650341496</v>
      </c>
      <c r="U133" s="25">
        <f t="shared" si="196"/>
        <v>2.5508162585374</v>
      </c>
      <c r="V133" s="25">
        <f t="shared" si="197"/>
        <v>2.07843056070123</v>
      </c>
      <c r="W133" s="24">
        <f t="shared" si="198"/>
        <v>350</v>
      </c>
      <c r="X133" s="131">
        <f t="shared" si="199"/>
        <v>216.017861878549</v>
      </c>
      <c r="Z133" s="25">
        <f t="shared" si="200"/>
        <v>0.62973928481633</v>
      </c>
      <c r="AA133" s="5">
        <f t="shared" si="201"/>
        <v>1.28279464510203</v>
      </c>
      <c r="AB133" s="5">
        <f t="shared" si="202"/>
        <v>0.077149236385196</v>
      </c>
      <c r="AC133" s="5"/>
      <c r="AD133" s="5">
        <f t="shared" si="203"/>
        <v>0.611107489733394</v>
      </c>
      <c r="AE133" s="216">
        <f t="shared" si="204"/>
        <v>2298.86419753086</v>
      </c>
      <c r="AF133" s="217">
        <f t="shared" si="205"/>
        <v>0.0175086462450593</v>
      </c>
      <c r="AH133" s="5">
        <f t="shared" si="206"/>
        <v>0.760450994006658</v>
      </c>
      <c r="AI133" s="5">
        <f t="shared" si="207"/>
        <v>1.02032650341496</v>
      </c>
      <c r="AJ133" s="5">
        <f t="shared" si="208"/>
        <v>1.73357518771479</v>
      </c>
      <c r="AL133" s="216">
        <f t="shared" si="209"/>
        <v>115</v>
      </c>
      <c r="AM133" s="220">
        <f t="shared" si="210"/>
        <v>216.017861878549</v>
      </c>
      <c r="AO133" s="220">
        <f t="shared" si="211"/>
        <v>115</v>
      </c>
      <c r="AP133" s="220">
        <f t="shared" si="212"/>
        <v>216.017861878549</v>
      </c>
      <c r="AR133" s="192">
        <f t="shared" si="160"/>
        <v>4.62924681923863</v>
      </c>
      <c r="AS133" s="192">
        <f t="shared" si="246"/>
        <v>2.5508162585374</v>
      </c>
      <c r="AT133" s="192">
        <f t="shared" si="247"/>
        <v>2.07843056070123</v>
      </c>
      <c r="AU133" s="5">
        <f t="shared" si="248"/>
        <v>0.551021874214288</v>
      </c>
      <c r="AW133" s="192">
        <f t="shared" si="216"/>
        <v>1.62968816517667</v>
      </c>
      <c r="AX133" s="192"/>
      <c r="AY133" s="192">
        <f t="shared" si="217"/>
        <v>4.69350191570882</v>
      </c>
      <c r="AZ133" s="192"/>
      <c r="BA133" s="192">
        <f t="shared" si="218"/>
        <v>0.79673171493547</v>
      </c>
      <c r="BB133" s="192"/>
      <c r="BC133" s="192"/>
      <c r="BD133" s="5">
        <f t="shared" si="219"/>
        <v>0.437283368897175</v>
      </c>
      <c r="BE133" s="5">
        <f t="shared" si="220"/>
        <v>0.21541046090352</v>
      </c>
      <c r="BF133" s="5">
        <f t="shared" si="221"/>
        <v>0.163109155581266</v>
      </c>
      <c r="BG133" s="5"/>
      <c r="BH133" s="217">
        <f t="shared" si="222"/>
        <v>0.0669258606499221</v>
      </c>
      <c r="BI133" s="217">
        <f t="shared" si="223"/>
        <v>0.0245456</v>
      </c>
      <c r="BJ133" s="217">
        <f t="shared" si="224"/>
        <v>0.00270022327348186</v>
      </c>
      <c r="BK133" s="217">
        <f t="shared" si="225"/>
        <v>0.00535808133818181</v>
      </c>
      <c r="BL133">
        <f t="shared" si="226"/>
        <v>0.0029</v>
      </c>
      <c r="BM133">
        <f t="shared" si="227"/>
        <v>2.70022327348186e-6</v>
      </c>
      <c r="BN133">
        <f t="shared" si="228"/>
        <v>0.136169479440986</v>
      </c>
      <c r="BO133" s="220">
        <f t="shared" si="229"/>
        <v>102.429765261586</v>
      </c>
      <c r="BP133" s="5">
        <f t="shared" si="230"/>
        <v>0.08855</v>
      </c>
      <c r="BQ133" s="5">
        <f t="shared" si="231"/>
        <v>0.07084</v>
      </c>
      <c r="BR133" s="217"/>
      <c r="BT133" s="220">
        <f t="shared" si="232"/>
        <v>159.39</v>
      </c>
      <c r="BU133" s="217">
        <f t="shared" si="233"/>
        <v>0.00783988653327658</v>
      </c>
      <c r="BV133" s="217">
        <f t="shared" si="234"/>
        <v>0.00464016666666667</v>
      </c>
      <c r="BW133" s="217">
        <f t="shared" si="235"/>
        <v>0.00186232176441035</v>
      </c>
      <c r="BX133" s="217">
        <f t="shared" si="236"/>
        <v>0</v>
      </c>
      <c r="BY133" s="217">
        <f t="shared" si="180"/>
        <v>0.0198152132282574</v>
      </c>
      <c r="BZ133" s="217">
        <f t="shared" si="166"/>
        <v>0.0143423749643536</v>
      </c>
      <c r="CA133" s="225">
        <f t="shared" si="237"/>
        <v>0.00899555555555556</v>
      </c>
      <c r="CB133" s="220">
        <f t="shared" si="238"/>
        <v>57.4955187125202</v>
      </c>
      <c r="CC133" s="5">
        <f t="shared" si="168"/>
        <v>0.324370248224799</v>
      </c>
      <c r="CD133" s="192">
        <f t="shared" si="239"/>
        <v>2.53</v>
      </c>
      <c r="CE133" s="5">
        <f t="shared" si="240"/>
        <v>0.88636013550571</v>
      </c>
      <c r="CF133" s="192">
        <f t="shared" si="241"/>
        <v>88.636013550571</v>
      </c>
      <c r="CG133">
        <f t="shared" si="242"/>
        <v>23</v>
      </c>
      <c r="CI133" s="227">
        <f t="shared" si="243"/>
        <v>-50</v>
      </c>
      <c r="CJ133">
        <f t="shared" si="244"/>
        <v>-50</v>
      </c>
    </row>
    <row r="134" spans="5:88">
      <c r="E134" s="22">
        <v>24</v>
      </c>
      <c r="F134" s="25">
        <f t="shared" si="245"/>
        <v>0.12</v>
      </c>
      <c r="G134" s="25">
        <f t="shared" si="183"/>
        <v>0.096</v>
      </c>
      <c r="H134" s="25">
        <f t="shared" si="184"/>
        <v>2.16</v>
      </c>
      <c r="I134" s="25">
        <f t="shared" si="185"/>
        <v>0.48</v>
      </c>
      <c r="J134" s="212">
        <f t="shared" si="186"/>
        <v>10</v>
      </c>
      <c r="K134" s="131">
        <f t="shared" si="187"/>
        <v>12.2728</v>
      </c>
      <c r="L134" s="131">
        <f t="shared" si="188"/>
        <v>22.2728</v>
      </c>
      <c r="M134" s="131"/>
      <c r="N134" s="25">
        <f t="shared" si="189"/>
        <v>0.551021874214288</v>
      </c>
      <c r="O134" s="27">
        <f t="shared" si="190"/>
        <v>3.04314353259255</v>
      </c>
      <c r="P134" s="27">
        <f t="shared" si="191"/>
        <v>0.676254118353899</v>
      </c>
      <c r="Q134" s="25">
        <f t="shared" si="192"/>
        <v>0.169063529588475</v>
      </c>
      <c r="R134" s="25">
        <f t="shared" si="193"/>
        <v>0.608628706518509</v>
      </c>
      <c r="S134" s="25">
        <f t="shared" si="194"/>
        <v>18</v>
      </c>
      <c r="T134" s="25">
        <f t="shared" si="195"/>
        <v>1.06468852530257</v>
      </c>
      <c r="U134" s="25">
        <f t="shared" si="196"/>
        <v>2.66172131325642</v>
      </c>
      <c r="V134" s="25">
        <f t="shared" si="197"/>
        <v>2.16879710681868</v>
      </c>
      <c r="W134" s="24">
        <f t="shared" si="198"/>
        <v>350</v>
      </c>
      <c r="X134" s="131">
        <f t="shared" si="199"/>
        <v>207.017117633609</v>
      </c>
      <c r="Z134" s="25">
        <f t="shared" si="200"/>
        <v>0.62973928481633</v>
      </c>
      <c r="AA134" s="5">
        <f t="shared" si="201"/>
        <v>1.28279464510203</v>
      </c>
      <c r="AB134" s="5">
        <f t="shared" si="202"/>
        <v>0.077149236385196</v>
      </c>
      <c r="AC134" s="5"/>
      <c r="AD134" s="5">
        <f t="shared" si="203"/>
        <v>0.611107489733394</v>
      </c>
      <c r="AE134" s="216">
        <f t="shared" si="204"/>
        <v>2398.81481481482</v>
      </c>
      <c r="AF134" s="217">
        <f t="shared" si="205"/>
        <v>0.0175086462450593</v>
      </c>
      <c r="AH134" s="5">
        <f t="shared" si="206"/>
        <v>0.77680664996418</v>
      </c>
      <c r="AI134" s="5">
        <f t="shared" si="207"/>
        <v>1.06468852530257</v>
      </c>
      <c r="AJ134" s="5">
        <f t="shared" si="208"/>
        <v>1.76643594466857</v>
      </c>
      <c r="AL134" s="216">
        <f t="shared" si="209"/>
        <v>120</v>
      </c>
      <c r="AM134" s="220">
        <f t="shared" si="210"/>
        <v>207.017117633609</v>
      </c>
      <c r="AO134" s="220">
        <f t="shared" si="211"/>
        <v>120</v>
      </c>
      <c r="AP134" s="220">
        <f t="shared" si="212"/>
        <v>207.017117633609</v>
      </c>
      <c r="AR134" s="192">
        <f t="shared" ref="AR134:AR197" si="249">1/AM134*1000</f>
        <v>4.8305184200751</v>
      </c>
      <c r="AS134" s="192">
        <f t="shared" si="246"/>
        <v>2.66172131325642</v>
      </c>
      <c r="AT134" s="192">
        <f t="shared" si="247"/>
        <v>2.16879710681868</v>
      </c>
      <c r="AU134" s="5">
        <f t="shared" si="248"/>
        <v>0.551021874214288</v>
      </c>
      <c r="AW134" s="192">
        <f t="shared" si="216"/>
        <v>1.77448087550428</v>
      </c>
      <c r="AX134" s="192"/>
      <c r="AY134" s="192">
        <f t="shared" si="217"/>
        <v>5.11050492145234</v>
      </c>
      <c r="AZ134" s="192"/>
      <c r="BA134" s="192">
        <f t="shared" si="218"/>
        <v>0.867518842727471</v>
      </c>
      <c r="BB134" s="192"/>
      <c r="BC134" s="192"/>
      <c r="BD134" s="5">
        <f t="shared" si="219"/>
        <v>0.45629568928401</v>
      </c>
      <c r="BE134" s="5">
        <f t="shared" si="220"/>
        <v>0.224776133116717</v>
      </c>
      <c r="BF134" s="5">
        <f t="shared" si="221"/>
        <v>0.170200857997843</v>
      </c>
      <c r="BG134" s="5"/>
      <c r="BH134" s="217">
        <f t="shared" si="222"/>
        <v>0.0728720146207095</v>
      </c>
      <c r="BI134" s="217">
        <f t="shared" si="223"/>
        <v>0.0245456</v>
      </c>
      <c r="BJ134" s="217">
        <f t="shared" si="224"/>
        <v>0.00258771397042011</v>
      </c>
      <c r="BK134" s="217">
        <f t="shared" si="225"/>
        <v>0.00513482794909089</v>
      </c>
      <c r="BL134">
        <f t="shared" si="226"/>
        <v>0.0029</v>
      </c>
      <c r="BM134">
        <f t="shared" si="227"/>
        <v>2.58771397042011e-6</v>
      </c>
      <c r="BN134">
        <f t="shared" si="228"/>
        <v>0.145145102001846</v>
      </c>
      <c r="BO134" s="220">
        <f t="shared" si="229"/>
        <v>108.04015654022</v>
      </c>
      <c r="BP134" s="5">
        <f t="shared" si="230"/>
        <v>0.0924</v>
      </c>
      <c r="BQ134" s="5">
        <f t="shared" si="231"/>
        <v>0.07392</v>
      </c>
      <c r="BR134" s="217"/>
      <c r="BT134" s="220">
        <f t="shared" si="232"/>
        <v>166.32</v>
      </c>
      <c r="BU134" s="217">
        <f t="shared" si="233"/>
        <v>0.00853643599842597</v>
      </c>
      <c r="BV134" s="217">
        <f t="shared" si="234"/>
        <v>0.0050524310018904</v>
      </c>
      <c r="BW134" s="217">
        <f t="shared" si="235"/>
        <v>0.00202778324442414</v>
      </c>
      <c r="BX134" s="217">
        <f t="shared" si="236"/>
        <v>0</v>
      </c>
      <c r="BY134" s="217">
        <f t="shared" si="180"/>
        <v>0.0215779353432827</v>
      </c>
      <c r="BZ134" s="217">
        <f t="shared" ref="BZ134:BZ197" si="250">SUM(BU134:BX134)</f>
        <v>0.0156166502447405</v>
      </c>
      <c r="CA134" s="225">
        <f t="shared" si="237"/>
        <v>0.0093866666666667</v>
      </c>
      <c r="CB134" s="220">
        <f t="shared" si="238"/>
        <v>62.1979024994304</v>
      </c>
      <c r="CC134" s="5">
        <f t="shared" ref="CC134:CC197" si="251">SUM(BN134,BP134:BS134,BY134,CA134)</f>
        <v>0.342429704011795</v>
      </c>
      <c r="CD134" s="192">
        <f t="shared" si="239"/>
        <v>2.64</v>
      </c>
      <c r="CE134" s="5">
        <f t="shared" si="240"/>
        <v>0.885184316816863</v>
      </c>
      <c r="CF134" s="192">
        <f t="shared" si="241"/>
        <v>88.5184316816863</v>
      </c>
      <c r="CG134">
        <f t="shared" si="242"/>
        <v>24</v>
      </c>
      <c r="CI134" s="227">
        <f t="shared" si="243"/>
        <v>-50</v>
      </c>
      <c r="CJ134">
        <f t="shared" si="244"/>
        <v>-50</v>
      </c>
    </row>
    <row r="135" spans="5:88">
      <c r="E135" s="22">
        <v>25</v>
      </c>
      <c r="F135" s="25">
        <f t="shared" si="245"/>
        <v>0.125</v>
      </c>
      <c r="G135" s="25">
        <f t="shared" si="183"/>
        <v>0.1</v>
      </c>
      <c r="H135" s="25">
        <f t="shared" si="184"/>
        <v>2.25</v>
      </c>
      <c r="I135" s="25">
        <f t="shared" si="185"/>
        <v>0.5</v>
      </c>
      <c r="J135" s="212">
        <f t="shared" si="186"/>
        <v>10</v>
      </c>
      <c r="K135" s="131">
        <f t="shared" si="187"/>
        <v>12.2728</v>
      </c>
      <c r="L135" s="131">
        <f t="shared" si="188"/>
        <v>22.2728</v>
      </c>
      <c r="M135" s="131"/>
      <c r="N135" s="25">
        <f t="shared" si="189"/>
        <v>0.551021874214288</v>
      </c>
      <c r="O135" s="27">
        <f t="shared" si="190"/>
        <v>3.04314353259255</v>
      </c>
      <c r="P135" s="27">
        <f t="shared" si="191"/>
        <v>0.676254118353899</v>
      </c>
      <c r="Q135" s="25">
        <f t="shared" si="192"/>
        <v>0.169063529588475</v>
      </c>
      <c r="R135" s="25">
        <f t="shared" si="193"/>
        <v>0.608628706518509</v>
      </c>
      <c r="S135" s="25">
        <f t="shared" si="194"/>
        <v>18</v>
      </c>
      <c r="T135" s="25">
        <f t="shared" si="195"/>
        <v>1.10905054719017</v>
      </c>
      <c r="U135" s="25">
        <f t="shared" si="196"/>
        <v>2.77262636797542</v>
      </c>
      <c r="V135" s="25">
        <f t="shared" si="197"/>
        <v>2.25916365293611</v>
      </c>
      <c r="W135" s="24">
        <f t="shared" si="198"/>
        <v>350</v>
      </c>
      <c r="X135" s="131">
        <f t="shared" si="199"/>
        <v>198.736432928265</v>
      </c>
      <c r="Z135" s="25">
        <f t="shared" si="200"/>
        <v>0.62973928481633</v>
      </c>
      <c r="AA135" s="5">
        <f t="shared" si="201"/>
        <v>1.28279464510203</v>
      </c>
      <c r="AB135" s="5">
        <f t="shared" si="202"/>
        <v>0.077149236385196</v>
      </c>
      <c r="AC135" s="5"/>
      <c r="AD135" s="5">
        <f t="shared" si="203"/>
        <v>0.611107489733394</v>
      </c>
      <c r="AE135" s="216">
        <f t="shared" si="204"/>
        <v>2498.76543209877</v>
      </c>
      <c r="AF135" s="217">
        <f t="shared" si="205"/>
        <v>0.0175086462450593</v>
      </c>
      <c r="AH135" s="5">
        <f t="shared" si="206"/>
        <v>0.792824967172092</v>
      </c>
      <c r="AI135" s="5">
        <f t="shared" si="207"/>
        <v>1.10905054719017</v>
      </c>
      <c r="AJ135" s="5">
        <f t="shared" si="208"/>
        <v>1.79929670162235</v>
      </c>
      <c r="AL135" s="216">
        <f t="shared" si="209"/>
        <v>125</v>
      </c>
      <c r="AM135" s="220">
        <f t="shared" si="210"/>
        <v>198.736432928265</v>
      </c>
      <c r="AO135" s="220">
        <f t="shared" si="211"/>
        <v>125</v>
      </c>
      <c r="AP135" s="220">
        <f t="shared" si="212"/>
        <v>198.736432928265</v>
      </c>
      <c r="AR135" s="192">
        <f t="shared" si="249"/>
        <v>5.03179002091153</v>
      </c>
      <c r="AS135" s="192">
        <f t="shared" si="246"/>
        <v>2.77262636797542</v>
      </c>
      <c r="AT135" s="192">
        <f t="shared" si="247"/>
        <v>2.25916365293611</v>
      </c>
      <c r="AU135" s="5">
        <f t="shared" si="248"/>
        <v>0.551021874214288</v>
      </c>
      <c r="AW135" s="192">
        <f t="shared" si="216"/>
        <v>1.92543497776071</v>
      </c>
      <c r="AX135" s="192"/>
      <c r="AY135" s="192">
        <f t="shared" si="217"/>
        <v>5.54525273595085</v>
      </c>
      <c r="AZ135" s="192"/>
      <c r="BA135" s="192">
        <f t="shared" si="218"/>
        <v>0.941318188723378</v>
      </c>
      <c r="BB135" s="192"/>
      <c r="BC135" s="192"/>
      <c r="BD135" s="5">
        <f t="shared" si="219"/>
        <v>0.475308009670841</v>
      </c>
      <c r="BE135" s="5">
        <f t="shared" si="220"/>
        <v>0.234141805329912</v>
      </c>
      <c r="BF135" s="5">
        <f t="shared" si="221"/>
        <v>0.177292560414419</v>
      </c>
      <c r="BG135" s="5"/>
      <c r="BH135" s="217">
        <f t="shared" si="222"/>
        <v>0.0790711964200397</v>
      </c>
      <c r="BI135" s="217">
        <f t="shared" si="223"/>
        <v>0.0245456</v>
      </c>
      <c r="BJ135" s="217">
        <f t="shared" si="224"/>
        <v>0.00248420541160332</v>
      </c>
      <c r="BK135" s="217">
        <f t="shared" si="225"/>
        <v>0.00492943483112729</v>
      </c>
      <c r="BL135">
        <f t="shared" si="226"/>
        <v>0.0029</v>
      </c>
      <c r="BM135">
        <f t="shared" si="227"/>
        <v>2.48420541160332e-6</v>
      </c>
      <c r="BN135">
        <f t="shared" si="228"/>
        <v>0.154612648846085</v>
      </c>
      <c r="BO135" s="220">
        <f t="shared" si="229"/>
        <v>113.93043666277</v>
      </c>
      <c r="BP135" s="5">
        <f t="shared" si="230"/>
        <v>0.09625</v>
      </c>
      <c r="BQ135" s="5">
        <f t="shared" si="231"/>
        <v>0.077</v>
      </c>
      <c r="BR135" s="217"/>
      <c r="BT135" s="220">
        <f t="shared" si="232"/>
        <v>173.25</v>
      </c>
      <c r="BU135" s="217">
        <f t="shared" si="233"/>
        <v>0.00926262586634751</v>
      </c>
      <c r="BV135" s="217">
        <f t="shared" si="234"/>
        <v>0.00548223850031503</v>
      </c>
      <c r="BW135" s="217">
        <f t="shared" si="235"/>
        <v>0.00220028563848102</v>
      </c>
      <c r="BX135" s="217">
        <f t="shared" si="236"/>
        <v>0</v>
      </c>
      <c r="BY135" s="217">
        <f t="shared" si="180"/>
        <v>0.0234160500855964</v>
      </c>
      <c r="BZ135" s="217">
        <f t="shared" si="250"/>
        <v>0.0169451500051436</v>
      </c>
      <c r="CA135" s="225">
        <f t="shared" si="237"/>
        <v>0.00977777777777775</v>
      </c>
      <c r="CB135" s="220">
        <f t="shared" si="238"/>
        <v>67.0841278736612</v>
      </c>
      <c r="CC135" s="5">
        <f t="shared" si="251"/>
        <v>0.36105647670946</v>
      </c>
      <c r="CD135" s="192">
        <f t="shared" si="239"/>
        <v>2.75</v>
      </c>
      <c r="CE135" s="5">
        <f t="shared" si="240"/>
        <v>0.883944094421794</v>
      </c>
      <c r="CF135" s="192">
        <f t="shared" si="241"/>
        <v>88.3944094421794</v>
      </c>
      <c r="CG135">
        <f t="shared" si="242"/>
        <v>25</v>
      </c>
      <c r="CI135" s="227">
        <f t="shared" si="243"/>
        <v>-50</v>
      </c>
      <c r="CJ135">
        <f t="shared" si="244"/>
        <v>-50</v>
      </c>
    </row>
    <row r="136" spans="5:88">
      <c r="E136" s="22">
        <v>26</v>
      </c>
      <c r="F136" s="25">
        <f t="shared" si="245"/>
        <v>0.13</v>
      </c>
      <c r="G136" s="25">
        <f t="shared" si="183"/>
        <v>0.104</v>
      </c>
      <c r="H136" s="25">
        <f t="shared" si="184"/>
        <v>2.34</v>
      </c>
      <c r="I136" s="25">
        <f t="shared" si="185"/>
        <v>0.52</v>
      </c>
      <c r="J136" s="212">
        <f t="shared" si="186"/>
        <v>10</v>
      </c>
      <c r="K136" s="131">
        <f t="shared" si="187"/>
        <v>12.2728</v>
      </c>
      <c r="L136" s="131">
        <f t="shared" si="188"/>
        <v>22.2728</v>
      </c>
      <c r="M136" s="131"/>
      <c r="N136" s="25">
        <f t="shared" si="189"/>
        <v>0.551021874214288</v>
      </c>
      <c r="O136" s="27">
        <f t="shared" si="190"/>
        <v>3.04314353259255</v>
      </c>
      <c r="P136" s="27">
        <f t="shared" si="191"/>
        <v>0.676254118353899</v>
      </c>
      <c r="Q136" s="25">
        <f t="shared" si="192"/>
        <v>0.169063529588475</v>
      </c>
      <c r="R136" s="25">
        <f t="shared" si="193"/>
        <v>0.608628706518509</v>
      </c>
      <c r="S136" s="25">
        <f t="shared" si="194"/>
        <v>18</v>
      </c>
      <c r="T136" s="25">
        <f t="shared" si="195"/>
        <v>1.15341256907778</v>
      </c>
      <c r="U136" s="25">
        <f t="shared" si="196"/>
        <v>2.88353142269445</v>
      </c>
      <c r="V136" s="25">
        <f t="shared" si="197"/>
        <v>2.34953019905356</v>
      </c>
      <c r="W136" s="24">
        <f t="shared" si="198"/>
        <v>350</v>
      </c>
      <c r="X136" s="131">
        <f t="shared" si="199"/>
        <v>191.092723969485</v>
      </c>
      <c r="Z136" s="25">
        <f t="shared" si="200"/>
        <v>0.62973928481633</v>
      </c>
      <c r="AA136" s="5">
        <f t="shared" si="201"/>
        <v>1.28279464510203</v>
      </c>
      <c r="AB136" s="5">
        <f t="shared" si="202"/>
        <v>0.077149236385196</v>
      </c>
      <c r="AC136" s="5"/>
      <c r="AD136" s="5">
        <f t="shared" si="203"/>
        <v>0.611107489733394</v>
      </c>
      <c r="AE136" s="216">
        <f t="shared" si="204"/>
        <v>2598.71604938272</v>
      </c>
      <c r="AF136" s="217">
        <f t="shared" si="205"/>
        <v>0.0175086462450593</v>
      </c>
      <c r="AH136" s="5">
        <f t="shared" si="206"/>
        <v>0.808525995694811</v>
      </c>
      <c r="AI136" s="5">
        <f t="shared" si="207"/>
        <v>1.15341256907778</v>
      </c>
      <c r="AJ136" s="5">
        <f t="shared" si="208"/>
        <v>1.83215745857613</v>
      </c>
      <c r="AL136" s="216">
        <f t="shared" si="209"/>
        <v>130</v>
      </c>
      <c r="AM136" s="220">
        <f t="shared" si="210"/>
        <v>191.092723969485</v>
      </c>
      <c r="AO136" s="220">
        <f t="shared" si="211"/>
        <v>130</v>
      </c>
      <c r="AP136" s="220">
        <f t="shared" si="212"/>
        <v>191.092723969485</v>
      </c>
      <c r="AR136" s="192">
        <f t="shared" si="249"/>
        <v>5.23306162174801</v>
      </c>
      <c r="AS136" s="192">
        <f t="shared" si="246"/>
        <v>2.88353142269445</v>
      </c>
      <c r="AT136" s="192">
        <f t="shared" si="247"/>
        <v>2.34953019905356</v>
      </c>
      <c r="AU136" s="5">
        <f t="shared" si="248"/>
        <v>0.551021874214288</v>
      </c>
      <c r="AW136" s="192">
        <f t="shared" si="216"/>
        <v>2.08255047194599</v>
      </c>
      <c r="AX136" s="192"/>
      <c r="AY136" s="192">
        <f t="shared" si="217"/>
        <v>5.99774535920445</v>
      </c>
      <c r="AZ136" s="192"/>
      <c r="BA136" s="192">
        <f t="shared" si="218"/>
        <v>1.01812975292321</v>
      </c>
      <c r="BB136" s="192"/>
      <c r="BC136" s="192"/>
      <c r="BD136" s="5">
        <f t="shared" si="219"/>
        <v>0.494320330057676</v>
      </c>
      <c r="BE136" s="5">
        <f t="shared" si="220"/>
        <v>0.243507477543109</v>
      </c>
      <c r="BF136" s="5">
        <f t="shared" si="221"/>
        <v>0.184384262830996</v>
      </c>
      <c r="BG136" s="5"/>
      <c r="BH136" s="217">
        <f t="shared" si="222"/>
        <v>0.0855234060479154</v>
      </c>
      <c r="BI136" s="217">
        <f t="shared" si="223"/>
        <v>0.0245456</v>
      </c>
      <c r="BJ136" s="217">
        <f t="shared" si="224"/>
        <v>0.00238865904961857</v>
      </c>
      <c r="BK136" s="217">
        <f t="shared" si="225"/>
        <v>0.00473984118377622</v>
      </c>
      <c r="BL136">
        <f t="shared" si="226"/>
        <v>0.0029</v>
      </c>
      <c r="BM136">
        <f t="shared" si="227"/>
        <v>2.38865904961857e-6</v>
      </c>
      <c r="BN136">
        <f t="shared" si="228"/>
        <v>0.164578515846962</v>
      </c>
      <c r="BO136" s="220">
        <f t="shared" si="229"/>
        <v>120.09750628131</v>
      </c>
      <c r="BP136" s="5">
        <f t="shared" si="230"/>
        <v>0.1001</v>
      </c>
      <c r="BQ136" s="5">
        <f t="shared" si="231"/>
        <v>0.08008</v>
      </c>
      <c r="BR136" s="217"/>
      <c r="BT136" s="220">
        <f t="shared" si="232"/>
        <v>180.18</v>
      </c>
      <c r="BU136" s="217">
        <f t="shared" si="233"/>
        <v>0.0100184561370415</v>
      </c>
      <c r="BV136" s="217">
        <f t="shared" si="234"/>
        <v>0.00592958916194077</v>
      </c>
      <c r="BW136" s="217">
        <f t="shared" si="235"/>
        <v>0.00237982894658109</v>
      </c>
      <c r="BX136" s="217">
        <f t="shared" si="236"/>
        <v>0</v>
      </c>
      <c r="BY136" s="217">
        <f t="shared" si="180"/>
        <v>0.0253296054847987</v>
      </c>
      <c r="BZ136" s="217">
        <f t="shared" si="250"/>
        <v>0.0183278742455634</v>
      </c>
      <c r="CA136" s="225">
        <f t="shared" si="237"/>
        <v>0.0101688888888889</v>
      </c>
      <c r="CB136" s="220">
        <f t="shared" si="238"/>
        <v>72.1542428648143</v>
      </c>
      <c r="CC136" s="5">
        <f t="shared" si="251"/>
        <v>0.380257010220649</v>
      </c>
      <c r="CD136" s="192">
        <f t="shared" si="239"/>
        <v>2.86</v>
      </c>
      <c r="CE136" s="5">
        <f t="shared" si="240"/>
        <v>0.882646034243205</v>
      </c>
      <c r="CF136" s="192">
        <f t="shared" si="241"/>
        <v>88.2646034243205</v>
      </c>
      <c r="CG136">
        <f t="shared" si="242"/>
        <v>26</v>
      </c>
      <c r="CI136" s="227">
        <f t="shared" si="243"/>
        <v>-50</v>
      </c>
      <c r="CJ136">
        <f t="shared" si="244"/>
        <v>-50</v>
      </c>
    </row>
    <row r="137" spans="5:88">
      <c r="E137" s="22">
        <v>27</v>
      </c>
      <c r="F137" s="25">
        <f t="shared" si="245"/>
        <v>0.135</v>
      </c>
      <c r="G137" s="25">
        <f t="shared" si="183"/>
        <v>0.108</v>
      </c>
      <c r="H137" s="25">
        <f t="shared" si="184"/>
        <v>2.43</v>
      </c>
      <c r="I137" s="25">
        <f t="shared" si="185"/>
        <v>0.54</v>
      </c>
      <c r="J137" s="212">
        <f t="shared" si="186"/>
        <v>10</v>
      </c>
      <c r="K137" s="131">
        <f t="shared" si="187"/>
        <v>12.2728</v>
      </c>
      <c r="L137" s="131">
        <f t="shared" si="188"/>
        <v>22.2728</v>
      </c>
      <c r="M137" s="131"/>
      <c r="N137" s="25">
        <f t="shared" si="189"/>
        <v>0.551021874214288</v>
      </c>
      <c r="O137" s="27">
        <f t="shared" si="190"/>
        <v>3.04314353259255</v>
      </c>
      <c r="P137" s="27">
        <f t="shared" si="191"/>
        <v>0.676254118353899</v>
      </c>
      <c r="Q137" s="25">
        <f t="shared" si="192"/>
        <v>0.169063529588475</v>
      </c>
      <c r="R137" s="25">
        <f t="shared" si="193"/>
        <v>0.608628706518509</v>
      </c>
      <c r="S137" s="25">
        <f t="shared" si="194"/>
        <v>18</v>
      </c>
      <c r="T137" s="25">
        <f t="shared" si="195"/>
        <v>1.19777459096539</v>
      </c>
      <c r="U137" s="25">
        <f t="shared" si="196"/>
        <v>2.99443647741348</v>
      </c>
      <c r="V137" s="25">
        <f t="shared" si="197"/>
        <v>2.43989674517101</v>
      </c>
      <c r="W137" s="24">
        <f t="shared" si="198"/>
        <v>350</v>
      </c>
      <c r="X137" s="131">
        <f t="shared" si="199"/>
        <v>184.015215674319</v>
      </c>
      <c r="Z137" s="25">
        <f t="shared" si="200"/>
        <v>0.62973928481633</v>
      </c>
      <c r="AA137" s="5">
        <f t="shared" si="201"/>
        <v>1.28279464510203</v>
      </c>
      <c r="AB137" s="5">
        <f t="shared" si="202"/>
        <v>0.077149236385196</v>
      </c>
      <c r="AC137" s="5"/>
      <c r="AD137" s="5">
        <f t="shared" si="203"/>
        <v>0.611107489733394</v>
      </c>
      <c r="AE137" s="216">
        <f t="shared" si="204"/>
        <v>2698.66666666667</v>
      </c>
      <c r="AF137" s="217">
        <f t="shared" si="205"/>
        <v>0.0175086462450593</v>
      </c>
      <c r="AH137" s="5">
        <f t="shared" si="206"/>
        <v>0.823927874790714</v>
      </c>
      <c r="AI137" s="5">
        <f t="shared" si="207"/>
        <v>1.19777459096539</v>
      </c>
      <c r="AJ137" s="5">
        <f t="shared" si="208"/>
        <v>1.86501821552992</v>
      </c>
      <c r="AL137" s="216">
        <f t="shared" si="209"/>
        <v>135</v>
      </c>
      <c r="AM137" s="220">
        <f t="shared" si="210"/>
        <v>184.015215674319</v>
      </c>
      <c r="AO137" s="220">
        <f t="shared" si="211"/>
        <v>135</v>
      </c>
      <c r="AP137" s="220">
        <f t="shared" si="212"/>
        <v>184.015215674319</v>
      </c>
      <c r="AR137" s="192">
        <f t="shared" si="249"/>
        <v>5.43433322258448</v>
      </c>
      <c r="AS137" s="192">
        <f t="shared" si="246"/>
        <v>2.99443647741348</v>
      </c>
      <c r="AT137" s="192">
        <f t="shared" si="247"/>
        <v>2.43989674517101</v>
      </c>
      <c r="AU137" s="5">
        <f t="shared" si="248"/>
        <v>0.551021874214288</v>
      </c>
      <c r="AW137" s="192">
        <f t="shared" si="216"/>
        <v>2.24582735806011</v>
      </c>
      <c r="AX137" s="192"/>
      <c r="AY137" s="192">
        <f t="shared" si="217"/>
        <v>6.46798279121311</v>
      </c>
      <c r="AZ137" s="192"/>
      <c r="BA137" s="192">
        <f t="shared" si="218"/>
        <v>1.09795353532695</v>
      </c>
      <c r="BB137" s="192"/>
      <c r="BC137" s="192"/>
      <c r="BD137" s="5">
        <f t="shared" si="219"/>
        <v>0.513332650444511</v>
      </c>
      <c r="BE137" s="5">
        <f t="shared" si="220"/>
        <v>0.252873149756306</v>
      </c>
      <c r="BF137" s="5">
        <f t="shared" si="221"/>
        <v>0.191475965247573</v>
      </c>
      <c r="BG137" s="5"/>
      <c r="BH137" s="217">
        <f t="shared" si="222"/>
        <v>0.0922286435043353</v>
      </c>
      <c r="BI137" s="217">
        <f t="shared" si="223"/>
        <v>0.0245456</v>
      </c>
      <c r="BJ137" s="217">
        <f t="shared" si="224"/>
        <v>0.00230019019592899</v>
      </c>
      <c r="BK137" s="217">
        <f t="shared" si="225"/>
        <v>0.00456429151030302</v>
      </c>
      <c r="BL137">
        <f t="shared" si="226"/>
        <v>0.0029</v>
      </c>
      <c r="BM137">
        <f t="shared" si="227"/>
        <v>2.30019019592899e-6</v>
      </c>
      <c r="BN137">
        <f t="shared" si="228"/>
        <v>0.175050128173907</v>
      </c>
      <c r="BO137" s="220">
        <f t="shared" si="229"/>
        <v>126.538725210567</v>
      </c>
      <c r="BP137" s="5">
        <f t="shared" si="230"/>
        <v>0.10395</v>
      </c>
      <c r="BQ137" s="5">
        <f t="shared" si="231"/>
        <v>0.08316</v>
      </c>
      <c r="BR137" s="217"/>
      <c r="BT137" s="220">
        <f t="shared" si="232"/>
        <v>187.11</v>
      </c>
      <c r="BU137" s="217">
        <f t="shared" si="233"/>
        <v>0.0108039268105078</v>
      </c>
      <c r="BV137" s="217">
        <f t="shared" si="234"/>
        <v>0.00639448298676752</v>
      </c>
      <c r="BW137" s="217">
        <f t="shared" si="235"/>
        <v>0.00256641316872429</v>
      </c>
      <c r="BX137" s="217">
        <f t="shared" si="236"/>
        <v>0</v>
      </c>
      <c r="BY137" s="217">
        <f t="shared" si="180"/>
        <v>0.0273186515580166</v>
      </c>
      <c r="BZ137" s="217">
        <f t="shared" si="250"/>
        <v>0.0197648229659997</v>
      </c>
      <c r="CA137" s="225">
        <f t="shared" si="237"/>
        <v>0.01056</v>
      </c>
      <c r="CB137" s="220">
        <f t="shared" si="238"/>
        <v>77.408297490016</v>
      </c>
      <c r="CC137" s="5">
        <f t="shared" si="251"/>
        <v>0.400038779731924</v>
      </c>
      <c r="CD137" s="192">
        <f t="shared" si="239"/>
        <v>2.97</v>
      </c>
      <c r="CE137" s="5">
        <f t="shared" si="240"/>
        <v>0.881295496616289</v>
      </c>
      <c r="CF137" s="192">
        <f t="shared" si="241"/>
        <v>88.1295496616289</v>
      </c>
      <c r="CG137">
        <f t="shared" si="242"/>
        <v>27</v>
      </c>
      <c r="CI137" s="227">
        <f t="shared" si="243"/>
        <v>-50</v>
      </c>
      <c r="CJ137">
        <f t="shared" si="244"/>
        <v>-50</v>
      </c>
    </row>
    <row r="138" spans="5:88">
      <c r="E138" s="22">
        <v>28</v>
      </c>
      <c r="F138" s="25">
        <f t="shared" si="245"/>
        <v>0.14</v>
      </c>
      <c r="G138" s="25">
        <f t="shared" si="183"/>
        <v>0.112</v>
      </c>
      <c r="H138" s="25">
        <f t="shared" si="184"/>
        <v>2.52</v>
      </c>
      <c r="I138" s="25">
        <f t="shared" si="185"/>
        <v>0.56</v>
      </c>
      <c r="J138" s="212">
        <f t="shared" si="186"/>
        <v>10</v>
      </c>
      <c r="K138" s="131">
        <f t="shared" si="187"/>
        <v>12.2728</v>
      </c>
      <c r="L138" s="131">
        <f t="shared" si="188"/>
        <v>22.2728</v>
      </c>
      <c r="M138" s="131"/>
      <c r="N138" s="25">
        <f t="shared" si="189"/>
        <v>0.551021874214288</v>
      </c>
      <c r="O138" s="27">
        <f t="shared" si="190"/>
        <v>3.04314353259255</v>
      </c>
      <c r="P138" s="27">
        <f t="shared" si="191"/>
        <v>0.676254118353899</v>
      </c>
      <c r="Q138" s="25">
        <f t="shared" si="192"/>
        <v>0.169063529588475</v>
      </c>
      <c r="R138" s="25">
        <f t="shared" si="193"/>
        <v>0.608628706518509</v>
      </c>
      <c r="S138" s="25">
        <f t="shared" si="194"/>
        <v>18</v>
      </c>
      <c r="T138" s="25">
        <f t="shared" si="195"/>
        <v>1.24213661285299</v>
      </c>
      <c r="U138" s="25">
        <f t="shared" si="196"/>
        <v>3.10534153213247</v>
      </c>
      <c r="V138" s="25">
        <f t="shared" si="197"/>
        <v>2.53026329128844</v>
      </c>
      <c r="W138" s="24">
        <f t="shared" si="198"/>
        <v>350</v>
      </c>
      <c r="X138" s="131">
        <f t="shared" si="199"/>
        <v>177.443243685951</v>
      </c>
      <c r="Z138" s="25">
        <f t="shared" si="200"/>
        <v>0.62973928481633</v>
      </c>
      <c r="AA138" s="5">
        <f t="shared" si="201"/>
        <v>1.28279464510203</v>
      </c>
      <c r="AB138" s="5">
        <f t="shared" si="202"/>
        <v>0.077149236385196</v>
      </c>
      <c r="AC138" s="5"/>
      <c r="AD138" s="5">
        <f t="shared" si="203"/>
        <v>0.611107489733394</v>
      </c>
      <c r="AE138" s="216">
        <f t="shared" si="204"/>
        <v>2798.61728395062</v>
      </c>
      <c r="AF138" s="217">
        <f t="shared" si="205"/>
        <v>0.0175086462450593</v>
      </c>
      <c r="AH138" s="5">
        <f t="shared" si="206"/>
        <v>0.839047078536121</v>
      </c>
      <c r="AI138" s="5">
        <f t="shared" si="207"/>
        <v>1.24213661285299</v>
      </c>
      <c r="AJ138" s="5">
        <f t="shared" si="208"/>
        <v>1.8978789724837</v>
      </c>
      <c r="AL138" s="216">
        <f t="shared" si="209"/>
        <v>140</v>
      </c>
      <c r="AM138" s="220">
        <f t="shared" si="210"/>
        <v>177.443243685951</v>
      </c>
      <c r="AO138" s="220">
        <f t="shared" si="211"/>
        <v>140</v>
      </c>
      <c r="AP138" s="220">
        <f t="shared" si="212"/>
        <v>177.443243685951</v>
      </c>
      <c r="AR138" s="192">
        <f t="shared" si="249"/>
        <v>5.63560482342091</v>
      </c>
      <c r="AS138" s="192">
        <f t="shared" si="246"/>
        <v>3.10534153213247</v>
      </c>
      <c r="AT138" s="192">
        <f t="shared" si="247"/>
        <v>2.53026329128844</v>
      </c>
      <c r="AU138" s="5">
        <f t="shared" si="248"/>
        <v>0.551021874214288</v>
      </c>
      <c r="AW138" s="192">
        <f t="shared" si="216"/>
        <v>2.41526563610304</v>
      </c>
      <c r="AX138" s="192"/>
      <c r="AY138" s="192">
        <f t="shared" si="217"/>
        <v>6.95596503197674</v>
      </c>
      <c r="AZ138" s="192"/>
      <c r="BA138" s="192">
        <f t="shared" si="218"/>
        <v>1.18078953593461</v>
      </c>
      <c r="BB138" s="192"/>
      <c r="BC138" s="192"/>
      <c r="BD138" s="5">
        <f t="shared" si="219"/>
        <v>0.532344970831342</v>
      </c>
      <c r="BE138" s="5">
        <f t="shared" si="220"/>
        <v>0.262238821969501</v>
      </c>
      <c r="BF138" s="5">
        <f t="shared" si="221"/>
        <v>0.198567667664149</v>
      </c>
      <c r="BG138" s="5"/>
      <c r="BH138" s="217">
        <f t="shared" si="222"/>
        <v>0.0991869087892977</v>
      </c>
      <c r="BI138" s="217">
        <f t="shared" si="223"/>
        <v>0.0245456</v>
      </c>
      <c r="BJ138" s="217">
        <f t="shared" si="224"/>
        <v>0.00221804054607439</v>
      </c>
      <c r="BK138" s="217">
        <f t="shared" si="225"/>
        <v>0.00440128109922079</v>
      </c>
      <c r="BL138">
        <f t="shared" si="226"/>
        <v>0.0029</v>
      </c>
      <c r="BM138">
        <f t="shared" si="227"/>
        <v>2.21804054607439e-6</v>
      </c>
      <c r="BN138">
        <f t="shared" si="228"/>
        <v>0.186035884399913</v>
      </c>
      <c r="BO138" s="220">
        <f t="shared" si="229"/>
        <v>133.251830434593</v>
      </c>
      <c r="BP138" s="5">
        <f t="shared" si="230"/>
        <v>0.1078</v>
      </c>
      <c r="BQ138" s="5">
        <f t="shared" si="231"/>
        <v>0.08624</v>
      </c>
      <c r="BR138" s="217"/>
      <c r="BT138" s="220">
        <f t="shared" si="232"/>
        <v>194.04</v>
      </c>
      <c r="BU138" s="217">
        <f t="shared" si="233"/>
        <v>0.0116190378867463</v>
      </c>
      <c r="BV138" s="217">
        <f t="shared" si="234"/>
        <v>0.00687691997479517</v>
      </c>
      <c r="BW138" s="217">
        <f t="shared" si="235"/>
        <v>0.00276003830491059</v>
      </c>
      <c r="BX138" s="217">
        <f t="shared" si="236"/>
        <v>0</v>
      </c>
      <c r="BY138" s="217">
        <f t="shared" si="180"/>
        <v>0.0293832403131802</v>
      </c>
      <c r="BZ138" s="217">
        <f t="shared" si="250"/>
        <v>0.0212559961664521</v>
      </c>
      <c r="CA138" s="225">
        <f t="shared" si="237"/>
        <v>0.0109511111111111</v>
      </c>
      <c r="CB138" s="220">
        <f t="shared" si="238"/>
        <v>82.8463437571955</v>
      </c>
      <c r="CC138" s="5">
        <f t="shared" si="251"/>
        <v>0.420410235824205</v>
      </c>
      <c r="CD138" s="192">
        <f t="shared" si="239"/>
        <v>3.08</v>
      </c>
      <c r="CE138" s="5">
        <f t="shared" si="240"/>
        <v>0.879896867081005</v>
      </c>
      <c r="CF138" s="192">
        <f t="shared" si="241"/>
        <v>87.9896867081005</v>
      </c>
      <c r="CG138">
        <f t="shared" si="242"/>
        <v>28</v>
      </c>
      <c r="CI138" s="227">
        <f t="shared" si="243"/>
        <v>-50</v>
      </c>
      <c r="CJ138">
        <f t="shared" si="244"/>
        <v>-50</v>
      </c>
    </row>
    <row r="139" spans="5:88">
      <c r="E139" s="22">
        <v>29</v>
      </c>
      <c r="F139" s="25">
        <f t="shared" si="245"/>
        <v>0.145</v>
      </c>
      <c r="G139" s="25">
        <f t="shared" si="183"/>
        <v>0.116</v>
      </c>
      <c r="H139" s="25">
        <f t="shared" si="184"/>
        <v>2.61</v>
      </c>
      <c r="I139" s="25">
        <f t="shared" si="185"/>
        <v>0.58</v>
      </c>
      <c r="J139" s="212">
        <f t="shared" si="186"/>
        <v>10</v>
      </c>
      <c r="K139" s="131">
        <f t="shared" si="187"/>
        <v>12.2728</v>
      </c>
      <c r="L139" s="131">
        <f t="shared" si="188"/>
        <v>22.2728</v>
      </c>
      <c r="M139" s="131"/>
      <c r="N139" s="25">
        <f t="shared" si="189"/>
        <v>0.551021874214288</v>
      </c>
      <c r="O139" s="27">
        <f t="shared" si="190"/>
        <v>3.04314353259255</v>
      </c>
      <c r="P139" s="27">
        <f t="shared" si="191"/>
        <v>0.676254118353899</v>
      </c>
      <c r="Q139" s="25">
        <f t="shared" si="192"/>
        <v>0.169063529588475</v>
      </c>
      <c r="R139" s="25">
        <f t="shared" si="193"/>
        <v>0.608628706518509</v>
      </c>
      <c r="S139" s="25">
        <f t="shared" si="194"/>
        <v>18</v>
      </c>
      <c r="T139" s="25">
        <f t="shared" si="195"/>
        <v>1.2864986347406</v>
      </c>
      <c r="U139" s="25">
        <f t="shared" si="196"/>
        <v>3.2162465868515</v>
      </c>
      <c r="V139" s="25">
        <f t="shared" si="197"/>
        <v>2.62062983740589</v>
      </c>
      <c r="W139" s="24">
        <f t="shared" si="198"/>
        <v>350</v>
      </c>
      <c r="X139" s="131">
        <f t="shared" si="199"/>
        <v>171.324511145056</v>
      </c>
      <c r="Z139" s="25">
        <f t="shared" si="200"/>
        <v>0.62973928481633</v>
      </c>
      <c r="AA139" s="5">
        <f t="shared" si="201"/>
        <v>1.28279464510203</v>
      </c>
      <c r="AB139" s="5">
        <f t="shared" si="202"/>
        <v>0.077149236385196</v>
      </c>
      <c r="AC139" s="5"/>
      <c r="AD139" s="5">
        <f t="shared" si="203"/>
        <v>0.611107489733394</v>
      </c>
      <c r="AE139" s="216">
        <f t="shared" si="204"/>
        <v>2898.56790123457</v>
      </c>
      <c r="AF139" s="217">
        <f t="shared" si="205"/>
        <v>0.0175086462450593</v>
      </c>
      <c r="AH139" s="5">
        <f t="shared" si="206"/>
        <v>0.853898622286543</v>
      </c>
      <c r="AI139" s="5">
        <f t="shared" si="207"/>
        <v>1.2864986347406</v>
      </c>
      <c r="AJ139" s="5">
        <f t="shared" si="208"/>
        <v>1.93073972943748</v>
      </c>
      <c r="AL139" s="216">
        <f t="shared" si="209"/>
        <v>145</v>
      </c>
      <c r="AM139" s="220">
        <f t="shared" si="210"/>
        <v>171.324511145056</v>
      </c>
      <c r="AO139" s="220">
        <f t="shared" si="211"/>
        <v>145</v>
      </c>
      <c r="AP139" s="220">
        <f t="shared" si="212"/>
        <v>171.324511145056</v>
      </c>
      <c r="AR139" s="192">
        <f t="shared" si="249"/>
        <v>5.83687642425739</v>
      </c>
      <c r="AS139" s="192">
        <f t="shared" si="246"/>
        <v>3.2162465868515</v>
      </c>
      <c r="AT139" s="192">
        <f t="shared" si="247"/>
        <v>2.62062983740589</v>
      </c>
      <c r="AU139" s="5">
        <f t="shared" si="248"/>
        <v>0.551021874214288</v>
      </c>
      <c r="AW139" s="192">
        <f t="shared" si="216"/>
        <v>2.59086530607482</v>
      </c>
      <c r="AX139" s="192"/>
      <c r="AY139" s="192">
        <f t="shared" si="217"/>
        <v>7.46169208149548</v>
      </c>
      <c r="AZ139" s="192"/>
      <c r="BA139" s="192">
        <f t="shared" si="218"/>
        <v>1.26663775474618</v>
      </c>
      <c r="BB139" s="192"/>
      <c r="BC139" s="192"/>
      <c r="BD139" s="5">
        <f t="shared" si="219"/>
        <v>0.551357291218177</v>
      </c>
      <c r="BE139" s="5">
        <f t="shared" si="220"/>
        <v>0.271604494182698</v>
      </c>
      <c r="BF139" s="5">
        <f t="shared" si="221"/>
        <v>0.205659370080726</v>
      </c>
      <c r="BG139" s="5"/>
      <c r="BH139" s="217">
        <f t="shared" si="222"/>
        <v>0.106398201902806</v>
      </c>
      <c r="BI139" s="217">
        <f t="shared" si="223"/>
        <v>0.0245456</v>
      </c>
      <c r="BJ139" s="217">
        <f t="shared" si="224"/>
        <v>0.0021415563893132</v>
      </c>
      <c r="BK139" s="217">
        <f t="shared" si="225"/>
        <v>0.00424951278545455</v>
      </c>
      <c r="BL139">
        <f t="shared" si="226"/>
        <v>0.0029</v>
      </c>
      <c r="BM139">
        <f t="shared" si="227"/>
        <v>2.1415563893132e-6</v>
      </c>
      <c r="BN139">
        <f t="shared" si="228"/>
        <v>0.197545119549452</v>
      </c>
      <c r="BO139" s="220">
        <f t="shared" si="229"/>
        <v>140.234871077574</v>
      </c>
      <c r="BP139" s="5">
        <f t="shared" si="230"/>
        <v>0.11165</v>
      </c>
      <c r="BQ139" s="5">
        <f t="shared" si="231"/>
        <v>0.08932</v>
      </c>
      <c r="BR139" s="217"/>
      <c r="BT139" s="220">
        <f t="shared" si="232"/>
        <v>200.97</v>
      </c>
      <c r="BU139" s="217">
        <f t="shared" si="233"/>
        <v>0.0124637893657573</v>
      </c>
      <c r="BV139" s="217">
        <f t="shared" si="234"/>
        <v>0.00737690012602394</v>
      </c>
      <c r="BW139" s="217">
        <f t="shared" si="235"/>
        <v>0.00296070435514008</v>
      </c>
      <c r="BX139" s="217">
        <f t="shared" si="236"/>
        <v>0</v>
      </c>
      <c r="BY139" s="217">
        <f t="shared" si="180"/>
        <v>0.0315234257524302</v>
      </c>
      <c r="BZ139" s="217">
        <f t="shared" si="250"/>
        <v>0.0228013938469213</v>
      </c>
      <c r="CA139" s="225">
        <f t="shared" si="237"/>
        <v>0.0113422222222222</v>
      </c>
      <c r="CB139" s="220">
        <f t="shared" si="238"/>
        <v>88.4684356684949</v>
      </c>
      <c r="CC139" s="5">
        <f t="shared" si="251"/>
        <v>0.441380767524104</v>
      </c>
      <c r="CD139" s="192">
        <f t="shared" si="239"/>
        <v>3.19</v>
      </c>
      <c r="CE139" s="5">
        <f t="shared" si="240"/>
        <v>0.878453735429942</v>
      </c>
      <c r="CF139" s="192">
        <f t="shared" si="241"/>
        <v>87.8453735429942</v>
      </c>
      <c r="CG139">
        <f t="shared" si="242"/>
        <v>29</v>
      </c>
      <c r="CI139" s="227">
        <f t="shared" si="243"/>
        <v>-50</v>
      </c>
      <c r="CJ139">
        <f t="shared" si="244"/>
        <v>-50</v>
      </c>
    </row>
    <row r="140" spans="5:88">
      <c r="E140" s="22">
        <v>30</v>
      </c>
      <c r="F140" s="25">
        <f t="shared" si="245"/>
        <v>0.15</v>
      </c>
      <c r="G140" s="25">
        <f t="shared" si="183"/>
        <v>0.12</v>
      </c>
      <c r="H140" s="25">
        <f t="shared" si="184"/>
        <v>2.7</v>
      </c>
      <c r="I140" s="25">
        <f t="shared" si="185"/>
        <v>0.6</v>
      </c>
      <c r="J140" s="212">
        <f t="shared" si="186"/>
        <v>10</v>
      </c>
      <c r="K140" s="131">
        <f t="shared" si="187"/>
        <v>12.2728</v>
      </c>
      <c r="L140" s="131">
        <f t="shared" si="188"/>
        <v>22.2728</v>
      </c>
      <c r="M140" s="131"/>
      <c r="N140" s="25">
        <f t="shared" si="189"/>
        <v>0.551021874214288</v>
      </c>
      <c r="O140" s="27">
        <f t="shared" si="190"/>
        <v>3.04314353259255</v>
      </c>
      <c r="P140" s="27">
        <f t="shared" si="191"/>
        <v>0.676254118353899</v>
      </c>
      <c r="Q140" s="25">
        <f t="shared" si="192"/>
        <v>0.169063529588475</v>
      </c>
      <c r="R140" s="25">
        <f t="shared" si="193"/>
        <v>0.608628706518509</v>
      </c>
      <c r="S140" s="25">
        <f t="shared" si="194"/>
        <v>18</v>
      </c>
      <c r="T140" s="25">
        <f t="shared" si="195"/>
        <v>1.33086065662821</v>
      </c>
      <c r="U140" s="25">
        <f t="shared" si="196"/>
        <v>3.32715164157052</v>
      </c>
      <c r="V140" s="25">
        <f t="shared" si="197"/>
        <v>2.71099638352334</v>
      </c>
      <c r="W140" s="24">
        <f t="shared" si="198"/>
        <v>350</v>
      </c>
      <c r="X140" s="131">
        <f t="shared" si="199"/>
        <v>165.613694106887</v>
      </c>
      <c r="Z140" s="25">
        <f t="shared" si="200"/>
        <v>0.62973928481633</v>
      </c>
      <c r="AA140" s="5">
        <f t="shared" si="201"/>
        <v>1.28279464510203</v>
      </c>
      <c r="AB140" s="5">
        <f t="shared" si="202"/>
        <v>0.077149236385196</v>
      </c>
      <c r="AC140" s="5"/>
      <c r="AD140" s="5">
        <f t="shared" si="203"/>
        <v>0.611107489733394</v>
      </c>
      <c r="AE140" s="216">
        <f t="shared" si="204"/>
        <v>2998.51851851852</v>
      </c>
      <c r="AF140" s="217">
        <f t="shared" si="205"/>
        <v>0.0175086462450593</v>
      </c>
      <c r="AH140" s="5">
        <f t="shared" si="206"/>
        <v>0.868496237346895</v>
      </c>
      <c r="AI140" s="5">
        <f t="shared" si="207"/>
        <v>1.33086065662821</v>
      </c>
      <c r="AJ140" s="5">
        <f t="shared" si="208"/>
        <v>1.96360048639127</v>
      </c>
      <c r="AL140" s="216">
        <f t="shared" si="209"/>
        <v>150</v>
      </c>
      <c r="AM140" s="220">
        <f t="shared" si="210"/>
        <v>165.613694106887</v>
      </c>
      <c r="AO140" s="220">
        <f t="shared" si="211"/>
        <v>150</v>
      </c>
      <c r="AP140" s="220">
        <f t="shared" si="212"/>
        <v>165.613694106887</v>
      </c>
      <c r="AR140" s="192">
        <f t="shared" si="249"/>
        <v>6.03814802509387</v>
      </c>
      <c r="AS140" s="192">
        <f t="shared" si="246"/>
        <v>3.32715164157052</v>
      </c>
      <c r="AT140" s="192">
        <f t="shared" si="247"/>
        <v>2.71099638352334</v>
      </c>
      <c r="AU140" s="5">
        <f t="shared" si="248"/>
        <v>0.551021874214288</v>
      </c>
      <c r="AW140" s="192">
        <f t="shared" si="216"/>
        <v>2.77262636797544</v>
      </c>
      <c r="AX140" s="192"/>
      <c r="AY140" s="192">
        <f t="shared" si="217"/>
        <v>7.98516393976926</v>
      </c>
      <c r="AZ140" s="192"/>
      <c r="BA140" s="192">
        <f t="shared" si="218"/>
        <v>1.35549819176167</v>
      </c>
      <c r="BB140" s="192"/>
      <c r="BC140" s="192"/>
      <c r="BD140" s="5">
        <f t="shared" si="219"/>
        <v>0.570369611605012</v>
      </c>
      <c r="BE140" s="5">
        <f t="shared" si="220"/>
        <v>0.280970166395895</v>
      </c>
      <c r="BF140" s="5">
        <f t="shared" si="221"/>
        <v>0.212751072497303</v>
      </c>
      <c r="BG140" s="5"/>
      <c r="BH140" s="217">
        <f t="shared" si="222"/>
        <v>0.113862522844858</v>
      </c>
      <c r="BI140" s="217">
        <f t="shared" si="223"/>
        <v>0.0245456</v>
      </c>
      <c r="BJ140" s="217">
        <f t="shared" si="224"/>
        <v>0.00207017117633609</v>
      </c>
      <c r="BK140" s="217">
        <f t="shared" si="225"/>
        <v>0.00410786235927272</v>
      </c>
      <c r="BL140">
        <f t="shared" si="226"/>
        <v>0.0029</v>
      </c>
      <c r="BM140">
        <f t="shared" si="227"/>
        <v>2.07017117633609e-6</v>
      </c>
      <c r="BN140">
        <f t="shared" si="228"/>
        <v>0.209588083272617</v>
      </c>
      <c r="BO140" s="220">
        <f t="shared" si="229"/>
        <v>147.486156380467</v>
      </c>
      <c r="BP140" s="5">
        <f t="shared" si="230"/>
        <v>0.1155</v>
      </c>
      <c r="BQ140" s="5">
        <f t="shared" si="231"/>
        <v>0.0924</v>
      </c>
      <c r="BR140" s="217"/>
      <c r="BT140" s="220">
        <f t="shared" si="232"/>
        <v>207.9</v>
      </c>
      <c r="BU140" s="217">
        <f t="shared" si="233"/>
        <v>0.0133381812475405</v>
      </c>
      <c r="BV140" s="217">
        <f t="shared" si="234"/>
        <v>0.00789442344045372</v>
      </c>
      <c r="BW140" s="217">
        <f t="shared" si="235"/>
        <v>0.0031684113194127</v>
      </c>
      <c r="BX140" s="217">
        <f t="shared" si="236"/>
        <v>0</v>
      </c>
      <c r="BY140" s="217">
        <f t="shared" si="180"/>
        <v>0.0337392638756542</v>
      </c>
      <c r="BZ140" s="217">
        <f t="shared" si="250"/>
        <v>0.0244010160074069</v>
      </c>
      <c r="CA140" s="225">
        <f t="shared" si="237"/>
        <v>0.0117333333333334</v>
      </c>
      <c r="CB140" s="220">
        <f t="shared" si="238"/>
        <v>94.2746292238015</v>
      </c>
      <c r="CC140" s="5">
        <f t="shared" si="251"/>
        <v>0.462960680481604</v>
      </c>
      <c r="CD140" s="192">
        <f t="shared" si="239"/>
        <v>3.3</v>
      </c>
      <c r="CE140" s="5">
        <f t="shared" si="240"/>
        <v>0.876969035875668</v>
      </c>
      <c r="CF140" s="192">
        <f t="shared" si="241"/>
        <v>87.6969035875668</v>
      </c>
      <c r="CG140">
        <f t="shared" si="242"/>
        <v>30</v>
      </c>
      <c r="CI140" s="227">
        <f t="shared" si="243"/>
        <v>-50</v>
      </c>
      <c r="CJ140">
        <f t="shared" si="244"/>
        <v>-50</v>
      </c>
    </row>
    <row r="141" spans="5:88">
      <c r="E141" s="22">
        <v>31</v>
      </c>
      <c r="F141" s="25">
        <f t="shared" si="245"/>
        <v>0.155</v>
      </c>
      <c r="G141" s="25">
        <f t="shared" si="183"/>
        <v>0.124</v>
      </c>
      <c r="H141" s="25">
        <f t="shared" si="184"/>
        <v>2.79</v>
      </c>
      <c r="I141" s="25">
        <f t="shared" si="185"/>
        <v>0.62</v>
      </c>
      <c r="J141" s="212">
        <f t="shared" si="186"/>
        <v>10</v>
      </c>
      <c r="K141" s="131">
        <f t="shared" si="187"/>
        <v>12.2728</v>
      </c>
      <c r="L141" s="131">
        <f t="shared" si="188"/>
        <v>22.2728</v>
      </c>
      <c r="M141" s="131"/>
      <c r="N141" s="25">
        <f t="shared" si="189"/>
        <v>0.551021874214288</v>
      </c>
      <c r="O141" s="27">
        <f t="shared" si="190"/>
        <v>3.04314353259255</v>
      </c>
      <c r="P141" s="27">
        <f t="shared" si="191"/>
        <v>0.676254118353899</v>
      </c>
      <c r="Q141" s="25">
        <f t="shared" si="192"/>
        <v>0.169063529588475</v>
      </c>
      <c r="R141" s="25">
        <f t="shared" si="193"/>
        <v>0.608628706518509</v>
      </c>
      <c r="S141" s="25">
        <f t="shared" si="194"/>
        <v>18</v>
      </c>
      <c r="T141" s="25">
        <f t="shared" si="195"/>
        <v>1.37522267851581</v>
      </c>
      <c r="U141" s="25">
        <f t="shared" si="196"/>
        <v>3.43805669628952</v>
      </c>
      <c r="V141" s="25">
        <f t="shared" si="197"/>
        <v>2.80136292964077</v>
      </c>
      <c r="W141" s="24">
        <f t="shared" si="198"/>
        <v>350</v>
      </c>
      <c r="X141" s="131">
        <f t="shared" si="199"/>
        <v>160.271316877634</v>
      </c>
      <c r="Z141" s="25">
        <f t="shared" si="200"/>
        <v>0.62973928481633</v>
      </c>
      <c r="AA141" s="5">
        <f t="shared" si="201"/>
        <v>1.28279464510203</v>
      </c>
      <c r="AB141" s="5">
        <f t="shared" si="202"/>
        <v>0.077149236385196</v>
      </c>
      <c r="AC141" s="5"/>
      <c r="AD141" s="5">
        <f t="shared" si="203"/>
        <v>0.611107489733394</v>
      </c>
      <c r="AE141" s="216">
        <f t="shared" si="204"/>
        <v>3098.46913580247</v>
      </c>
      <c r="AF141" s="217">
        <f t="shared" si="205"/>
        <v>0.0175086462450593</v>
      </c>
      <c r="AH141" s="5">
        <f t="shared" si="206"/>
        <v>0.882852519636531</v>
      </c>
      <c r="AI141" s="5">
        <f t="shared" si="207"/>
        <v>1.37522267851581</v>
      </c>
      <c r="AJ141" s="5">
        <f t="shared" si="208"/>
        <v>1.99646124334504</v>
      </c>
      <c r="AL141" s="216">
        <f t="shared" si="209"/>
        <v>155</v>
      </c>
      <c r="AM141" s="220">
        <f t="shared" si="210"/>
        <v>160.271316877634</v>
      </c>
      <c r="AO141" s="220">
        <f t="shared" si="211"/>
        <v>155</v>
      </c>
      <c r="AP141" s="220">
        <f t="shared" si="212"/>
        <v>160.271316877634</v>
      </c>
      <c r="AR141" s="192">
        <f t="shared" si="249"/>
        <v>6.2394196259303</v>
      </c>
      <c r="AS141" s="192">
        <f t="shared" si="246"/>
        <v>3.43805669628952</v>
      </c>
      <c r="AT141" s="192">
        <f t="shared" si="247"/>
        <v>2.80136292964077</v>
      </c>
      <c r="AU141" s="5">
        <f t="shared" si="248"/>
        <v>0.551021874214288</v>
      </c>
      <c r="AW141" s="192">
        <f t="shared" si="216"/>
        <v>2.96054882180487</v>
      </c>
      <c r="AX141" s="192"/>
      <c r="AY141" s="192">
        <f t="shared" si="217"/>
        <v>8.52638060679802</v>
      </c>
      <c r="AZ141" s="192"/>
      <c r="BA141" s="192">
        <f t="shared" si="218"/>
        <v>1.44737084698106</v>
      </c>
      <c r="BB141" s="192"/>
      <c r="BC141" s="192"/>
      <c r="BD141" s="5">
        <f t="shared" si="219"/>
        <v>0.589381931991842</v>
      </c>
      <c r="BE141" s="5">
        <f t="shared" si="220"/>
        <v>0.29033583860909</v>
      </c>
      <c r="BF141" s="5">
        <f t="shared" si="221"/>
        <v>0.219842774913879</v>
      </c>
      <c r="BG141" s="5"/>
      <c r="BH141" s="217">
        <f t="shared" si="222"/>
        <v>0.121579871615453</v>
      </c>
      <c r="BI141" s="217">
        <f t="shared" si="223"/>
        <v>0.0245456</v>
      </c>
      <c r="BJ141" s="217">
        <f t="shared" si="224"/>
        <v>0.00200339146097042</v>
      </c>
      <c r="BK141" s="217">
        <f t="shared" si="225"/>
        <v>0.00397535067026394</v>
      </c>
      <c r="BL141">
        <f t="shared" si="226"/>
        <v>0.0029</v>
      </c>
      <c r="BM141">
        <f t="shared" si="227"/>
        <v>2.00339146097042e-6</v>
      </c>
      <c r="BN141">
        <f t="shared" si="228"/>
        <v>0.222175930366909</v>
      </c>
      <c r="BO141" s="220">
        <f t="shared" si="229"/>
        <v>155.004213746687</v>
      </c>
      <c r="BP141" s="5">
        <f t="shared" si="230"/>
        <v>0.11935</v>
      </c>
      <c r="BQ141" s="5">
        <f t="shared" si="231"/>
        <v>0.09548</v>
      </c>
      <c r="BR141" s="217"/>
      <c r="BT141" s="220">
        <f t="shared" si="232"/>
        <v>214.83</v>
      </c>
      <c r="BU141" s="217">
        <f t="shared" si="233"/>
        <v>0.0142422135320959</v>
      </c>
      <c r="BV141" s="217">
        <f t="shared" si="234"/>
        <v>0.00842948991808438</v>
      </c>
      <c r="BW141" s="217">
        <f t="shared" si="235"/>
        <v>0.00338315919772841</v>
      </c>
      <c r="BX141" s="217">
        <f t="shared" si="236"/>
        <v>0</v>
      </c>
      <c r="BY141" s="217">
        <f t="shared" si="180"/>
        <v>0.0360308126841603</v>
      </c>
      <c r="BZ141" s="217">
        <f t="shared" si="250"/>
        <v>0.0260548626479087</v>
      </c>
      <c r="CA141" s="225">
        <f t="shared" si="237"/>
        <v>0.0121244444444444</v>
      </c>
      <c r="CB141" s="220">
        <f t="shared" si="238"/>
        <v>100.264982424422</v>
      </c>
      <c r="CC141" s="5">
        <f t="shared" si="251"/>
        <v>0.485161187495513</v>
      </c>
      <c r="CD141" s="192">
        <f t="shared" si="239"/>
        <v>3.41</v>
      </c>
      <c r="CE141" s="5">
        <f t="shared" si="240"/>
        <v>0.875445157686155</v>
      </c>
      <c r="CF141" s="192">
        <f t="shared" si="241"/>
        <v>87.5445157686155</v>
      </c>
      <c r="CG141">
        <f t="shared" si="242"/>
        <v>31</v>
      </c>
      <c r="CI141" s="227">
        <f t="shared" si="243"/>
        <v>-50</v>
      </c>
      <c r="CJ141">
        <f t="shared" si="244"/>
        <v>-50</v>
      </c>
    </row>
    <row r="142" spans="5:88">
      <c r="E142" s="22">
        <v>32</v>
      </c>
      <c r="F142" s="25">
        <f t="shared" si="245"/>
        <v>0.16</v>
      </c>
      <c r="G142" s="25">
        <f t="shared" ref="G142:G173" si="252">IF(PLOT_TYPE=1,E142/100*Iout2,min_I*EXP(Q142*rr/100))</f>
        <v>0.128</v>
      </c>
      <c r="H142" s="25">
        <f t="shared" ref="H142:H173" si="253">F142*Vout</f>
        <v>2.88</v>
      </c>
      <c r="I142" s="25">
        <f t="shared" ref="I142:I173" si="254">Vout2*G142</f>
        <v>0.64</v>
      </c>
      <c r="J142" s="212">
        <f t="shared" si="186"/>
        <v>10</v>
      </c>
      <c r="K142" s="131">
        <f t="shared" si="187"/>
        <v>12.2728</v>
      </c>
      <c r="L142" s="131">
        <f t="shared" si="188"/>
        <v>22.2728</v>
      </c>
      <c r="M142" s="131"/>
      <c r="N142" s="25">
        <f t="shared" si="189"/>
        <v>0.551021874214288</v>
      </c>
      <c r="O142" s="27">
        <f t="shared" ref="O142:O173" si="255">N142*J142*Isw_max*0.5*Efficiency*Pout/(Pout+Pout2)</f>
        <v>3.04314353259255</v>
      </c>
      <c r="P142" s="27">
        <f t="shared" ref="P142:P173" si="256">N142*J142*Isw_max*0.5*Efficiency*(Pout2/Pout_total)</f>
        <v>0.676254118353899</v>
      </c>
      <c r="Q142" s="25">
        <f t="shared" si="192"/>
        <v>0.169063529588475</v>
      </c>
      <c r="R142" s="25">
        <f t="shared" ref="R142:R173" si="257">O142/Vout2</f>
        <v>0.608628706518509</v>
      </c>
      <c r="S142" s="25">
        <f t="shared" ref="S142:S173" si="258">MIN(Vout,O142/F142)</f>
        <v>18</v>
      </c>
      <c r="T142" s="25">
        <f t="shared" ref="T142:T173" si="259">MIN(2*(Vout*F142+Vout2*G142)/(Efficiency*J142*N142),Isw_max)</f>
        <v>1.41958470040342</v>
      </c>
      <c r="U142" s="25">
        <f t="shared" si="196"/>
        <v>3.54896175100855</v>
      </c>
      <c r="V142" s="25">
        <f t="shared" si="197"/>
        <v>2.89172947575822</v>
      </c>
      <c r="W142" s="24">
        <f t="shared" si="198"/>
        <v>350</v>
      </c>
      <c r="X142" s="131">
        <f t="shared" si="199"/>
        <v>155.262838225207</v>
      </c>
      <c r="Z142" s="25">
        <f t="shared" si="200"/>
        <v>0.62973928481633</v>
      </c>
      <c r="AA142" s="5">
        <f t="shared" si="201"/>
        <v>1.28279464510203</v>
      </c>
      <c r="AB142" s="5">
        <f t="shared" ref="AB142:AB173" si="260">0.5*AA142*Z142*Nps*W142/1000*(Pout/(Pout+Pout2))</f>
        <v>0.077149236385196</v>
      </c>
      <c r="AC142" s="5"/>
      <c r="AD142" s="5">
        <f t="shared" si="203"/>
        <v>0.611107489733394</v>
      </c>
      <c r="AE142" s="216">
        <f t="shared" ref="AE142:AE173" si="261">MAX(10,F142/(0.5*AD142/1000000*Isw_min*Nps)/1000*Pout_total/Pout)</f>
        <v>3198.41975308642</v>
      </c>
      <c r="AF142" s="217">
        <f t="shared" ref="AF142:AF173" si="262">0.5*AD142/1000000*Isw_min*Nps*W142*1000*(Pout/Pout_total)</f>
        <v>0.0175086462450593</v>
      </c>
      <c r="AH142" s="5">
        <f t="shared" ref="AH142:AH173" si="263">SQRT((H142+I142)/(0.5*L*Fsw_DCM))</f>
        <v>0.896979056930221</v>
      </c>
      <c r="AI142" s="5">
        <f t="shared" ref="AI142:AI173" si="264">MAX(IF(F142&gt;AB142,T142,AH142),Isw_min)</f>
        <v>1.41958470040342</v>
      </c>
      <c r="AJ142" s="5">
        <f t="shared" ref="AJ142:AJ173" si="265">IF(F142&gt;AF142,(AI142-Isw_min)/1.08*0.8+1.2,AE142*0.2/350+1)</f>
        <v>2.02932200029883</v>
      </c>
      <c r="AL142" s="216">
        <f t="shared" ref="AL142:AL173" si="266">F142*1000</f>
        <v>160</v>
      </c>
      <c r="AM142" s="220">
        <f t="shared" ref="AM142:AM173" si="267">IF(F142&gt;AF142,X142,AE142)</f>
        <v>155.262838225207</v>
      </c>
      <c r="AO142" s="220">
        <f t="shared" si="211"/>
        <v>160</v>
      </c>
      <c r="AP142" s="220">
        <f t="shared" si="212"/>
        <v>155.262838225207</v>
      </c>
      <c r="AR142" s="192">
        <f t="shared" si="249"/>
        <v>6.44069122676677</v>
      </c>
      <c r="AS142" s="192">
        <f t="shared" si="246"/>
        <v>3.54896175100855</v>
      </c>
      <c r="AT142" s="192">
        <f t="shared" si="247"/>
        <v>2.89172947575822</v>
      </c>
      <c r="AU142" s="5">
        <f t="shared" si="248"/>
        <v>0.551021874214288</v>
      </c>
      <c r="AW142" s="192">
        <f t="shared" si="216"/>
        <v>3.15463266756316</v>
      </c>
      <c r="AX142" s="192"/>
      <c r="AY142" s="192">
        <f t="shared" si="217"/>
        <v>9.08534208258189</v>
      </c>
      <c r="AZ142" s="192"/>
      <c r="BA142" s="192">
        <f t="shared" si="218"/>
        <v>1.54225572040438</v>
      </c>
      <c r="BB142" s="192"/>
      <c r="BC142" s="192"/>
      <c r="BD142" s="5">
        <f t="shared" si="219"/>
        <v>0.608394252378677</v>
      </c>
      <c r="BE142" s="5">
        <f t="shared" si="220"/>
        <v>0.299701510822288</v>
      </c>
      <c r="BF142" s="5">
        <f t="shared" si="221"/>
        <v>0.226934477330456</v>
      </c>
      <c r="BG142" s="5"/>
      <c r="BH142" s="217">
        <f t="shared" si="222"/>
        <v>0.129550248214593</v>
      </c>
      <c r="BI142" s="217">
        <f t="shared" si="223"/>
        <v>0.0245456</v>
      </c>
      <c r="BJ142" s="217">
        <f t="shared" si="224"/>
        <v>0.00194078547781509</v>
      </c>
      <c r="BK142" s="217">
        <f t="shared" si="225"/>
        <v>0.00385112096181819</v>
      </c>
      <c r="BL142">
        <f t="shared" si="226"/>
        <v>0.0029</v>
      </c>
      <c r="BM142">
        <f t="shared" ref="BM142:BM173" si="268">(J142-Vdd)*Qg*AM142</f>
        <v>1.94078547781509e-6</v>
      </c>
      <c r="BN142">
        <f t="shared" ref="BN142:BN173" si="269">(BI142+BJ142+BK142+BL142+BM142+BH142*(1+RdsonTC*(Ta-25)))/(1-BH142*RdsonTC*ThetaJA)</f>
        <v>0.235320721617726</v>
      </c>
      <c r="BO142" s="220">
        <f t="shared" si="229"/>
        <v>162.787754654227</v>
      </c>
      <c r="BP142" s="5">
        <f t="shared" si="230"/>
        <v>0.1232</v>
      </c>
      <c r="BQ142" s="5">
        <f t="shared" si="231"/>
        <v>0.09856</v>
      </c>
      <c r="BR142" s="217"/>
      <c r="BT142" s="220">
        <f t="shared" si="232"/>
        <v>221.76</v>
      </c>
      <c r="BU142" s="217">
        <f t="shared" si="233"/>
        <v>0.0151758862194238</v>
      </c>
      <c r="BV142" s="217">
        <f t="shared" si="234"/>
        <v>0.00898209955891618</v>
      </c>
      <c r="BW142" s="217">
        <f t="shared" si="235"/>
        <v>0.00360494799008732</v>
      </c>
      <c r="BX142" s="217">
        <f t="shared" si="236"/>
        <v>0</v>
      </c>
      <c r="BY142" s="217">
        <f t="shared" si="180"/>
        <v>0.0383981321844832</v>
      </c>
      <c r="BZ142" s="217">
        <f t="shared" si="250"/>
        <v>0.0277629337684273</v>
      </c>
      <c r="CA142" s="225">
        <f t="shared" ref="CA142:CA173" si="270">0.5*Lleak*0.000000001*AI142^2*AM142*1000</f>
        <v>0.0125155555555555</v>
      </c>
      <c r="CB142" s="220">
        <f t="shared" si="238"/>
        <v>106.439555276893</v>
      </c>
      <c r="CC142" s="5">
        <f t="shared" si="251"/>
        <v>0.507994409357765</v>
      </c>
      <c r="CD142" s="192">
        <f t="shared" si="239"/>
        <v>3.52</v>
      </c>
      <c r="CE142" s="5">
        <f t="shared" si="240"/>
        <v>0.873884033161118</v>
      </c>
      <c r="CF142" s="192">
        <f t="shared" si="241"/>
        <v>87.3884033161118</v>
      </c>
      <c r="CG142">
        <f t="shared" si="242"/>
        <v>32</v>
      </c>
      <c r="CI142" s="227">
        <f t="shared" ref="CI142:CI173" si="271">IF(ABS(F142-Ioutmax_Vinmin)&lt;Iout/200,AM142,-50)</f>
        <v>-50</v>
      </c>
      <c r="CJ142">
        <f t="shared" ref="CJ142:CJ173" si="272">IF(ABS(F142-Ioutmax_Vinmin)&lt;Iout/200,(O142+P142)*CE142,-50)</f>
        <v>-50</v>
      </c>
    </row>
    <row r="143" spans="5:88">
      <c r="E143" s="22">
        <v>33</v>
      </c>
      <c r="F143" s="25">
        <f t="shared" ref="F143:F174" si="273">IF(PLOT_TYPE=1,E143/100*Iout_max,min_I*EXP(O143*rr/100))</f>
        <v>0.165</v>
      </c>
      <c r="G143" s="25">
        <f t="shared" si="252"/>
        <v>0.132</v>
      </c>
      <c r="H143" s="25">
        <f t="shared" si="253"/>
        <v>2.97</v>
      </c>
      <c r="I143" s="25">
        <f t="shared" si="254"/>
        <v>0.66</v>
      </c>
      <c r="J143" s="212">
        <f t="shared" si="186"/>
        <v>10</v>
      </c>
      <c r="K143" s="131">
        <f t="shared" si="187"/>
        <v>12.2728</v>
      </c>
      <c r="L143" s="131">
        <f t="shared" si="188"/>
        <v>22.2728</v>
      </c>
      <c r="M143" s="131"/>
      <c r="N143" s="25">
        <f t="shared" si="189"/>
        <v>0.551021874214288</v>
      </c>
      <c r="O143" s="27">
        <f t="shared" si="255"/>
        <v>3.04314353259255</v>
      </c>
      <c r="P143" s="27">
        <f t="shared" si="256"/>
        <v>0.676254118353899</v>
      </c>
      <c r="Q143" s="25">
        <f t="shared" si="192"/>
        <v>0.169063529588475</v>
      </c>
      <c r="R143" s="25">
        <f t="shared" si="257"/>
        <v>0.608628706518509</v>
      </c>
      <c r="S143" s="25">
        <f t="shared" si="258"/>
        <v>18</v>
      </c>
      <c r="T143" s="25">
        <f t="shared" si="259"/>
        <v>1.46394672229103</v>
      </c>
      <c r="U143" s="25">
        <f t="shared" si="196"/>
        <v>3.65986680572758</v>
      </c>
      <c r="V143" s="25">
        <f t="shared" si="197"/>
        <v>2.98209602187567</v>
      </c>
      <c r="W143" s="24">
        <f t="shared" si="198"/>
        <v>350</v>
      </c>
      <c r="X143" s="131">
        <f t="shared" si="199"/>
        <v>150.557903733534</v>
      </c>
      <c r="Z143" s="25">
        <f t="shared" si="200"/>
        <v>0.62973928481633</v>
      </c>
      <c r="AA143" s="5">
        <f t="shared" si="201"/>
        <v>1.28279464510203</v>
      </c>
      <c r="AB143" s="5">
        <f t="shared" si="260"/>
        <v>0.077149236385196</v>
      </c>
      <c r="AC143" s="5"/>
      <c r="AD143" s="5">
        <f t="shared" si="203"/>
        <v>0.611107489733394</v>
      </c>
      <c r="AE143" s="216">
        <f t="shared" si="261"/>
        <v>3298.37037037037</v>
      </c>
      <c r="AF143" s="217">
        <f t="shared" si="262"/>
        <v>0.0175086462450593</v>
      </c>
      <c r="AH143" s="5">
        <f t="shared" si="263"/>
        <v>0.910886538331908</v>
      </c>
      <c r="AI143" s="5">
        <f t="shared" si="264"/>
        <v>1.46394672229103</v>
      </c>
      <c r="AJ143" s="5">
        <f t="shared" si="265"/>
        <v>2.06218275725261</v>
      </c>
      <c r="AL143" s="216">
        <f t="shared" si="266"/>
        <v>165</v>
      </c>
      <c r="AM143" s="220">
        <f t="shared" si="267"/>
        <v>150.557903733534</v>
      </c>
      <c r="AO143" s="220">
        <f t="shared" si="211"/>
        <v>165</v>
      </c>
      <c r="AP143" s="220">
        <f t="shared" si="212"/>
        <v>150.557903733534</v>
      </c>
      <c r="AR143" s="192">
        <f t="shared" si="249"/>
        <v>6.64196282760325</v>
      </c>
      <c r="AS143" s="192">
        <f t="shared" si="246"/>
        <v>3.65986680572758</v>
      </c>
      <c r="AT143" s="192">
        <f t="shared" si="247"/>
        <v>2.98209602187567</v>
      </c>
      <c r="AU143" s="5">
        <f t="shared" si="248"/>
        <v>0.551021874214288</v>
      </c>
      <c r="AW143" s="192">
        <f t="shared" si="216"/>
        <v>3.35487790525028</v>
      </c>
      <c r="AX143" s="192"/>
      <c r="AY143" s="192">
        <f t="shared" si="217"/>
        <v>9.6620483671208</v>
      </c>
      <c r="AZ143" s="192"/>
      <c r="BA143" s="192">
        <f t="shared" si="218"/>
        <v>1.64015281203162</v>
      </c>
      <c r="BB143" s="192"/>
      <c r="BC143" s="192"/>
      <c r="BD143" s="5">
        <f t="shared" si="219"/>
        <v>0.627406572765512</v>
      </c>
      <c r="BE143" s="5">
        <f t="shared" si="220"/>
        <v>0.309067183035485</v>
      </c>
      <c r="BF143" s="5">
        <f t="shared" si="221"/>
        <v>0.234026179747034</v>
      </c>
      <c r="BG143" s="5"/>
      <c r="BH143" s="217">
        <f t="shared" si="222"/>
        <v>0.137773652642278</v>
      </c>
      <c r="BI143" s="217">
        <f t="shared" si="223"/>
        <v>0.0245456</v>
      </c>
      <c r="BJ143" s="217">
        <f t="shared" si="224"/>
        <v>0.00188197379666917</v>
      </c>
      <c r="BK143" s="217">
        <f t="shared" si="225"/>
        <v>0.00373442032661157</v>
      </c>
      <c r="BL143">
        <f t="shared" si="226"/>
        <v>0.0029</v>
      </c>
      <c r="BM143">
        <f t="shared" si="268"/>
        <v>1.88197379666917e-6</v>
      </c>
      <c r="BN143">
        <f t="shared" si="269"/>
        <v>0.249035433479587</v>
      </c>
      <c r="BO143" s="220">
        <f t="shared" si="229"/>
        <v>170.835646765559</v>
      </c>
      <c r="BP143" s="5">
        <f t="shared" si="230"/>
        <v>0.12705</v>
      </c>
      <c r="BQ143" s="5">
        <f t="shared" si="231"/>
        <v>0.10164</v>
      </c>
      <c r="BR143" s="217"/>
      <c r="BT143" s="220">
        <f t="shared" si="232"/>
        <v>228.69</v>
      </c>
      <c r="BU143" s="217">
        <f t="shared" si="233"/>
        <v>0.016139199309524</v>
      </c>
      <c r="BV143" s="217">
        <f t="shared" si="234"/>
        <v>0.00955225236294898</v>
      </c>
      <c r="BW143" s="217">
        <f t="shared" si="235"/>
        <v>0.00383377769648936</v>
      </c>
      <c r="BX143" s="217">
        <f t="shared" si="236"/>
        <v>0</v>
      </c>
      <c r="BY143" s="217">
        <f t="shared" si="180"/>
        <v>0.0408412843923206</v>
      </c>
      <c r="BZ143" s="217">
        <f t="shared" si="250"/>
        <v>0.0295252293689624</v>
      </c>
      <c r="CA143" s="225">
        <f t="shared" si="270"/>
        <v>0.0129066666666667</v>
      </c>
      <c r="CB143" s="220">
        <f t="shared" si="238"/>
        <v>112.798409796912</v>
      </c>
      <c r="CC143" s="5">
        <f t="shared" si="251"/>
        <v>0.531473384538575</v>
      </c>
      <c r="CD143" s="192">
        <f t="shared" si="239"/>
        <v>3.63</v>
      </c>
      <c r="CE143" s="5">
        <f t="shared" si="240"/>
        <v>0.872287208056359</v>
      </c>
      <c r="CF143" s="192">
        <f t="shared" si="241"/>
        <v>87.2287208056359</v>
      </c>
      <c r="CG143">
        <f t="shared" si="242"/>
        <v>33</v>
      </c>
      <c r="CI143" s="227">
        <f t="shared" si="271"/>
        <v>-50</v>
      </c>
      <c r="CJ143">
        <f t="shared" si="272"/>
        <v>-50</v>
      </c>
    </row>
    <row r="144" spans="5:88">
      <c r="E144" s="22">
        <v>34</v>
      </c>
      <c r="F144" s="25">
        <f t="shared" si="273"/>
        <v>0.17</v>
      </c>
      <c r="G144" s="25">
        <f t="shared" si="252"/>
        <v>0.136</v>
      </c>
      <c r="H144" s="25">
        <f t="shared" si="253"/>
        <v>3.06</v>
      </c>
      <c r="I144" s="25">
        <f t="shared" si="254"/>
        <v>0.68</v>
      </c>
      <c r="J144" s="212">
        <f t="shared" si="186"/>
        <v>10</v>
      </c>
      <c r="K144" s="131">
        <f t="shared" si="187"/>
        <v>12.2066631543484</v>
      </c>
      <c r="L144" s="131">
        <f t="shared" si="188"/>
        <v>22.2728</v>
      </c>
      <c r="M144" s="131"/>
      <c r="N144" s="25">
        <f t="shared" si="189"/>
        <v>0.551021874214288</v>
      </c>
      <c r="O144" s="27">
        <f t="shared" si="255"/>
        <v>3.04314353259255</v>
      </c>
      <c r="P144" s="27">
        <f t="shared" si="256"/>
        <v>0.676254118353899</v>
      </c>
      <c r="Q144" s="25">
        <f t="shared" si="192"/>
        <v>0.169063529588475</v>
      </c>
      <c r="R144" s="25">
        <f t="shared" si="257"/>
        <v>0.608628706518509</v>
      </c>
      <c r="S144" s="25">
        <f t="shared" si="258"/>
        <v>17.9008443093679</v>
      </c>
      <c r="T144" s="25">
        <f t="shared" si="259"/>
        <v>1.5</v>
      </c>
      <c r="U144" s="25">
        <f t="shared" si="196"/>
        <v>3.75</v>
      </c>
      <c r="V144" s="25">
        <f t="shared" si="197"/>
        <v>3.07209263709725</v>
      </c>
      <c r="W144" s="24">
        <f t="shared" si="198"/>
        <v>350</v>
      </c>
      <c r="X144" s="131">
        <f t="shared" si="199"/>
        <v>146.582588832375</v>
      </c>
      <c r="Z144" s="25">
        <f t="shared" si="200"/>
        <v>0.628211094995893</v>
      </c>
      <c r="AA144" s="5">
        <f t="shared" si="201"/>
        <v>1.28661511965312</v>
      </c>
      <c r="AB144" s="5">
        <f t="shared" si="260"/>
        <v>0.0771912297642951</v>
      </c>
      <c r="AC144" s="5"/>
      <c r="AD144" s="5">
        <f t="shared" si="203"/>
        <v>0.61441852741945</v>
      </c>
      <c r="AE144" s="216">
        <f t="shared" si="261"/>
        <v>3380.00778849561</v>
      </c>
      <c r="AF144" s="217">
        <f t="shared" si="262"/>
        <v>0.0176035097322905</v>
      </c>
      <c r="AH144" s="5">
        <f t="shared" si="263"/>
        <v>0.924584848922554</v>
      </c>
      <c r="AI144" s="5">
        <f t="shared" si="264"/>
        <v>1.5</v>
      </c>
      <c r="AJ144" s="5">
        <f t="shared" si="265"/>
        <v>2.08888888888889</v>
      </c>
      <c r="AL144" s="216">
        <f t="shared" si="266"/>
        <v>170</v>
      </c>
      <c r="AM144" s="220">
        <f t="shared" si="267"/>
        <v>146.582588832375</v>
      </c>
      <c r="AO144" s="220" t="str">
        <f t="shared" si="211"/>
        <v/>
      </c>
      <c r="AP144" s="220" t="str">
        <f t="shared" si="212"/>
        <v/>
      </c>
      <c r="AR144" s="192">
        <f t="shared" si="249"/>
        <v>6.82209263709725</v>
      </c>
      <c r="AS144" s="192">
        <f t="shared" si="246"/>
        <v>3.75</v>
      </c>
      <c r="AT144" s="192">
        <f t="shared" si="247"/>
        <v>3.07209263709725</v>
      </c>
      <c r="AU144" s="5">
        <f t="shared" si="248"/>
        <v>0.549684708121407</v>
      </c>
      <c r="AW144" s="192">
        <f t="shared" si="216"/>
        <v>3.54166666666667</v>
      </c>
      <c r="AX144" s="192"/>
      <c r="AY144" s="192">
        <f t="shared" si="217"/>
        <v>10.2</v>
      </c>
      <c r="AZ144" s="192"/>
      <c r="BA144" s="192">
        <f t="shared" si="218"/>
        <v>1.74085249435511</v>
      </c>
      <c r="BB144" s="192"/>
      <c r="BC144" s="192"/>
      <c r="BD144" s="5">
        <f t="shared" si="219"/>
        <v>0.642077511746872</v>
      </c>
      <c r="BE144" s="5">
        <f t="shared" si="220"/>
        <v>0.317149942811045</v>
      </c>
      <c r="BF144" s="5">
        <f t="shared" si="221"/>
        <v>0.240146458754042</v>
      </c>
      <c r="BG144" s="5"/>
      <c r="BH144" s="217">
        <f t="shared" si="222"/>
        <v>0.144292235881869</v>
      </c>
      <c r="BI144" s="217">
        <f t="shared" si="223"/>
        <v>0.0244860351340929</v>
      </c>
      <c r="BJ144" s="217">
        <f t="shared" si="224"/>
        <v>0.00183228236040469</v>
      </c>
      <c r="BK144" s="217">
        <f t="shared" si="225"/>
        <v>0.0036358170888975</v>
      </c>
      <c r="BL144">
        <f t="shared" si="226"/>
        <v>0.0029</v>
      </c>
      <c r="BM144">
        <f t="shared" si="268"/>
        <v>1.83228236040469e-6</v>
      </c>
      <c r="BN144">
        <f t="shared" si="269"/>
        <v>0.259930208500907</v>
      </c>
      <c r="BO144" s="220">
        <f t="shared" si="229"/>
        <v>177.146370465264</v>
      </c>
      <c r="BP144" s="5">
        <f t="shared" si="230"/>
        <v>0.1309</v>
      </c>
      <c r="BQ144" s="5">
        <f t="shared" si="231"/>
        <v>0.10472</v>
      </c>
      <c r="BR144" s="217"/>
      <c r="BT144" s="220">
        <f t="shared" si="232"/>
        <v>235.62</v>
      </c>
      <c r="BU144" s="217">
        <f t="shared" si="233"/>
        <v>0.0169028047747333</v>
      </c>
      <c r="BV144" s="217">
        <f t="shared" si="234"/>
        <v>0.0100584086225049</v>
      </c>
      <c r="BW144" s="217">
        <f t="shared" si="235"/>
        <v>0.00403692251564749</v>
      </c>
      <c r="BX144" s="217">
        <f t="shared" si="236"/>
        <v>0</v>
      </c>
      <c r="BY144" s="217">
        <f t="shared" si="180"/>
        <v>0.0428837729215005</v>
      </c>
      <c r="BZ144" s="217">
        <f t="shared" si="250"/>
        <v>0.0309981359128857</v>
      </c>
      <c r="CA144" s="225">
        <f t="shared" si="270"/>
        <v>0.0131924329949138</v>
      </c>
      <c r="CB144" s="220">
        <f t="shared" si="238"/>
        <v>118.072477742186</v>
      </c>
      <c r="CC144" s="5">
        <f t="shared" si="251"/>
        <v>0.551626414417321</v>
      </c>
      <c r="CD144" s="192">
        <f t="shared" si="239"/>
        <v>3.71939765094645</v>
      </c>
      <c r="CE144" s="5">
        <f t="shared" si="240"/>
        <v>0.870844461193562</v>
      </c>
      <c r="CF144" s="192">
        <f t="shared" si="241"/>
        <v>87.0844461193562</v>
      </c>
      <c r="CG144">
        <f t="shared" si="242"/>
        <v>34</v>
      </c>
      <c r="CI144" s="227">
        <f t="shared" si="271"/>
        <v>146.582588832375</v>
      </c>
      <c r="CJ144">
        <f t="shared" si="272"/>
        <v>3.23901684330306</v>
      </c>
    </row>
    <row r="145" spans="5:88">
      <c r="E145" s="22">
        <v>35</v>
      </c>
      <c r="F145" s="25">
        <f t="shared" si="273"/>
        <v>0.175</v>
      </c>
      <c r="G145" s="25">
        <f t="shared" si="252"/>
        <v>0.14</v>
      </c>
      <c r="H145" s="25">
        <f t="shared" si="253"/>
        <v>3.15</v>
      </c>
      <c r="I145" s="25">
        <f t="shared" si="254"/>
        <v>0.7</v>
      </c>
      <c r="J145" s="212">
        <f t="shared" si="186"/>
        <v>10</v>
      </c>
      <c r="K145" s="131">
        <f t="shared" si="187"/>
        <v>11.8655242070813</v>
      </c>
      <c r="L145" s="131">
        <f t="shared" si="188"/>
        <v>22.2728</v>
      </c>
      <c r="M145" s="131"/>
      <c r="N145" s="25">
        <f t="shared" si="189"/>
        <v>0.551021874214288</v>
      </c>
      <c r="O145" s="27">
        <f t="shared" si="255"/>
        <v>3.04314353259255</v>
      </c>
      <c r="P145" s="27">
        <f t="shared" si="256"/>
        <v>0.676254118353899</v>
      </c>
      <c r="Q145" s="25">
        <f t="shared" si="192"/>
        <v>0.169063529588475</v>
      </c>
      <c r="R145" s="25">
        <f t="shared" si="257"/>
        <v>0.608628706518509</v>
      </c>
      <c r="S145" s="25">
        <f t="shared" si="258"/>
        <v>17.3893916148145</v>
      </c>
      <c r="T145" s="25">
        <f t="shared" si="259"/>
        <v>1.5</v>
      </c>
      <c r="U145" s="25">
        <f t="shared" si="196"/>
        <v>3.75</v>
      </c>
      <c r="V145" s="25">
        <f t="shared" si="197"/>
        <v>3.1604166276632</v>
      </c>
      <c r="W145" s="24">
        <f t="shared" si="198"/>
        <v>350</v>
      </c>
      <c r="X145" s="131">
        <f t="shared" si="199"/>
        <v>144.709075281638</v>
      </c>
      <c r="Z145" s="25">
        <f t="shared" si="200"/>
        <v>0.620181751207021</v>
      </c>
      <c r="AA145" s="5">
        <f t="shared" si="201"/>
        <v>1.3066884791253</v>
      </c>
      <c r="AB145" s="5">
        <f t="shared" si="260"/>
        <v>0.0773935471375121</v>
      </c>
      <c r="AC145" s="5"/>
      <c r="AD145" s="5">
        <f t="shared" si="203"/>
        <v>0.632083325532641</v>
      </c>
      <c r="AE145" s="216">
        <f t="shared" si="261"/>
        <v>3382.18062800178</v>
      </c>
      <c r="AF145" s="217">
        <f t="shared" si="262"/>
        <v>0.0181096182424139</v>
      </c>
      <c r="AH145" s="5">
        <f t="shared" si="263"/>
        <v>0.938083151964686</v>
      </c>
      <c r="AI145" s="5">
        <f t="shared" si="264"/>
        <v>1.5</v>
      </c>
      <c r="AJ145" s="5">
        <f t="shared" si="265"/>
        <v>2.08888888888889</v>
      </c>
      <c r="AL145" s="216">
        <f t="shared" si="266"/>
        <v>175</v>
      </c>
      <c r="AM145" s="220">
        <f t="shared" si="267"/>
        <v>144.709075281638</v>
      </c>
      <c r="AO145" s="220" t="str">
        <f t="shared" si="211"/>
        <v/>
      </c>
      <c r="AP145" s="220" t="str">
        <f t="shared" si="212"/>
        <v/>
      </c>
      <c r="AR145" s="192">
        <f t="shared" si="249"/>
        <v>6.9104166276632</v>
      </c>
      <c r="AS145" s="192">
        <f t="shared" si="246"/>
        <v>3.75</v>
      </c>
      <c r="AT145" s="192">
        <f t="shared" si="247"/>
        <v>3.1604166276632</v>
      </c>
      <c r="AU145" s="5">
        <f t="shared" si="248"/>
        <v>0.542659032306144</v>
      </c>
      <c r="AW145" s="192">
        <f t="shared" si="216"/>
        <v>3.64583333333333</v>
      </c>
      <c r="AX145" s="192"/>
      <c r="AY145" s="192">
        <f t="shared" si="217"/>
        <v>10.5</v>
      </c>
      <c r="AZ145" s="192"/>
      <c r="BA145" s="192">
        <f t="shared" si="218"/>
        <v>1.84357636613687</v>
      </c>
      <c r="BB145" s="192"/>
      <c r="BC145" s="192"/>
      <c r="BD145" s="5">
        <f t="shared" si="219"/>
        <v>0.63796102877026</v>
      </c>
      <c r="BE145" s="5">
        <f t="shared" si="220"/>
        <v>0.319614403797743</v>
      </c>
      <c r="BF145" s="5">
        <f t="shared" si="221"/>
        <v>0.242012552669896</v>
      </c>
      <c r="BG145" s="5"/>
      <c r="BH145" s="217">
        <f t="shared" si="222"/>
        <v>0.142447995980363</v>
      </c>
      <c r="BI145" s="217">
        <f t="shared" si="223"/>
        <v>0.0241730721894966</v>
      </c>
      <c r="BJ145" s="217">
        <f t="shared" si="224"/>
        <v>0.00180886344102048</v>
      </c>
      <c r="BK145" s="217">
        <f t="shared" si="225"/>
        <v>0.00358934668174813</v>
      </c>
      <c r="BL145">
        <f t="shared" si="226"/>
        <v>0.0029</v>
      </c>
      <c r="BM145">
        <f t="shared" si="268"/>
        <v>1.80886344102048e-6</v>
      </c>
      <c r="BN145">
        <f t="shared" si="269"/>
        <v>0.256358872211745</v>
      </c>
      <c r="BO145" s="220">
        <f t="shared" si="229"/>
        <v>174.919278292628</v>
      </c>
      <c r="BP145" s="5">
        <f t="shared" si="230"/>
        <v>0.13475</v>
      </c>
      <c r="BQ145" s="5">
        <f t="shared" si="231"/>
        <v>0.1078</v>
      </c>
      <c r="BR145" s="217"/>
      <c r="BT145" s="220">
        <f t="shared" si="232"/>
        <v>242.55</v>
      </c>
      <c r="BU145" s="217">
        <f t="shared" si="233"/>
        <v>0.0166867652434139</v>
      </c>
      <c r="BV145" s="217">
        <f t="shared" si="234"/>
        <v>0.0102153367114987</v>
      </c>
      <c r="BW145" s="217">
        <f t="shared" si="235"/>
        <v>0.00409990529548594</v>
      </c>
      <c r="BX145" s="217">
        <f t="shared" si="236"/>
        <v>0</v>
      </c>
      <c r="BY145" s="217">
        <f t="shared" si="180"/>
        <v>0.0428891419647624</v>
      </c>
      <c r="BZ145" s="217">
        <f t="shared" si="250"/>
        <v>0.0310020072503985</v>
      </c>
      <c r="CA145" s="225">
        <f t="shared" si="270"/>
        <v>0.0130238167753474</v>
      </c>
      <c r="CB145" s="220">
        <f t="shared" si="238"/>
        <v>117.916973240907</v>
      </c>
      <c r="CC145" s="5">
        <f t="shared" si="251"/>
        <v>0.554821830951855</v>
      </c>
      <c r="CD145" s="192">
        <f t="shared" si="239"/>
        <v>3.71939765094645</v>
      </c>
      <c r="CE145" s="5">
        <f t="shared" si="240"/>
        <v>0.870193415826779</v>
      </c>
      <c r="CF145" s="192">
        <f t="shared" si="241"/>
        <v>87.0193415826779</v>
      </c>
      <c r="CG145">
        <f t="shared" si="242"/>
        <v>35</v>
      </c>
      <c r="CI145" s="227">
        <f t="shared" si="271"/>
        <v>-50</v>
      </c>
      <c r="CJ145">
        <f t="shared" si="272"/>
        <v>-50</v>
      </c>
    </row>
    <row r="146" spans="5:88">
      <c r="E146" s="22">
        <v>36</v>
      </c>
      <c r="F146" s="25">
        <f t="shared" si="273"/>
        <v>0.18</v>
      </c>
      <c r="G146" s="25">
        <f t="shared" si="252"/>
        <v>0.144</v>
      </c>
      <c r="H146" s="25">
        <f t="shared" si="253"/>
        <v>3.24</v>
      </c>
      <c r="I146" s="25">
        <f t="shared" si="254"/>
        <v>0.72</v>
      </c>
      <c r="J146" s="212">
        <f t="shared" si="186"/>
        <v>10</v>
      </c>
      <c r="K146" s="131">
        <f t="shared" si="187"/>
        <v>11.5433374235513</v>
      </c>
      <c r="L146" s="131">
        <f t="shared" si="188"/>
        <v>22.2728</v>
      </c>
      <c r="M146" s="131"/>
      <c r="N146" s="25">
        <f t="shared" si="189"/>
        <v>0.551021874214288</v>
      </c>
      <c r="O146" s="27">
        <f t="shared" si="255"/>
        <v>3.04314353259255</v>
      </c>
      <c r="P146" s="27">
        <f t="shared" si="256"/>
        <v>0.676254118353899</v>
      </c>
      <c r="Q146" s="25">
        <f t="shared" si="192"/>
        <v>0.169063529588475</v>
      </c>
      <c r="R146" s="25">
        <f t="shared" si="257"/>
        <v>0.608628706518509</v>
      </c>
      <c r="S146" s="25">
        <f t="shared" si="258"/>
        <v>16.9063529588475</v>
      </c>
      <c r="T146" s="25">
        <f t="shared" si="259"/>
        <v>1.5</v>
      </c>
      <c r="U146" s="25">
        <f t="shared" si="196"/>
        <v>3.75</v>
      </c>
      <c r="V146" s="25">
        <f t="shared" si="197"/>
        <v>3.24862720581057</v>
      </c>
      <c r="W146" s="24">
        <f t="shared" si="198"/>
        <v>350</v>
      </c>
      <c r="X146" s="131">
        <f t="shared" si="199"/>
        <v>142.885164560524</v>
      </c>
      <c r="Z146" s="25">
        <f t="shared" si="200"/>
        <v>0.612364990973672</v>
      </c>
      <c r="AA146" s="5">
        <f t="shared" si="201"/>
        <v>1.32623037970868</v>
      </c>
      <c r="AB146" s="5">
        <f t="shared" si="260"/>
        <v>0.0775609344707174</v>
      </c>
      <c r="AC146" s="5"/>
      <c r="AD146" s="5">
        <f t="shared" si="203"/>
        <v>0.649725441162113</v>
      </c>
      <c r="AE146" s="216">
        <f t="shared" si="261"/>
        <v>3384.35346750796</v>
      </c>
      <c r="AF146" s="217">
        <f t="shared" si="262"/>
        <v>0.0186150768839135</v>
      </c>
      <c r="AH146" s="5">
        <f t="shared" si="263"/>
        <v>0.95138996060651</v>
      </c>
      <c r="AI146" s="5">
        <f t="shared" si="264"/>
        <v>1.5</v>
      </c>
      <c r="AJ146" s="5">
        <f t="shared" si="265"/>
        <v>2.08888888888889</v>
      </c>
      <c r="AL146" s="216">
        <f t="shared" si="266"/>
        <v>180</v>
      </c>
      <c r="AM146" s="220">
        <f t="shared" si="267"/>
        <v>142.885164560524</v>
      </c>
      <c r="AO146" s="220" t="str">
        <f t="shared" si="211"/>
        <v/>
      </c>
      <c r="AP146" s="220" t="str">
        <f t="shared" si="212"/>
        <v/>
      </c>
      <c r="AR146" s="192">
        <f t="shared" si="249"/>
        <v>6.99862720581057</v>
      </c>
      <c r="AS146" s="192">
        <f t="shared" si="246"/>
        <v>3.75</v>
      </c>
      <c r="AT146" s="192">
        <f t="shared" si="247"/>
        <v>3.24862720581057</v>
      </c>
      <c r="AU146" s="5">
        <f t="shared" si="248"/>
        <v>0.535819367101963</v>
      </c>
      <c r="AW146" s="192">
        <f t="shared" si="216"/>
        <v>3.75</v>
      </c>
      <c r="AX146" s="192"/>
      <c r="AY146" s="192">
        <f t="shared" si="217"/>
        <v>10.8</v>
      </c>
      <c r="AZ146" s="192"/>
      <c r="BA146" s="192">
        <f t="shared" si="218"/>
        <v>1.94917632348634</v>
      </c>
      <c r="BB146" s="192"/>
      <c r="BC146" s="192"/>
      <c r="BD146" s="5">
        <f t="shared" si="219"/>
        <v>0.633927854985465</v>
      </c>
      <c r="BE146" s="5">
        <f t="shared" si="220"/>
        <v>0.321995496844372</v>
      </c>
      <c r="BF146" s="5">
        <f t="shared" si="221"/>
        <v>0.243815520244298</v>
      </c>
      <c r="BG146" s="5"/>
      <c r="BH146" s="217">
        <f t="shared" si="222"/>
        <v>0.140652583864265</v>
      </c>
      <c r="BI146" s="217">
        <f t="shared" si="223"/>
        <v>0.0238683951991772</v>
      </c>
      <c r="BJ146" s="217">
        <f t="shared" si="224"/>
        <v>0.00178606455700654</v>
      </c>
      <c r="BK146" s="217">
        <f t="shared" si="225"/>
        <v>0.00354410661728156</v>
      </c>
      <c r="BL146">
        <f t="shared" si="226"/>
        <v>0.0029</v>
      </c>
      <c r="BM146">
        <f t="shared" si="268"/>
        <v>1.78606455700654e-6</v>
      </c>
      <c r="BN146">
        <f t="shared" si="269"/>
        <v>0.25288981959359</v>
      </c>
      <c r="BO146" s="220">
        <f t="shared" si="229"/>
        <v>172.751150237731</v>
      </c>
      <c r="BP146" s="5">
        <f t="shared" si="230"/>
        <v>0.1386</v>
      </c>
      <c r="BQ146" s="5">
        <f t="shared" si="231"/>
        <v>0.11088</v>
      </c>
      <c r="BR146" s="217"/>
      <c r="BT146" s="220">
        <f t="shared" si="232"/>
        <v>249.48</v>
      </c>
      <c r="BU146" s="217">
        <f t="shared" si="233"/>
        <v>0.0164764455383854</v>
      </c>
      <c r="BV146" s="217">
        <f t="shared" si="234"/>
        <v>0.0103681099988054</v>
      </c>
      <c r="BW146" s="217">
        <f t="shared" si="235"/>
        <v>0.00416122055383983</v>
      </c>
      <c r="BX146" s="217">
        <f t="shared" si="236"/>
        <v>0</v>
      </c>
      <c r="BY146" s="217">
        <f t="shared" si="180"/>
        <v>0.0428943688613407</v>
      </c>
      <c r="BZ146" s="217">
        <f t="shared" si="250"/>
        <v>0.0310057760910306</v>
      </c>
      <c r="CA146" s="225">
        <f t="shared" si="270"/>
        <v>0.0128596648104471</v>
      </c>
      <c r="CB146" s="220">
        <f t="shared" si="238"/>
        <v>117.765585853849</v>
      </c>
      <c r="CC146" s="5">
        <f t="shared" si="251"/>
        <v>0.558123853265378</v>
      </c>
      <c r="CD146" s="192">
        <f t="shared" si="239"/>
        <v>3.71939765094645</v>
      </c>
      <c r="CE146" s="5">
        <f t="shared" si="240"/>
        <v>0.869521672137516</v>
      </c>
      <c r="CF146" s="192">
        <f t="shared" si="241"/>
        <v>86.9521672137516</v>
      </c>
      <c r="CG146">
        <f t="shared" si="242"/>
        <v>36</v>
      </c>
      <c r="CI146" s="227">
        <f t="shared" si="271"/>
        <v>-50</v>
      </c>
      <c r="CJ146">
        <f t="shared" si="272"/>
        <v>-50</v>
      </c>
    </row>
    <row r="147" spans="5:88">
      <c r="E147" s="22">
        <v>37</v>
      </c>
      <c r="F147" s="25">
        <f t="shared" si="273"/>
        <v>0.185</v>
      </c>
      <c r="G147" s="25">
        <f t="shared" si="252"/>
        <v>0.148</v>
      </c>
      <c r="H147" s="25">
        <f t="shared" si="253"/>
        <v>3.33</v>
      </c>
      <c r="I147" s="25">
        <f t="shared" si="254"/>
        <v>0.74</v>
      </c>
      <c r="J147" s="212">
        <f t="shared" si="186"/>
        <v>10</v>
      </c>
      <c r="K147" s="131">
        <f t="shared" si="187"/>
        <v>11.2385661418337</v>
      </c>
      <c r="L147" s="131">
        <f t="shared" si="188"/>
        <v>22.2728</v>
      </c>
      <c r="M147" s="131"/>
      <c r="N147" s="25">
        <f t="shared" si="189"/>
        <v>0.551021874214288</v>
      </c>
      <c r="O147" s="27">
        <f t="shared" si="255"/>
        <v>3.04314353259255</v>
      </c>
      <c r="P147" s="27">
        <f t="shared" si="256"/>
        <v>0.676254118353899</v>
      </c>
      <c r="Q147" s="25">
        <f t="shared" si="192"/>
        <v>0.169063529588475</v>
      </c>
      <c r="R147" s="25">
        <f t="shared" si="257"/>
        <v>0.608628706518509</v>
      </c>
      <c r="S147" s="25">
        <f t="shared" si="258"/>
        <v>16.4494245005002</v>
      </c>
      <c r="T147" s="25">
        <f t="shared" si="259"/>
        <v>1.5</v>
      </c>
      <c r="U147" s="25">
        <f t="shared" si="196"/>
        <v>3.75</v>
      </c>
      <c r="V147" s="25">
        <f t="shared" si="197"/>
        <v>3.33672458984002</v>
      </c>
      <c r="W147" s="24">
        <f t="shared" si="198"/>
        <v>350</v>
      </c>
      <c r="X147" s="131">
        <f t="shared" si="199"/>
        <v>141.108912491627</v>
      </c>
      <c r="Z147" s="25">
        <f t="shared" si="200"/>
        <v>0.604752482106975</v>
      </c>
      <c r="AA147" s="5">
        <f t="shared" si="201"/>
        <v>1.34526165187542</v>
      </c>
      <c r="AB147" s="5">
        <f t="shared" si="260"/>
        <v>0.0776959048297585</v>
      </c>
      <c r="AC147" s="5"/>
      <c r="AD147" s="5">
        <f t="shared" si="203"/>
        <v>0.667344917968004</v>
      </c>
      <c r="AE147" s="216">
        <f t="shared" si="261"/>
        <v>3386.52630701414</v>
      </c>
      <c r="AF147" s="217">
        <f t="shared" si="262"/>
        <v>0.0191198869076819</v>
      </c>
      <c r="AH147" s="5">
        <f t="shared" si="263"/>
        <v>0.964513200679863</v>
      </c>
      <c r="AI147" s="5">
        <f t="shared" si="264"/>
        <v>1.5</v>
      </c>
      <c r="AJ147" s="5">
        <f t="shared" si="265"/>
        <v>2.08888888888889</v>
      </c>
      <c r="AL147" s="216">
        <f t="shared" si="266"/>
        <v>185</v>
      </c>
      <c r="AM147" s="220">
        <f t="shared" si="267"/>
        <v>141.108912491627</v>
      </c>
      <c r="AO147" s="220" t="str">
        <f t="shared" si="211"/>
        <v/>
      </c>
      <c r="AP147" s="220" t="str">
        <f t="shared" si="212"/>
        <v/>
      </c>
      <c r="AR147" s="192">
        <f t="shared" si="249"/>
        <v>7.08672458984002</v>
      </c>
      <c r="AS147" s="192">
        <f t="shared" si="246"/>
        <v>3.75</v>
      </c>
      <c r="AT147" s="192">
        <f t="shared" si="247"/>
        <v>3.33672458984002</v>
      </c>
      <c r="AU147" s="5">
        <f t="shared" si="248"/>
        <v>0.529158421843603</v>
      </c>
      <c r="AW147" s="192">
        <f t="shared" si="216"/>
        <v>3.85416666666667</v>
      </c>
      <c r="AX147" s="192"/>
      <c r="AY147" s="192">
        <f t="shared" si="217"/>
        <v>11.1</v>
      </c>
      <c r="AZ147" s="192"/>
      <c r="BA147" s="192">
        <f t="shared" si="218"/>
        <v>2.05764683040135</v>
      </c>
      <c r="BB147" s="192"/>
      <c r="BC147" s="192"/>
      <c r="BD147" s="5">
        <f t="shared" si="219"/>
        <v>0.629975250611246</v>
      </c>
      <c r="BE147" s="5">
        <f t="shared" si="220"/>
        <v>0.324297569084571</v>
      </c>
      <c r="BF147" s="5">
        <f t="shared" si="221"/>
        <v>0.245558653133996</v>
      </c>
      <c r="BG147" s="5"/>
      <c r="BH147" s="217">
        <f t="shared" si="222"/>
        <v>0.138904085733946</v>
      </c>
      <c r="BI147" s="217">
        <f t="shared" si="223"/>
        <v>0.0235716793960764</v>
      </c>
      <c r="BJ147" s="217">
        <f t="shared" si="224"/>
        <v>0.00176386140614534</v>
      </c>
      <c r="BK147" s="217">
        <f t="shared" si="225"/>
        <v>0.00350004867235287</v>
      </c>
      <c r="BL147">
        <f t="shared" si="226"/>
        <v>0.0029</v>
      </c>
      <c r="BM147">
        <f t="shared" si="268"/>
        <v>1.76386140614534e-6</v>
      </c>
      <c r="BN147">
        <f t="shared" si="269"/>
        <v>0.249518718550153</v>
      </c>
      <c r="BO147" s="220">
        <f t="shared" si="229"/>
        <v>170.63967520852</v>
      </c>
      <c r="BP147" s="5">
        <f t="shared" si="230"/>
        <v>0.14245</v>
      </c>
      <c r="BQ147" s="5">
        <f t="shared" si="231"/>
        <v>0.11396</v>
      </c>
      <c r="BR147" s="217"/>
      <c r="BT147" s="220">
        <f t="shared" si="232"/>
        <v>256.41</v>
      </c>
      <c r="BU147" s="217">
        <f t="shared" si="233"/>
        <v>0.0162716214716908</v>
      </c>
      <c r="BV147" s="217">
        <f t="shared" si="234"/>
        <v>0.0105168913314162</v>
      </c>
      <c r="BW147" s="217">
        <f t="shared" si="235"/>
        <v>0.00422093364902875</v>
      </c>
      <c r="BX147" s="217">
        <f t="shared" si="236"/>
        <v>0</v>
      </c>
      <c r="BY147" s="217">
        <f t="shared" si="180"/>
        <v>0.042899459182535</v>
      </c>
      <c r="BZ147" s="217">
        <f t="shared" si="250"/>
        <v>0.0310094464521357</v>
      </c>
      <c r="CA147" s="225">
        <f t="shared" si="270"/>
        <v>0.0126998021242465</v>
      </c>
      <c r="CB147" s="220">
        <f t="shared" si="238"/>
        <v>117.618154211053</v>
      </c>
      <c r="CC147" s="5">
        <f t="shared" si="251"/>
        <v>0.561527979856934</v>
      </c>
      <c r="CD147" s="192">
        <f t="shared" si="239"/>
        <v>3.71939765094645</v>
      </c>
      <c r="CE147" s="5">
        <f t="shared" si="240"/>
        <v>0.868830241801805</v>
      </c>
      <c r="CF147" s="192">
        <f t="shared" si="241"/>
        <v>86.8830241801805</v>
      </c>
      <c r="CG147">
        <f t="shared" si="242"/>
        <v>37</v>
      </c>
      <c r="CI147" s="227">
        <f t="shared" si="271"/>
        <v>-50</v>
      </c>
      <c r="CJ147">
        <f t="shared" si="272"/>
        <v>-50</v>
      </c>
    </row>
    <row r="148" spans="5:88">
      <c r="E148" s="22">
        <v>38</v>
      </c>
      <c r="F148" s="25">
        <f t="shared" si="273"/>
        <v>0.19</v>
      </c>
      <c r="G148" s="25">
        <f t="shared" si="252"/>
        <v>0.152</v>
      </c>
      <c r="H148" s="25">
        <f t="shared" si="253"/>
        <v>3.42</v>
      </c>
      <c r="I148" s="25">
        <f t="shared" si="254"/>
        <v>0.76</v>
      </c>
      <c r="J148" s="212">
        <f t="shared" si="186"/>
        <v>10</v>
      </c>
      <c r="K148" s="131">
        <f t="shared" si="187"/>
        <v>10.9498354538907</v>
      </c>
      <c r="L148" s="131">
        <f t="shared" si="188"/>
        <v>22.2728</v>
      </c>
      <c r="M148" s="131"/>
      <c r="N148" s="25">
        <f t="shared" si="189"/>
        <v>0.551021874214288</v>
      </c>
      <c r="O148" s="27">
        <f t="shared" si="255"/>
        <v>3.04314353259255</v>
      </c>
      <c r="P148" s="27">
        <f t="shared" si="256"/>
        <v>0.676254118353899</v>
      </c>
      <c r="Q148" s="25">
        <f t="shared" si="192"/>
        <v>0.169063529588475</v>
      </c>
      <c r="R148" s="25">
        <f t="shared" si="257"/>
        <v>0.608628706518509</v>
      </c>
      <c r="S148" s="25">
        <f t="shared" si="258"/>
        <v>16.0165449083818</v>
      </c>
      <c r="T148" s="25">
        <f t="shared" si="259"/>
        <v>1.5</v>
      </c>
      <c r="U148" s="25">
        <f t="shared" si="196"/>
        <v>3.75</v>
      </c>
      <c r="V148" s="25">
        <f t="shared" si="197"/>
        <v>3.42470899749233</v>
      </c>
      <c r="W148" s="24">
        <f t="shared" si="198"/>
        <v>350</v>
      </c>
      <c r="X148" s="131">
        <f t="shared" si="199"/>
        <v>139.378475189658</v>
      </c>
      <c r="Z148" s="25">
        <f t="shared" si="200"/>
        <v>0.597336322241391</v>
      </c>
      <c r="AA148" s="5">
        <f t="shared" si="201"/>
        <v>1.36380205153938</v>
      </c>
      <c r="AB148" s="5">
        <f t="shared" si="260"/>
        <v>0.0778007833892542</v>
      </c>
      <c r="AC148" s="5"/>
      <c r="AD148" s="5">
        <f t="shared" si="203"/>
        <v>0.684941799498466</v>
      </c>
      <c r="AE148" s="216">
        <f t="shared" si="261"/>
        <v>3388.6991465203</v>
      </c>
      <c r="AF148" s="217">
        <f t="shared" si="262"/>
        <v>0.0196240495614034</v>
      </c>
      <c r="AH148" s="5">
        <f t="shared" si="263"/>
        <v>0.977460265907812</v>
      </c>
      <c r="AI148" s="5">
        <f t="shared" si="264"/>
        <v>1.5</v>
      </c>
      <c r="AJ148" s="5">
        <f t="shared" si="265"/>
        <v>2.08888888888889</v>
      </c>
      <c r="AL148" s="216">
        <f t="shared" si="266"/>
        <v>190</v>
      </c>
      <c r="AM148" s="220">
        <f t="shared" si="267"/>
        <v>139.378475189658</v>
      </c>
      <c r="AO148" s="220" t="str">
        <f t="shared" si="211"/>
        <v/>
      </c>
      <c r="AP148" s="220" t="str">
        <f t="shared" si="212"/>
        <v/>
      </c>
      <c r="AR148" s="192">
        <f t="shared" si="249"/>
        <v>7.17470899749233</v>
      </c>
      <c r="AS148" s="192">
        <f t="shared" si="246"/>
        <v>3.75</v>
      </c>
      <c r="AT148" s="192">
        <f t="shared" si="247"/>
        <v>3.42470899749233</v>
      </c>
      <c r="AU148" s="5">
        <f t="shared" si="248"/>
        <v>0.522669281961217</v>
      </c>
      <c r="AW148" s="192">
        <f t="shared" si="216"/>
        <v>3.95833333333333</v>
      </c>
      <c r="AX148" s="192"/>
      <c r="AY148" s="192">
        <f t="shared" si="217"/>
        <v>11.4</v>
      </c>
      <c r="AZ148" s="192"/>
      <c r="BA148" s="192">
        <f t="shared" si="218"/>
        <v>2.16898236507848</v>
      </c>
      <c r="BB148" s="192"/>
      <c r="BC148" s="192"/>
      <c r="BD148" s="5">
        <f t="shared" si="219"/>
        <v>0.62610060012023</v>
      </c>
      <c r="BE148" s="5">
        <f t="shared" si="220"/>
        <v>0.326524656890045</v>
      </c>
      <c r="BF148" s="5">
        <f t="shared" si="221"/>
        <v>0.247245007686289</v>
      </c>
      <c r="BG148" s="5"/>
      <c r="BH148" s="217">
        <f t="shared" si="222"/>
        <v>0.137200686514819</v>
      </c>
      <c r="BI148" s="217">
        <f t="shared" si="223"/>
        <v>0.0232826167665316</v>
      </c>
      <c r="BJ148" s="217">
        <f t="shared" si="224"/>
        <v>0.00174223093987072</v>
      </c>
      <c r="BK148" s="217">
        <f t="shared" si="225"/>
        <v>0.0034571271114507</v>
      </c>
      <c r="BL148">
        <f t="shared" si="226"/>
        <v>0.0029</v>
      </c>
      <c r="BM148">
        <f t="shared" si="268"/>
        <v>1.74223093987072e-6</v>
      </c>
      <c r="BN148">
        <f t="shared" si="269"/>
        <v>0.24624147822007</v>
      </c>
      <c r="BO148" s="220">
        <f t="shared" si="229"/>
        <v>168.582661332672</v>
      </c>
      <c r="BP148" s="5">
        <f t="shared" si="230"/>
        <v>0.1463</v>
      </c>
      <c r="BQ148" s="5">
        <f t="shared" si="231"/>
        <v>0.11704</v>
      </c>
      <c r="BR148" s="217"/>
      <c r="BT148" s="220">
        <f t="shared" si="232"/>
        <v>263.34</v>
      </c>
      <c r="BU148" s="217">
        <f t="shared" si="233"/>
        <v>0.0160720804203074</v>
      </c>
      <c r="BV148" s="217">
        <f t="shared" si="234"/>
        <v>0.0106618351557161</v>
      </c>
      <c r="BW148" s="217">
        <f t="shared" si="235"/>
        <v>0.00427910656780552</v>
      </c>
      <c r="BX148" s="217">
        <f t="shared" si="236"/>
        <v>0</v>
      </c>
      <c r="BY148" s="217">
        <f t="shared" si="180"/>
        <v>0.0429044182122509</v>
      </c>
      <c r="BZ148" s="217">
        <f t="shared" si="250"/>
        <v>0.0310130221438291</v>
      </c>
      <c r="CA148" s="225">
        <f t="shared" si="270"/>
        <v>0.0125440627670692</v>
      </c>
      <c r="CB148" s="220">
        <f t="shared" si="238"/>
        <v>117.474525266978</v>
      </c>
      <c r="CC148" s="5">
        <f t="shared" si="251"/>
        <v>0.56502995919939</v>
      </c>
      <c r="CD148" s="192">
        <f t="shared" si="239"/>
        <v>3.71939765094645</v>
      </c>
      <c r="CE148" s="5">
        <f t="shared" si="240"/>
        <v>0.868120082631024</v>
      </c>
      <c r="CF148" s="192">
        <f t="shared" si="241"/>
        <v>86.8120082631024</v>
      </c>
      <c r="CG148">
        <f t="shared" si="242"/>
        <v>38</v>
      </c>
      <c r="CI148" s="227">
        <f t="shared" si="271"/>
        <v>-50</v>
      </c>
      <c r="CJ148">
        <f t="shared" si="272"/>
        <v>-50</v>
      </c>
    </row>
    <row r="149" spans="5:88">
      <c r="E149" s="22">
        <v>39</v>
      </c>
      <c r="F149" s="25">
        <f t="shared" si="273"/>
        <v>0.195</v>
      </c>
      <c r="G149" s="25">
        <f t="shared" si="252"/>
        <v>0.156</v>
      </c>
      <c r="H149" s="25">
        <f t="shared" si="253"/>
        <v>3.51</v>
      </c>
      <c r="I149" s="25">
        <f t="shared" si="254"/>
        <v>0.78</v>
      </c>
      <c r="J149" s="212">
        <f t="shared" si="186"/>
        <v>10</v>
      </c>
      <c r="K149" s="131">
        <f t="shared" si="187"/>
        <v>10.6759114678935</v>
      </c>
      <c r="L149" s="131">
        <f t="shared" si="188"/>
        <v>22.2728</v>
      </c>
      <c r="M149" s="131"/>
      <c r="N149" s="25">
        <f t="shared" si="189"/>
        <v>0.551021874214288</v>
      </c>
      <c r="O149" s="27">
        <f t="shared" si="255"/>
        <v>3.04314353259255</v>
      </c>
      <c r="P149" s="27">
        <f t="shared" si="256"/>
        <v>0.676254118353899</v>
      </c>
      <c r="Q149" s="25">
        <f t="shared" si="192"/>
        <v>0.169063529588475</v>
      </c>
      <c r="R149" s="25">
        <f t="shared" si="257"/>
        <v>0.608628706518509</v>
      </c>
      <c r="S149" s="25">
        <f t="shared" si="258"/>
        <v>15.6058642697054</v>
      </c>
      <c r="T149" s="25">
        <f t="shared" si="259"/>
        <v>1.5</v>
      </c>
      <c r="U149" s="25">
        <f t="shared" si="196"/>
        <v>3.75</v>
      </c>
      <c r="V149" s="25">
        <f t="shared" si="197"/>
        <v>3.51258064595015</v>
      </c>
      <c r="W149" s="24">
        <f t="shared" si="198"/>
        <v>350</v>
      </c>
      <c r="X149" s="131">
        <f t="shared" si="199"/>
        <v>137.692102676702</v>
      </c>
      <c r="Z149" s="25">
        <f t="shared" si="200"/>
        <v>0.590109011471582</v>
      </c>
      <c r="AA149" s="5">
        <f t="shared" si="201"/>
        <v>1.3818703284639</v>
      </c>
      <c r="AB149" s="5">
        <f t="shared" si="260"/>
        <v>0.0778777230552204</v>
      </c>
      <c r="AC149" s="5"/>
      <c r="AD149" s="5">
        <f t="shared" si="203"/>
        <v>0.702516129190031</v>
      </c>
      <c r="AE149" s="216">
        <f t="shared" si="261"/>
        <v>3390.87198602648</v>
      </c>
      <c r="AF149" s="217">
        <f t="shared" si="262"/>
        <v>0.0201275660895643</v>
      </c>
      <c r="AH149" s="5">
        <f t="shared" si="263"/>
        <v>0.990238066613998</v>
      </c>
      <c r="AI149" s="5">
        <f t="shared" si="264"/>
        <v>1.5</v>
      </c>
      <c r="AJ149" s="5">
        <f t="shared" si="265"/>
        <v>2.08888888888889</v>
      </c>
      <c r="AL149" s="216">
        <f t="shared" si="266"/>
        <v>195</v>
      </c>
      <c r="AM149" s="220">
        <f t="shared" si="267"/>
        <v>137.692102676702</v>
      </c>
      <c r="AO149" s="220" t="str">
        <f t="shared" si="211"/>
        <v/>
      </c>
      <c r="AP149" s="220" t="str">
        <f t="shared" si="212"/>
        <v/>
      </c>
      <c r="AR149" s="192">
        <f t="shared" si="249"/>
        <v>7.26258064595015</v>
      </c>
      <c r="AS149" s="192">
        <f t="shared" si="246"/>
        <v>3.75</v>
      </c>
      <c r="AT149" s="192">
        <f t="shared" si="247"/>
        <v>3.51258064595015</v>
      </c>
      <c r="AU149" s="5">
        <f t="shared" si="248"/>
        <v>0.516345385037634</v>
      </c>
      <c r="AW149" s="192">
        <f t="shared" si="216"/>
        <v>4.0625</v>
      </c>
      <c r="AX149" s="192"/>
      <c r="AY149" s="192">
        <f t="shared" si="217"/>
        <v>11.7</v>
      </c>
      <c r="AZ149" s="192"/>
      <c r="BA149" s="192">
        <f t="shared" si="218"/>
        <v>2.2831774198676</v>
      </c>
      <c r="BB149" s="192"/>
      <c r="BC149" s="192"/>
      <c r="BD149" s="5">
        <f t="shared" si="219"/>
        <v>0.622301405090994</v>
      </c>
      <c r="BE149" s="5">
        <f t="shared" si="220"/>
        <v>0.328680514364301</v>
      </c>
      <c r="BF149" s="5">
        <f t="shared" si="221"/>
        <v>0.248877426514532</v>
      </c>
      <c r="BG149" s="5"/>
      <c r="BH149" s="217">
        <f t="shared" si="222"/>
        <v>0.135540663572379</v>
      </c>
      <c r="BI149" s="217">
        <f t="shared" si="223"/>
        <v>0.0230009149837324</v>
      </c>
      <c r="BJ149" s="217">
        <f t="shared" si="224"/>
        <v>0.00172115128345878</v>
      </c>
      <c r="BK149" s="217">
        <f t="shared" si="225"/>
        <v>0.00341529852833117</v>
      </c>
      <c r="BL149">
        <f t="shared" si="226"/>
        <v>0.0029</v>
      </c>
      <c r="BM149">
        <f t="shared" si="268"/>
        <v>1.72115128345878e-6</v>
      </c>
      <c r="BN149">
        <f t="shared" si="269"/>
        <v>0.243054232415843</v>
      </c>
      <c r="BO149" s="220">
        <f t="shared" si="229"/>
        <v>166.578028367901</v>
      </c>
      <c r="BP149" s="5">
        <f t="shared" si="230"/>
        <v>0.15015</v>
      </c>
      <c r="BQ149" s="5">
        <f t="shared" si="231"/>
        <v>0.12012</v>
      </c>
      <c r="BR149" s="217"/>
      <c r="BT149" s="220">
        <f t="shared" si="232"/>
        <v>270.27</v>
      </c>
      <c r="BU149" s="217">
        <f t="shared" si="233"/>
        <v>0.0158776205899072</v>
      </c>
      <c r="BV149" s="217">
        <f t="shared" si="234"/>
        <v>0.0108030880522781</v>
      </c>
      <c r="BW149" s="217">
        <f t="shared" si="235"/>
        <v>0.00433579813999474</v>
      </c>
      <c r="BX149" s="217">
        <f t="shared" si="236"/>
        <v>0</v>
      </c>
      <c r="BY149" s="217">
        <f t="shared" si="180"/>
        <v>0.0429092509652952</v>
      </c>
      <c r="BZ149" s="217">
        <f t="shared" si="250"/>
        <v>0.0310165067821801</v>
      </c>
      <c r="CA149" s="225">
        <f t="shared" si="270"/>
        <v>0.0123922892409032</v>
      </c>
      <c r="CB149" s="220">
        <f t="shared" si="238"/>
        <v>117.334553770559</v>
      </c>
      <c r="CC149" s="5">
        <f t="shared" si="251"/>
        <v>0.568625772622042</v>
      </c>
      <c r="CD149" s="192">
        <f t="shared" si="239"/>
        <v>3.71939765094645</v>
      </c>
      <c r="CE149" s="5">
        <f t="shared" si="240"/>
        <v>0.86739210203548</v>
      </c>
      <c r="CF149" s="192">
        <f t="shared" si="241"/>
        <v>86.739210203548</v>
      </c>
      <c r="CG149">
        <f t="shared" si="242"/>
        <v>39</v>
      </c>
      <c r="CI149" s="227">
        <f t="shared" si="271"/>
        <v>-50</v>
      </c>
      <c r="CJ149">
        <f t="shared" si="272"/>
        <v>-50</v>
      </c>
    </row>
    <row r="150" spans="5:88">
      <c r="E150" s="22">
        <v>40</v>
      </c>
      <c r="F150" s="25">
        <f t="shared" si="273"/>
        <v>0.2</v>
      </c>
      <c r="G150" s="25">
        <f t="shared" si="252"/>
        <v>0.16</v>
      </c>
      <c r="H150" s="25">
        <f t="shared" si="253"/>
        <v>3.6</v>
      </c>
      <c r="I150" s="25">
        <f t="shared" si="254"/>
        <v>0.8</v>
      </c>
      <c r="J150" s="212">
        <f t="shared" si="186"/>
        <v>10</v>
      </c>
      <c r="K150" s="131">
        <f t="shared" si="187"/>
        <v>10.4156836811961</v>
      </c>
      <c r="L150" s="131">
        <f t="shared" si="188"/>
        <v>22.2728</v>
      </c>
      <c r="M150" s="131"/>
      <c r="N150" s="25">
        <f t="shared" si="189"/>
        <v>0.551021874214288</v>
      </c>
      <c r="O150" s="27">
        <f t="shared" si="255"/>
        <v>3.04314353259255</v>
      </c>
      <c r="P150" s="27">
        <f t="shared" si="256"/>
        <v>0.676254118353899</v>
      </c>
      <c r="Q150" s="25">
        <f t="shared" si="192"/>
        <v>0.169063529588475</v>
      </c>
      <c r="R150" s="25">
        <f t="shared" si="257"/>
        <v>0.608628706518509</v>
      </c>
      <c r="S150" s="25">
        <f t="shared" si="258"/>
        <v>15.2157176629627</v>
      </c>
      <c r="T150" s="25">
        <f t="shared" si="259"/>
        <v>1.5</v>
      </c>
      <c r="U150" s="25">
        <f t="shared" si="196"/>
        <v>3.75</v>
      </c>
      <c r="V150" s="25">
        <f t="shared" si="197"/>
        <v>3.60033975183986</v>
      </c>
      <c r="W150" s="24">
        <f t="shared" si="198"/>
        <v>350</v>
      </c>
      <c r="X150" s="131">
        <f t="shared" si="199"/>
        <v>136.048132979117</v>
      </c>
      <c r="Z150" s="25">
        <f t="shared" si="200"/>
        <v>0.583063427053359</v>
      </c>
      <c r="AA150" s="5">
        <f t="shared" si="201"/>
        <v>1.39948428950946</v>
      </c>
      <c r="AB150" s="5">
        <f t="shared" si="260"/>
        <v>0.0779287186365255</v>
      </c>
      <c r="AC150" s="5"/>
      <c r="AD150" s="5">
        <f t="shared" si="203"/>
        <v>0.720067950367971</v>
      </c>
      <c r="AE150" s="216">
        <f t="shared" si="261"/>
        <v>3393.04482553263</v>
      </c>
      <c r="AF150" s="217">
        <f t="shared" si="262"/>
        <v>0.0206304377334631</v>
      </c>
      <c r="AH150" s="5">
        <f t="shared" si="263"/>
        <v>1.00285307284481</v>
      </c>
      <c r="AI150" s="5">
        <f t="shared" si="264"/>
        <v>1.5</v>
      </c>
      <c r="AJ150" s="5">
        <f t="shared" si="265"/>
        <v>2.08888888888889</v>
      </c>
      <c r="AL150" s="216">
        <f t="shared" si="266"/>
        <v>200</v>
      </c>
      <c r="AM150" s="220">
        <f t="shared" si="267"/>
        <v>136.048132979117</v>
      </c>
      <c r="AO150" s="220" t="str">
        <f t="shared" si="211"/>
        <v/>
      </c>
      <c r="AP150" s="220" t="str">
        <f t="shared" si="212"/>
        <v/>
      </c>
      <c r="AR150" s="192">
        <f t="shared" si="249"/>
        <v>7.35033975183986</v>
      </c>
      <c r="AS150" s="192">
        <f t="shared" si="246"/>
        <v>3.75</v>
      </c>
      <c r="AT150" s="192">
        <f t="shared" si="247"/>
        <v>3.60033975183986</v>
      </c>
      <c r="AU150" s="5">
        <f t="shared" si="248"/>
        <v>0.510180498671689</v>
      </c>
      <c r="AW150" s="192">
        <f t="shared" si="216"/>
        <v>4.16666666666667</v>
      </c>
      <c r="AX150" s="192"/>
      <c r="AY150" s="192">
        <f t="shared" si="217"/>
        <v>12</v>
      </c>
      <c r="AZ150" s="192"/>
      <c r="BA150" s="192">
        <f t="shared" si="218"/>
        <v>2.40022650122657</v>
      </c>
      <c r="BB150" s="192"/>
      <c r="BC150" s="192"/>
      <c r="BD150" s="5">
        <f t="shared" si="219"/>
        <v>0.61857527755623</v>
      </c>
      <c r="BE150" s="5">
        <f t="shared" si="220"/>
        <v>0.330768638633042</v>
      </c>
      <c r="BF150" s="5">
        <f t="shared" si="221"/>
        <v>0.250458557648065</v>
      </c>
      <c r="BG150" s="5"/>
      <c r="BH150" s="217">
        <f t="shared" si="222"/>
        <v>0.133922380901318</v>
      </c>
      <c r="BI150" s="217">
        <f t="shared" si="223"/>
        <v>0.0227262964216296</v>
      </c>
      <c r="BJ150" s="217">
        <f t="shared" si="224"/>
        <v>0.00170060166223896</v>
      </c>
      <c r="BK150" s="217">
        <f t="shared" si="225"/>
        <v>0.00337452169959781</v>
      </c>
      <c r="BL150">
        <f t="shared" si="226"/>
        <v>0.0029</v>
      </c>
      <c r="BM150">
        <f t="shared" si="268"/>
        <v>1.70060166223896e-6</v>
      </c>
      <c r="BN150">
        <f t="shared" si="269"/>
        <v>0.23995332440863</v>
      </c>
      <c r="BO150" s="220">
        <f t="shared" si="229"/>
        <v>164.623800684785</v>
      </c>
      <c r="BP150" s="5">
        <f t="shared" si="230"/>
        <v>0.154</v>
      </c>
      <c r="BQ150" s="5">
        <f t="shared" si="231"/>
        <v>0.1232</v>
      </c>
      <c r="BR150" s="217"/>
      <c r="BT150" s="220">
        <f t="shared" si="232"/>
        <v>277.2</v>
      </c>
      <c r="BU150" s="217">
        <f t="shared" si="233"/>
        <v>0.0156880503341545</v>
      </c>
      <c r="BV150" s="217">
        <f t="shared" si="234"/>
        <v>0.0109407892303156</v>
      </c>
      <c r="BW150" s="217">
        <f t="shared" si="235"/>
        <v>0.00439106423694043</v>
      </c>
      <c r="BX150" s="217">
        <f t="shared" si="236"/>
        <v>0</v>
      </c>
      <c r="BY150" s="217">
        <f t="shared" si="180"/>
        <v>0.0429139622042916</v>
      </c>
      <c r="BZ150" s="217">
        <f t="shared" si="250"/>
        <v>0.0310199038014105</v>
      </c>
      <c r="CA150" s="225">
        <f t="shared" si="270"/>
        <v>0.0122443319681205</v>
      </c>
      <c r="CB150" s="220">
        <f t="shared" si="238"/>
        <v>117.198101775233</v>
      </c>
      <c r="CC150" s="5">
        <f t="shared" si="251"/>
        <v>0.572311618581043</v>
      </c>
      <c r="CD150" s="192">
        <f t="shared" si="239"/>
        <v>3.71939765094645</v>
      </c>
      <c r="CE150" s="5">
        <f t="shared" si="240"/>
        <v>0.866647160224799</v>
      </c>
      <c r="CF150" s="192">
        <f t="shared" si="241"/>
        <v>86.6647160224799</v>
      </c>
      <c r="CG150">
        <f t="shared" si="242"/>
        <v>40</v>
      </c>
      <c r="CI150" s="227">
        <f t="shared" si="271"/>
        <v>-50</v>
      </c>
      <c r="CJ150">
        <f t="shared" si="272"/>
        <v>-50</v>
      </c>
    </row>
    <row r="151" spans="5:88">
      <c r="E151" s="22">
        <v>41</v>
      </c>
      <c r="F151" s="25">
        <f t="shared" si="273"/>
        <v>0.205</v>
      </c>
      <c r="G151" s="25">
        <f t="shared" si="252"/>
        <v>0.164</v>
      </c>
      <c r="H151" s="25">
        <f t="shared" si="253"/>
        <v>3.69</v>
      </c>
      <c r="I151" s="25">
        <f t="shared" si="254"/>
        <v>0.82</v>
      </c>
      <c r="J151" s="212">
        <f t="shared" si="186"/>
        <v>10</v>
      </c>
      <c r="K151" s="131">
        <f t="shared" si="187"/>
        <v>10.1681499328743</v>
      </c>
      <c r="L151" s="131">
        <f t="shared" si="188"/>
        <v>22.2728</v>
      </c>
      <c r="M151" s="131"/>
      <c r="N151" s="25">
        <f t="shared" si="189"/>
        <v>0.551021874214288</v>
      </c>
      <c r="O151" s="27">
        <f t="shared" si="255"/>
        <v>3.04314353259255</v>
      </c>
      <c r="P151" s="27">
        <f t="shared" si="256"/>
        <v>0.676254118353899</v>
      </c>
      <c r="Q151" s="25">
        <f t="shared" si="192"/>
        <v>0.169063529588475</v>
      </c>
      <c r="R151" s="25">
        <f t="shared" si="257"/>
        <v>0.608628706518509</v>
      </c>
      <c r="S151" s="25">
        <f t="shared" si="258"/>
        <v>14.8446025980124</v>
      </c>
      <c r="T151" s="25">
        <f t="shared" si="259"/>
        <v>1.5</v>
      </c>
      <c r="U151" s="25">
        <f t="shared" si="196"/>
        <v>3.75</v>
      </c>
      <c r="V151" s="25">
        <f t="shared" si="197"/>
        <v>3.68798653123318</v>
      </c>
      <c r="W151" s="24">
        <f t="shared" si="198"/>
        <v>350</v>
      </c>
      <c r="X151" s="131">
        <f t="shared" si="199"/>
        <v>134.444986664181</v>
      </c>
      <c r="Z151" s="25">
        <f t="shared" si="200"/>
        <v>0.576192799989345</v>
      </c>
      <c r="AA151" s="5">
        <f t="shared" si="201"/>
        <v>1.41666085716949</v>
      </c>
      <c r="AB151" s="5">
        <f t="shared" si="260"/>
        <v>0.077955619714709</v>
      </c>
      <c r="AC151" s="5"/>
      <c r="AD151" s="5">
        <f t="shared" si="203"/>
        <v>0.737597306246636</v>
      </c>
      <c r="AE151" s="216">
        <f t="shared" si="261"/>
        <v>3395.21766503882</v>
      </c>
      <c r="AF151" s="217">
        <f t="shared" si="262"/>
        <v>0.0211326657312204</v>
      </c>
      <c r="AH151" s="5">
        <f t="shared" si="263"/>
        <v>1.0153113526683</v>
      </c>
      <c r="AI151" s="5">
        <f t="shared" si="264"/>
        <v>1.5</v>
      </c>
      <c r="AJ151" s="5">
        <f t="shared" si="265"/>
        <v>2.08888888888889</v>
      </c>
      <c r="AL151" s="216">
        <f t="shared" si="266"/>
        <v>205</v>
      </c>
      <c r="AM151" s="220">
        <f t="shared" si="267"/>
        <v>134.444986664181</v>
      </c>
      <c r="AO151" s="220" t="str">
        <f t="shared" si="211"/>
        <v/>
      </c>
      <c r="AP151" s="220" t="str">
        <f t="shared" si="212"/>
        <v/>
      </c>
      <c r="AR151" s="192">
        <f t="shared" si="249"/>
        <v>7.43798653123318</v>
      </c>
      <c r="AS151" s="192">
        <f t="shared" si="246"/>
        <v>3.75</v>
      </c>
      <c r="AT151" s="192">
        <f t="shared" si="247"/>
        <v>3.68798653123318</v>
      </c>
      <c r="AU151" s="5">
        <f t="shared" si="248"/>
        <v>0.504168699990677</v>
      </c>
      <c r="AW151" s="192">
        <f t="shared" si="216"/>
        <v>4.27083333333333</v>
      </c>
      <c r="AX151" s="192"/>
      <c r="AY151" s="192">
        <f t="shared" si="217"/>
        <v>12.3</v>
      </c>
      <c r="AZ151" s="192"/>
      <c r="BA151" s="192">
        <f t="shared" si="218"/>
        <v>2.52012412967601</v>
      </c>
      <c r="BB151" s="192"/>
      <c r="BC151" s="192"/>
      <c r="BD151" s="5">
        <f t="shared" si="219"/>
        <v>0.61491993380684</v>
      </c>
      <c r="BE151" s="5">
        <f t="shared" si="220"/>
        <v>0.332792292358164</v>
      </c>
      <c r="BF151" s="5">
        <f t="shared" si="221"/>
        <v>0.251990871579845</v>
      </c>
      <c r="BG151" s="5"/>
      <c r="BH151" s="217">
        <f t="shared" si="222"/>
        <v>0.132344283747553</v>
      </c>
      <c r="BI151" s="217">
        <f t="shared" si="223"/>
        <v>0.0224584972423047</v>
      </c>
      <c r="BJ151" s="217">
        <f t="shared" si="224"/>
        <v>0.00168056233330226</v>
      </c>
      <c r="BK151" s="217">
        <f t="shared" si="225"/>
        <v>0.00333475744918936</v>
      </c>
      <c r="BL151">
        <f t="shared" si="226"/>
        <v>0.0029</v>
      </c>
      <c r="BM151">
        <f t="shared" si="268"/>
        <v>1.68056233330226e-6</v>
      </c>
      <c r="BN151">
        <f t="shared" si="269"/>
        <v>0.236935292932986</v>
      </c>
      <c r="BO151" s="220">
        <f t="shared" si="229"/>
        <v>162.718100772349</v>
      </c>
      <c r="BP151" s="5">
        <f t="shared" si="230"/>
        <v>0.15785</v>
      </c>
      <c r="BQ151" s="5">
        <f t="shared" si="231"/>
        <v>0.12628</v>
      </c>
      <c r="BR151" s="217"/>
      <c r="BT151" s="220">
        <f t="shared" si="232"/>
        <v>284.13</v>
      </c>
      <c r="BU151" s="217">
        <f t="shared" si="233"/>
        <v>0.0155031875247133</v>
      </c>
      <c r="BV151" s="217">
        <f t="shared" si="234"/>
        <v>0.0110750709853002</v>
      </c>
      <c r="BW151" s="217">
        <f t="shared" si="235"/>
        <v>0.00444495795516988</v>
      </c>
      <c r="BX151" s="217">
        <f t="shared" si="236"/>
        <v>0</v>
      </c>
      <c r="BY151" s="217">
        <f t="shared" si="180"/>
        <v>0.0429185564553361</v>
      </c>
      <c r="BZ151" s="217">
        <f t="shared" si="250"/>
        <v>0.0310232164651834</v>
      </c>
      <c r="CA151" s="225">
        <f t="shared" si="270"/>
        <v>0.0121000487997763</v>
      </c>
      <c r="CB151" s="220">
        <f t="shared" si="238"/>
        <v>117.065038185479</v>
      </c>
      <c r="CC151" s="5">
        <f t="shared" si="251"/>
        <v>0.576083898188098</v>
      </c>
      <c r="CD151" s="192">
        <f t="shared" si="239"/>
        <v>3.71939765094645</v>
      </c>
      <c r="CE151" s="5">
        <f t="shared" si="240"/>
        <v>0.865886073168172</v>
      </c>
      <c r="CF151" s="192">
        <f t="shared" si="241"/>
        <v>86.5886073168172</v>
      </c>
      <c r="CG151">
        <f t="shared" si="242"/>
        <v>41</v>
      </c>
      <c r="CI151" s="227">
        <f t="shared" si="271"/>
        <v>-50</v>
      </c>
      <c r="CJ151">
        <f t="shared" si="272"/>
        <v>-50</v>
      </c>
    </row>
    <row r="152" spans="5:88">
      <c r="E152" s="22">
        <v>42</v>
      </c>
      <c r="F152" s="25">
        <f t="shared" si="273"/>
        <v>0.21</v>
      </c>
      <c r="G152" s="25">
        <f t="shared" si="252"/>
        <v>0.168</v>
      </c>
      <c r="H152" s="25">
        <f t="shared" si="253"/>
        <v>3.78</v>
      </c>
      <c r="I152" s="25">
        <f t="shared" si="254"/>
        <v>0.84</v>
      </c>
      <c r="J152" s="212">
        <f t="shared" si="186"/>
        <v>10</v>
      </c>
      <c r="K152" s="131">
        <f t="shared" si="187"/>
        <v>9.93240350590109</v>
      </c>
      <c r="L152" s="131">
        <f t="shared" si="188"/>
        <v>22.2728</v>
      </c>
      <c r="M152" s="131"/>
      <c r="N152" s="25">
        <f t="shared" si="189"/>
        <v>0.551021874214288</v>
      </c>
      <c r="O152" s="27">
        <f t="shared" si="255"/>
        <v>3.04314353259255</v>
      </c>
      <c r="P152" s="27">
        <f t="shared" si="256"/>
        <v>0.676254118353899</v>
      </c>
      <c r="Q152" s="25">
        <f t="shared" si="192"/>
        <v>0.169063529588475</v>
      </c>
      <c r="R152" s="25">
        <f t="shared" si="257"/>
        <v>0.608628706518509</v>
      </c>
      <c r="S152" s="25">
        <f t="shared" si="258"/>
        <v>14.4911596790121</v>
      </c>
      <c r="T152" s="25">
        <f t="shared" si="259"/>
        <v>1.5</v>
      </c>
      <c r="U152" s="25">
        <f t="shared" si="196"/>
        <v>3.75</v>
      </c>
      <c r="V152" s="25">
        <f t="shared" si="197"/>
        <v>3.77552119964924</v>
      </c>
      <c r="W152" s="24">
        <f t="shared" si="198"/>
        <v>350</v>
      </c>
      <c r="X152" s="131">
        <f t="shared" si="199"/>
        <v>132.88116177875</v>
      </c>
      <c r="Z152" s="25">
        <f t="shared" si="200"/>
        <v>0.569490693337498</v>
      </c>
      <c r="AA152" s="5">
        <f t="shared" si="201"/>
        <v>1.43341612379911</v>
      </c>
      <c r="AB152" s="5">
        <f t="shared" si="260"/>
        <v>0.077960142344757</v>
      </c>
      <c r="AC152" s="5"/>
      <c r="AD152" s="5">
        <f t="shared" si="203"/>
        <v>0.755104239929848</v>
      </c>
      <c r="AE152" s="216">
        <f t="shared" si="261"/>
        <v>3397.39050454499</v>
      </c>
      <c r="AF152" s="217">
        <f t="shared" si="262"/>
        <v>0.0216342513177901</v>
      </c>
      <c r="AH152" s="5">
        <f t="shared" si="263"/>
        <v>1.02761860629321</v>
      </c>
      <c r="AI152" s="5">
        <f t="shared" si="264"/>
        <v>1.5</v>
      </c>
      <c r="AJ152" s="5">
        <f t="shared" si="265"/>
        <v>2.08888888888889</v>
      </c>
      <c r="AL152" s="216">
        <f t="shared" si="266"/>
        <v>210</v>
      </c>
      <c r="AM152" s="220">
        <f t="shared" si="267"/>
        <v>132.88116177875</v>
      </c>
      <c r="AO152" s="220" t="str">
        <f t="shared" si="211"/>
        <v/>
      </c>
      <c r="AP152" s="220" t="str">
        <f t="shared" si="212"/>
        <v/>
      </c>
      <c r="AR152" s="192">
        <f t="shared" si="249"/>
        <v>7.52552119964924</v>
      </c>
      <c r="AS152" s="192">
        <f t="shared" si="246"/>
        <v>3.75</v>
      </c>
      <c r="AT152" s="192">
        <f t="shared" si="247"/>
        <v>3.77552119964924</v>
      </c>
      <c r="AU152" s="5">
        <f t="shared" si="248"/>
        <v>0.498304356670311</v>
      </c>
      <c r="AW152" s="192">
        <f t="shared" si="216"/>
        <v>4.375</v>
      </c>
      <c r="AX152" s="192"/>
      <c r="AY152" s="192">
        <f t="shared" si="217"/>
        <v>12.6</v>
      </c>
      <c r="AZ152" s="192"/>
      <c r="BA152" s="192">
        <f t="shared" si="218"/>
        <v>2.64286483975447</v>
      </c>
      <c r="BB152" s="192"/>
      <c r="BC152" s="192"/>
      <c r="BD152" s="5">
        <f t="shared" si="219"/>
        <v>0.61133318861545</v>
      </c>
      <c r="BE152" s="5">
        <f t="shared" si="220"/>
        <v>0.334754523836597</v>
      </c>
      <c r="BF152" s="5">
        <f t="shared" si="221"/>
        <v>0.253476676485325</v>
      </c>
      <c r="BG152" s="5"/>
      <c r="BH152" s="217">
        <f t="shared" si="222"/>
        <v>0.130804893625957</v>
      </c>
      <c r="BI152" s="217">
        <f t="shared" si="223"/>
        <v>0.022197266550493</v>
      </c>
      <c r="BJ152" s="217">
        <f t="shared" si="224"/>
        <v>0.00166101452223437</v>
      </c>
      <c r="BK152" s="217">
        <f t="shared" si="225"/>
        <v>0.0032959685228388</v>
      </c>
      <c r="BL152">
        <f t="shared" si="226"/>
        <v>0.0029</v>
      </c>
      <c r="BM152">
        <f t="shared" si="268"/>
        <v>1.66101452223437e-6</v>
      </c>
      <c r="BN152">
        <f t="shared" si="269"/>
        <v>0.233996859298932</v>
      </c>
      <c r="BO152" s="220">
        <f t="shared" si="229"/>
        <v>160.859143221523</v>
      </c>
      <c r="BP152" s="5">
        <f t="shared" si="230"/>
        <v>0.1617</v>
      </c>
      <c r="BQ152" s="5">
        <f t="shared" si="231"/>
        <v>0.12936</v>
      </c>
      <c r="BR152" s="217"/>
      <c r="BT152" s="220">
        <f t="shared" si="232"/>
        <v>291.06</v>
      </c>
      <c r="BU152" s="217">
        <f t="shared" si="233"/>
        <v>0.0153228589676121</v>
      </c>
      <c r="BV152" s="217">
        <f t="shared" si="234"/>
        <v>0.0112060591229067</v>
      </c>
      <c r="BW152" s="217">
        <f t="shared" si="235"/>
        <v>0.00449752978654321</v>
      </c>
      <c r="BX152" s="217">
        <f t="shared" si="236"/>
        <v>0</v>
      </c>
      <c r="BY152" s="217">
        <f t="shared" si="180"/>
        <v>0.0429230380224999</v>
      </c>
      <c r="BZ152" s="217">
        <f t="shared" si="250"/>
        <v>0.031026447877062</v>
      </c>
      <c r="CA152" s="225">
        <f t="shared" si="270"/>
        <v>0.0119593045600875</v>
      </c>
      <c r="CB152" s="220">
        <f t="shared" si="238"/>
        <v>116.935238336711</v>
      </c>
      <c r="CC152" s="5">
        <f t="shared" si="251"/>
        <v>0.579939201881519</v>
      </c>
      <c r="CD152" s="192">
        <f t="shared" si="239"/>
        <v>3.71939765094645</v>
      </c>
      <c r="CE152" s="5">
        <f t="shared" si="240"/>
        <v>0.865109615335199</v>
      </c>
      <c r="CF152" s="192">
        <f t="shared" si="241"/>
        <v>86.5109615335199</v>
      </c>
      <c r="CG152">
        <f t="shared" si="242"/>
        <v>42</v>
      </c>
      <c r="CI152" s="227">
        <f t="shared" si="271"/>
        <v>-50</v>
      </c>
      <c r="CJ152">
        <f t="shared" si="272"/>
        <v>-50</v>
      </c>
    </row>
    <row r="153" spans="5:88">
      <c r="E153" s="22">
        <v>43</v>
      </c>
      <c r="F153" s="25">
        <f t="shared" si="273"/>
        <v>0.215</v>
      </c>
      <c r="G153" s="25">
        <f t="shared" si="252"/>
        <v>0.172</v>
      </c>
      <c r="H153" s="25">
        <f t="shared" si="253"/>
        <v>3.87</v>
      </c>
      <c r="I153" s="25">
        <f t="shared" si="254"/>
        <v>0.86</v>
      </c>
      <c r="J153" s="212">
        <f t="shared" si="186"/>
        <v>10</v>
      </c>
      <c r="K153" s="131">
        <f t="shared" si="187"/>
        <v>9.70762202901967</v>
      </c>
      <c r="L153" s="131">
        <f t="shared" si="188"/>
        <v>22.2728</v>
      </c>
      <c r="M153" s="131"/>
      <c r="N153" s="25">
        <f t="shared" si="189"/>
        <v>0.551021874214288</v>
      </c>
      <c r="O153" s="27">
        <f t="shared" si="255"/>
        <v>3.04314353259255</v>
      </c>
      <c r="P153" s="27">
        <f t="shared" si="256"/>
        <v>0.676254118353899</v>
      </c>
      <c r="Q153" s="25">
        <f t="shared" si="192"/>
        <v>0.169063529588475</v>
      </c>
      <c r="R153" s="25">
        <f t="shared" si="257"/>
        <v>0.608628706518509</v>
      </c>
      <c r="S153" s="25">
        <f t="shared" si="258"/>
        <v>14.1541559655467</v>
      </c>
      <c r="T153" s="25">
        <f t="shared" si="259"/>
        <v>1.5</v>
      </c>
      <c r="U153" s="25">
        <f t="shared" si="196"/>
        <v>3.75</v>
      </c>
      <c r="V153" s="25">
        <f t="shared" si="197"/>
        <v>3.86294397205604</v>
      </c>
      <c r="W153" s="24">
        <f t="shared" si="198"/>
        <v>350</v>
      </c>
      <c r="X153" s="131">
        <f t="shared" si="199"/>
        <v>131.355229155841</v>
      </c>
      <c r="Z153" s="25">
        <f t="shared" si="200"/>
        <v>0.562950982096461</v>
      </c>
      <c r="AA153" s="5">
        <f t="shared" si="201"/>
        <v>1.4497654019017</v>
      </c>
      <c r="AB153" s="5">
        <f t="shared" si="260"/>
        <v>0.0779438797045784</v>
      </c>
      <c r="AC153" s="5"/>
      <c r="AD153" s="5">
        <f t="shared" si="203"/>
        <v>0.772588794411209</v>
      </c>
      <c r="AE153" s="216">
        <f t="shared" si="261"/>
        <v>3399.56334405116</v>
      </c>
      <c r="AF153" s="217">
        <f t="shared" si="262"/>
        <v>0.0221351957249682</v>
      </c>
      <c r="AH153" s="5">
        <f t="shared" si="263"/>
        <v>1.03978019655255</v>
      </c>
      <c r="AI153" s="5">
        <f t="shared" si="264"/>
        <v>1.5</v>
      </c>
      <c r="AJ153" s="5">
        <f t="shared" si="265"/>
        <v>2.08888888888889</v>
      </c>
      <c r="AL153" s="216">
        <f t="shared" si="266"/>
        <v>215</v>
      </c>
      <c r="AM153" s="220">
        <f t="shared" si="267"/>
        <v>131.355229155841</v>
      </c>
      <c r="AO153" s="220" t="str">
        <f t="shared" si="211"/>
        <v/>
      </c>
      <c r="AP153" s="220" t="str">
        <f t="shared" si="212"/>
        <v/>
      </c>
      <c r="AR153" s="192">
        <f t="shared" si="249"/>
        <v>7.61294397205605</v>
      </c>
      <c r="AS153" s="192">
        <f t="shared" si="246"/>
        <v>3.75</v>
      </c>
      <c r="AT153" s="192">
        <f t="shared" si="247"/>
        <v>3.86294397205605</v>
      </c>
      <c r="AU153" s="5">
        <f t="shared" si="248"/>
        <v>0.492582109334404</v>
      </c>
      <c r="AW153" s="192">
        <f t="shared" si="216"/>
        <v>4.47916666666667</v>
      </c>
      <c r="AX153" s="192"/>
      <c r="AY153" s="192">
        <f t="shared" si="217"/>
        <v>12.9</v>
      </c>
      <c r="AZ153" s="192"/>
      <c r="BA153" s="192">
        <f t="shared" si="218"/>
        <v>2.7684431799735</v>
      </c>
      <c r="BB153" s="192"/>
      <c r="BC153" s="192"/>
      <c r="BD153" s="5">
        <f t="shared" si="219"/>
        <v>0.607812949846252</v>
      </c>
      <c r="BE153" s="5">
        <f t="shared" si="220"/>
        <v>0.336658184990954</v>
      </c>
      <c r="BF153" s="5">
        <f t="shared" si="221"/>
        <v>0.254918131845002</v>
      </c>
      <c r="BG153" s="5"/>
      <c r="BH153" s="217">
        <f t="shared" si="222"/>
        <v>0.129302803700281</v>
      </c>
      <c r="BI153" s="217">
        <f t="shared" si="223"/>
        <v>0.0219423656095666</v>
      </c>
      <c r="BJ153" s="217">
        <f t="shared" si="224"/>
        <v>0.00164194036444801</v>
      </c>
      <c r="BK153" s="217">
        <f t="shared" si="225"/>
        <v>0.00325811947165837</v>
      </c>
      <c r="BL153">
        <f t="shared" si="226"/>
        <v>0.0029</v>
      </c>
      <c r="BM153">
        <f t="shared" si="268"/>
        <v>1.64194036444801e-6</v>
      </c>
      <c r="BN153">
        <f t="shared" si="269"/>
        <v>0.231134915510489</v>
      </c>
      <c r="BO153" s="220">
        <f t="shared" si="229"/>
        <v>159.045229145954</v>
      </c>
      <c r="BP153" s="5">
        <f t="shared" si="230"/>
        <v>0.16555</v>
      </c>
      <c r="BQ153" s="5">
        <f t="shared" si="231"/>
        <v>0.13244</v>
      </c>
      <c r="BR153" s="217"/>
      <c r="BT153" s="220">
        <f t="shared" si="232"/>
        <v>297.99</v>
      </c>
      <c r="BU153" s="217">
        <f t="shared" si="233"/>
        <v>0.0151468998620329</v>
      </c>
      <c r="BV153" s="217">
        <f t="shared" si="234"/>
        <v>0.0113338733521404</v>
      </c>
      <c r="BW153" s="217">
        <f t="shared" si="235"/>
        <v>0.00454882777603422</v>
      </c>
      <c r="BX153" s="217">
        <f t="shared" si="236"/>
        <v>0</v>
      </c>
      <c r="BY153" s="217">
        <f t="shared" si="180"/>
        <v>0.0429274110012793</v>
      </c>
      <c r="BZ153" s="217">
        <f t="shared" si="250"/>
        <v>0.0310296009902075</v>
      </c>
      <c r="CA153" s="225">
        <f t="shared" si="270"/>
        <v>0.0118219706240257</v>
      </c>
      <c r="CB153" s="220">
        <f t="shared" si="238"/>
        <v>116.80858360572</v>
      </c>
      <c r="CC153" s="5">
        <f t="shared" si="251"/>
        <v>0.583874297135794</v>
      </c>
      <c r="CD153" s="192">
        <f t="shared" si="239"/>
        <v>3.71939765094645</v>
      </c>
      <c r="CE153" s="5">
        <f t="shared" si="240"/>
        <v>0.864318522236087</v>
      </c>
      <c r="CF153" s="192">
        <f t="shared" si="241"/>
        <v>86.4318522236087</v>
      </c>
      <c r="CG153">
        <f t="shared" si="242"/>
        <v>43</v>
      </c>
      <c r="CI153" s="227">
        <f t="shared" si="271"/>
        <v>-50</v>
      </c>
      <c r="CJ153">
        <f t="shared" si="272"/>
        <v>-50</v>
      </c>
    </row>
    <row r="154" spans="5:88">
      <c r="E154" s="22">
        <v>44</v>
      </c>
      <c r="F154" s="25">
        <f t="shared" si="273"/>
        <v>0.22</v>
      </c>
      <c r="G154" s="25">
        <f t="shared" si="252"/>
        <v>0.176</v>
      </c>
      <c r="H154" s="25">
        <f t="shared" si="253"/>
        <v>3.96</v>
      </c>
      <c r="I154" s="25">
        <f t="shared" si="254"/>
        <v>0.88</v>
      </c>
      <c r="J154" s="212">
        <f t="shared" si="186"/>
        <v>10</v>
      </c>
      <c r="K154" s="131">
        <f t="shared" si="187"/>
        <v>9.49305789199649</v>
      </c>
      <c r="L154" s="131">
        <f t="shared" si="188"/>
        <v>22.2728</v>
      </c>
      <c r="M154" s="131"/>
      <c r="N154" s="25">
        <f t="shared" si="189"/>
        <v>0.551021874214288</v>
      </c>
      <c r="O154" s="27">
        <f t="shared" si="255"/>
        <v>3.04314353259255</v>
      </c>
      <c r="P154" s="27">
        <f t="shared" si="256"/>
        <v>0.676254118353899</v>
      </c>
      <c r="Q154" s="25">
        <f t="shared" si="192"/>
        <v>0.169063529588475</v>
      </c>
      <c r="R154" s="25">
        <f t="shared" si="257"/>
        <v>0.608628706518509</v>
      </c>
      <c r="S154" s="25">
        <f t="shared" si="258"/>
        <v>13.8324706026934</v>
      </c>
      <c r="T154" s="25">
        <f t="shared" si="259"/>
        <v>1.5</v>
      </c>
      <c r="U154" s="25">
        <f t="shared" si="196"/>
        <v>3.75</v>
      </c>
      <c r="V154" s="25">
        <f t="shared" si="197"/>
        <v>3.95025506287241</v>
      </c>
      <c r="W154" s="24">
        <f t="shared" si="198"/>
        <v>350</v>
      </c>
      <c r="X154" s="131">
        <f t="shared" si="199"/>
        <v>129.865828058294</v>
      </c>
      <c r="Z154" s="25">
        <f t="shared" si="200"/>
        <v>0.556567834535548</v>
      </c>
      <c r="AA154" s="5">
        <f t="shared" si="201"/>
        <v>1.46572327080399</v>
      </c>
      <c r="AB154" s="5">
        <f t="shared" si="260"/>
        <v>0.0779083117978931</v>
      </c>
      <c r="AC154" s="5"/>
      <c r="AD154" s="5">
        <f t="shared" si="203"/>
        <v>0.790051012574482</v>
      </c>
      <c r="AE154" s="216">
        <f t="shared" si="261"/>
        <v>3401.73618355733</v>
      </c>
      <c r="AF154" s="217">
        <f t="shared" si="262"/>
        <v>0.0226355001814038</v>
      </c>
      <c r="AH154" s="5">
        <f t="shared" si="263"/>
        <v>1.05180117621427</v>
      </c>
      <c r="AI154" s="5">
        <f t="shared" si="264"/>
        <v>1.5</v>
      </c>
      <c r="AJ154" s="5">
        <f t="shared" si="265"/>
        <v>2.08888888888889</v>
      </c>
      <c r="AL154" s="216">
        <f t="shared" si="266"/>
        <v>220</v>
      </c>
      <c r="AM154" s="220">
        <f t="shared" si="267"/>
        <v>129.865828058294</v>
      </c>
      <c r="AO154" s="220" t="str">
        <f t="shared" si="211"/>
        <v/>
      </c>
      <c r="AP154" s="220" t="str">
        <f t="shared" si="212"/>
        <v/>
      </c>
      <c r="AR154" s="192">
        <f t="shared" si="249"/>
        <v>7.70025506287241</v>
      </c>
      <c r="AS154" s="192">
        <f t="shared" si="246"/>
        <v>3.75</v>
      </c>
      <c r="AT154" s="192">
        <f t="shared" si="247"/>
        <v>3.95025506287241</v>
      </c>
      <c r="AU154" s="5">
        <f t="shared" si="248"/>
        <v>0.486996855218604</v>
      </c>
      <c r="AW154" s="192">
        <f t="shared" si="216"/>
        <v>4.58333333333333</v>
      </c>
      <c r="AX154" s="192"/>
      <c r="AY154" s="192">
        <f t="shared" si="217"/>
        <v>13.2</v>
      </c>
      <c r="AZ154" s="192"/>
      <c r="BA154" s="192">
        <f t="shared" si="218"/>
        <v>2.8968537127731</v>
      </c>
      <c r="BB154" s="192"/>
      <c r="BC154" s="192"/>
      <c r="BD154" s="5">
        <f t="shared" si="219"/>
        <v>0.604357213420965</v>
      </c>
      <c r="BE154" s="5">
        <f t="shared" si="220"/>
        <v>0.338505947513921</v>
      </c>
      <c r="BF154" s="5">
        <f t="shared" si="221"/>
        <v>0.256317260668977</v>
      </c>
      <c r="BG154" s="5"/>
      <c r="BH154" s="217">
        <f t="shared" si="222"/>
        <v>0.127836674494884</v>
      </c>
      <c r="BI154" s="217">
        <f t="shared" si="223"/>
        <v>0.0216935671138259</v>
      </c>
      <c r="BJ154" s="217">
        <f t="shared" si="224"/>
        <v>0.00162332285072868</v>
      </c>
      <c r="BK154" s="217">
        <f t="shared" si="225"/>
        <v>0.00322117654408547</v>
      </c>
      <c r="BL154">
        <f t="shared" si="226"/>
        <v>0.0029</v>
      </c>
      <c r="BM154">
        <f t="shared" si="268"/>
        <v>1.62332285072868e-6</v>
      </c>
      <c r="BN154">
        <f t="shared" si="269"/>
        <v>0.228346513300132</v>
      </c>
      <c r="BO154" s="220">
        <f t="shared" si="229"/>
        <v>157.274741003524</v>
      </c>
      <c r="BP154" s="5">
        <f t="shared" si="230"/>
        <v>0.1694</v>
      </c>
      <c r="BQ154" s="5">
        <f t="shared" si="231"/>
        <v>0.13552</v>
      </c>
      <c r="BR154" s="217"/>
      <c r="BT154" s="220">
        <f t="shared" si="232"/>
        <v>304.92</v>
      </c>
      <c r="BU154" s="217">
        <f t="shared" si="233"/>
        <v>0.0149751532979721</v>
      </c>
      <c r="BV154" s="217">
        <f t="shared" si="234"/>
        <v>0.0114586276502298</v>
      </c>
      <c r="BW154" s="217">
        <f t="shared" si="235"/>
        <v>0.00459889766817939</v>
      </c>
      <c r="BX154" s="217">
        <f t="shared" si="236"/>
        <v>0</v>
      </c>
      <c r="BY154" s="217">
        <f t="shared" si="180"/>
        <v>0.0429316792910782</v>
      </c>
      <c r="BZ154" s="217">
        <f t="shared" si="250"/>
        <v>0.0310326786163812</v>
      </c>
      <c r="CA154" s="225">
        <f t="shared" si="270"/>
        <v>0.0116879245252465</v>
      </c>
      <c r="CB154" s="220">
        <f t="shared" si="238"/>
        <v>116.684961049087</v>
      </c>
      <c r="CC154" s="5">
        <f t="shared" si="251"/>
        <v>0.587886117116457</v>
      </c>
      <c r="CD154" s="192">
        <f t="shared" si="239"/>
        <v>3.71939765094645</v>
      </c>
      <c r="CE154" s="5">
        <f t="shared" si="240"/>
        <v>0.863513492778108</v>
      </c>
      <c r="CF154" s="192">
        <f t="shared" si="241"/>
        <v>86.3513492778108</v>
      </c>
      <c r="CG154">
        <f t="shared" si="242"/>
        <v>44</v>
      </c>
      <c r="CI154" s="227">
        <f t="shared" si="271"/>
        <v>-50</v>
      </c>
      <c r="CJ154">
        <f t="shared" si="272"/>
        <v>-50</v>
      </c>
    </row>
    <row r="155" spans="5:88">
      <c r="E155" s="22">
        <v>45</v>
      </c>
      <c r="F155" s="25">
        <f t="shared" si="273"/>
        <v>0.225</v>
      </c>
      <c r="G155" s="25">
        <f t="shared" si="252"/>
        <v>0.18</v>
      </c>
      <c r="H155" s="25">
        <f t="shared" si="253"/>
        <v>4.05</v>
      </c>
      <c r="I155" s="25">
        <f t="shared" si="254"/>
        <v>0.9</v>
      </c>
      <c r="J155" s="212">
        <f t="shared" si="186"/>
        <v>10</v>
      </c>
      <c r="K155" s="131">
        <f t="shared" si="187"/>
        <v>9.28802993884102</v>
      </c>
      <c r="L155" s="131">
        <f t="shared" si="188"/>
        <v>22.2728</v>
      </c>
      <c r="M155" s="131"/>
      <c r="N155" s="25">
        <f t="shared" si="189"/>
        <v>0.551021874214288</v>
      </c>
      <c r="O155" s="27">
        <f t="shared" si="255"/>
        <v>3.04314353259255</v>
      </c>
      <c r="P155" s="27">
        <f t="shared" si="256"/>
        <v>0.676254118353899</v>
      </c>
      <c r="Q155" s="25">
        <f t="shared" si="192"/>
        <v>0.169063529588475</v>
      </c>
      <c r="R155" s="25">
        <f t="shared" si="257"/>
        <v>0.608628706518509</v>
      </c>
      <c r="S155" s="25">
        <f t="shared" si="258"/>
        <v>13.525082367078</v>
      </c>
      <c r="T155" s="25">
        <f t="shared" si="259"/>
        <v>1.5</v>
      </c>
      <c r="U155" s="25">
        <f t="shared" si="196"/>
        <v>3.75</v>
      </c>
      <c r="V155" s="25">
        <f t="shared" si="197"/>
        <v>4.03745468596964</v>
      </c>
      <c r="W155" s="24">
        <f t="shared" si="198"/>
        <v>350</v>
      </c>
      <c r="X155" s="131">
        <f t="shared" si="199"/>
        <v>128.411662131616</v>
      </c>
      <c r="Z155" s="25">
        <f t="shared" si="200"/>
        <v>0.550335694849781</v>
      </c>
      <c r="AA155" s="5">
        <f t="shared" si="201"/>
        <v>1.4813036200184</v>
      </c>
      <c r="AB155" s="5">
        <f t="shared" si="260"/>
        <v>0.0778548143037791</v>
      </c>
      <c r="AC155" s="5"/>
      <c r="AD155" s="5">
        <f t="shared" si="203"/>
        <v>0.807490937193928</v>
      </c>
      <c r="AE155" s="216">
        <f t="shared" si="261"/>
        <v>3403.90902306351</v>
      </c>
      <c r="AF155" s="217">
        <f t="shared" si="262"/>
        <v>0.0231351659126087</v>
      </c>
      <c r="AH155" s="5">
        <f t="shared" si="263"/>
        <v>1.0636863125135</v>
      </c>
      <c r="AI155" s="5">
        <f t="shared" si="264"/>
        <v>1.5</v>
      </c>
      <c r="AJ155" s="5">
        <f t="shared" si="265"/>
        <v>2.08888888888889</v>
      </c>
      <c r="AL155" s="216">
        <f t="shared" si="266"/>
        <v>225</v>
      </c>
      <c r="AM155" s="220">
        <f t="shared" si="267"/>
        <v>128.411662131616</v>
      </c>
      <c r="AO155" s="220" t="str">
        <f t="shared" si="211"/>
        <v/>
      </c>
      <c r="AP155" s="220" t="str">
        <f t="shared" si="212"/>
        <v/>
      </c>
      <c r="AR155" s="192">
        <f t="shared" si="249"/>
        <v>7.78745468596964</v>
      </c>
      <c r="AS155" s="192">
        <f t="shared" si="246"/>
        <v>3.75</v>
      </c>
      <c r="AT155" s="192">
        <f t="shared" si="247"/>
        <v>4.03745468596964</v>
      </c>
      <c r="AU155" s="5">
        <f t="shared" si="248"/>
        <v>0.481543732993558</v>
      </c>
      <c r="AW155" s="192">
        <f t="shared" si="216"/>
        <v>4.6875</v>
      </c>
      <c r="AX155" s="192"/>
      <c r="AY155" s="192">
        <f t="shared" si="217"/>
        <v>13.5</v>
      </c>
      <c r="AZ155" s="192"/>
      <c r="BA155" s="192">
        <f t="shared" si="218"/>
        <v>3.02809101447723</v>
      </c>
      <c r="BB155" s="192"/>
      <c r="BC155" s="192"/>
      <c r="BD155" s="5">
        <f t="shared" si="219"/>
        <v>0.600964058613466</v>
      </c>
      <c r="BE155" s="5">
        <f t="shared" si="220"/>
        <v>0.340300317390716</v>
      </c>
      <c r="BF155" s="5">
        <f t="shared" si="221"/>
        <v>0.257675960493382</v>
      </c>
      <c r="BG155" s="5"/>
      <c r="BH155" s="217">
        <f t="shared" si="222"/>
        <v>0.126405229910809</v>
      </c>
      <c r="BI155" s="217">
        <f t="shared" si="223"/>
        <v>0.0214506545124379</v>
      </c>
      <c r="BJ155" s="217">
        <f t="shared" si="224"/>
        <v>0.00160514577664519</v>
      </c>
      <c r="BK155" s="217">
        <f t="shared" si="225"/>
        <v>0.00318510758549751</v>
      </c>
      <c r="BL155">
        <f t="shared" si="226"/>
        <v>0.0029</v>
      </c>
      <c r="BM155">
        <f t="shared" si="268"/>
        <v>1.60514577664519e-6</v>
      </c>
      <c r="BN155">
        <f t="shared" si="269"/>
        <v>0.225628853997849</v>
      </c>
      <c r="BO155" s="220">
        <f t="shared" si="229"/>
        <v>155.54613778539</v>
      </c>
      <c r="BP155" s="5">
        <f t="shared" si="230"/>
        <v>0.17325</v>
      </c>
      <c r="BQ155" s="5">
        <f t="shared" si="231"/>
        <v>0.1386</v>
      </c>
      <c r="BR155" s="217"/>
      <c r="BT155" s="220">
        <f t="shared" si="232"/>
        <v>311.85</v>
      </c>
      <c r="BU155" s="217">
        <f t="shared" si="233"/>
        <v>0.0148074697895519</v>
      </c>
      <c r="BV155" s="217">
        <f t="shared" si="234"/>
        <v>0.0115804306016222</v>
      </c>
      <c r="BW155" s="217">
        <f t="shared" si="235"/>
        <v>0.00464778304313308</v>
      </c>
      <c r="BX155" s="217">
        <f t="shared" si="236"/>
        <v>0</v>
      </c>
      <c r="BY155" s="217">
        <f t="shared" si="180"/>
        <v>0.0429358466068058</v>
      </c>
      <c r="BZ155" s="217">
        <f t="shared" si="250"/>
        <v>0.0310356834343072</v>
      </c>
      <c r="CA155" s="225">
        <f t="shared" si="270"/>
        <v>0.0115570495918454</v>
      </c>
      <c r="CB155" s="220">
        <f t="shared" si="238"/>
        <v>116.564263067266</v>
      </c>
      <c r="CC155" s="5">
        <f t="shared" si="251"/>
        <v>0.591971750196501</v>
      </c>
      <c r="CD155" s="192">
        <f t="shared" si="239"/>
        <v>3.71939765094645</v>
      </c>
      <c r="CE155" s="5">
        <f t="shared" si="240"/>
        <v>0.862695191453655</v>
      </c>
      <c r="CF155" s="192">
        <f t="shared" si="241"/>
        <v>86.2695191453655</v>
      </c>
      <c r="CG155">
        <f t="shared" si="242"/>
        <v>45</v>
      </c>
      <c r="CI155" s="227">
        <f t="shared" si="271"/>
        <v>-50</v>
      </c>
      <c r="CJ155">
        <f t="shared" si="272"/>
        <v>-50</v>
      </c>
    </row>
    <row r="156" s="2" customFormat="1" spans="5:88">
      <c r="E156" s="37">
        <v>46</v>
      </c>
      <c r="F156" s="181">
        <f t="shared" si="273"/>
        <v>0.23</v>
      </c>
      <c r="G156" s="25">
        <f t="shared" si="252"/>
        <v>0.184</v>
      </c>
      <c r="H156" s="181">
        <f t="shared" si="253"/>
        <v>4.14</v>
      </c>
      <c r="I156" s="25">
        <f t="shared" si="254"/>
        <v>0.92</v>
      </c>
      <c r="J156" s="212">
        <f t="shared" si="186"/>
        <v>10</v>
      </c>
      <c r="K156" s="194">
        <f t="shared" si="187"/>
        <v>9.09191624451838</v>
      </c>
      <c r="L156" s="194">
        <f t="shared" si="188"/>
        <v>22.2728</v>
      </c>
      <c r="M156" s="194"/>
      <c r="N156" s="181">
        <f t="shared" si="189"/>
        <v>0.551021874214288</v>
      </c>
      <c r="O156" s="27">
        <f t="shared" si="255"/>
        <v>3.04314353259255</v>
      </c>
      <c r="P156" s="27">
        <f t="shared" si="256"/>
        <v>0.676254118353899</v>
      </c>
      <c r="Q156" s="181">
        <f t="shared" si="192"/>
        <v>0.169063529588475</v>
      </c>
      <c r="R156" s="25">
        <f t="shared" si="257"/>
        <v>0.608628706518509</v>
      </c>
      <c r="S156" s="181">
        <f t="shared" si="258"/>
        <v>13.2310588373589</v>
      </c>
      <c r="T156" s="25">
        <f t="shared" si="259"/>
        <v>1.5</v>
      </c>
      <c r="U156" s="181">
        <f t="shared" si="196"/>
        <v>3.75</v>
      </c>
      <c r="V156" s="181">
        <f t="shared" si="197"/>
        <v>4.12454305467334</v>
      </c>
      <c r="W156" s="201">
        <f t="shared" si="198"/>
        <v>350</v>
      </c>
      <c r="X156" s="194">
        <f t="shared" si="199"/>
        <v>126.991495640693</v>
      </c>
      <c r="Z156" s="181">
        <f t="shared" si="200"/>
        <v>0.544249267031542</v>
      </c>
      <c r="AA156" s="202">
        <f t="shared" si="201"/>
        <v>1.496519689564</v>
      </c>
      <c r="AB156" s="5">
        <f t="shared" si="260"/>
        <v>0.0777846666560298</v>
      </c>
      <c r="AC156" s="202"/>
      <c r="AD156" s="202">
        <f t="shared" si="203"/>
        <v>0.824908610934668</v>
      </c>
      <c r="AE156" s="216">
        <f t="shared" si="261"/>
        <v>3406.08186256968</v>
      </c>
      <c r="AF156" s="217">
        <f t="shared" si="262"/>
        <v>0.0236341941409675</v>
      </c>
      <c r="AH156" s="5">
        <f t="shared" si="263"/>
        <v>1.07544010924432</v>
      </c>
      <c r="AI156" s="202">
        <f t="shared" si="264"/>
        <v>1.5</v>
      </c>
      <c r="AJ156" s="202">
        <f t="shared" si="265"/>
        <v>2.08888888888889</v>
      </c>
      <c r="AL156" s="230">
        <f t="shared" si="266"/>
        <v>230</v>
      </c>
      <c r="AM156" s="231">
        <f t="shared" si="267"/>
        <v>126.991495640693</v>
      </c>
      <c r="AO156" s="2" t="str">
        <f t="shared" si="211"/>
        <v/>
      </c>
      <c r="AP156" s="2" t="str">
        <f t="shared" si="212"/>
        <v/>
      </c>
      <c r="AR156" s="193">
        <f t="shared" si="249"/>
        <v>7.87454305467334</v>
      </c>
      <c r="AS156" s="192">
        <f t="shared" si="246"/>
        <v>3.75</v>
      </c>
      <c r="AT156" s="192">
        <f t="shared" si="247"/>
        <v>4.12454305467334</v>
      </c>
      <c r="AU156" s="5">
        <f t="shared" si="248"/>
        <v>0.476218108652599</v>
      </c>
      <c r="AW156" s="192">
        <f t="shared" si="216"/>
        <v>4.79166666666667</v>
      </c>
      <c r="AX156" s="192"/>
      <c r="AY156" s="192">
        <f t="shared" si="217"/>
        <v>13.8</v>
      </c>
      <c r="AZ156" s="192"/>
      <c r="BA156" s="192">
        <f t="shared" si="218"/>
        <v>3.16214967524956</v>
      </c>
      <c r="BB156" s="192"/>
      <c r="BC156" s="192"/>
      <c r="BD156" s="5">
        <f t="shared" si="219"/>
        <v>0.597631643648033</v>
      </c>
      <c r="BE156" s="5">
        <f t="shared" si="220"/>
        <v>0.342043647992499</v>
      </c>
      <c r="BF156" s="5">
        <f t="shared" si="221"/>
        <v>0.258996013294731</v>
      </c>
      <c r="BG156" s="5"/>
      <c r="BH156" s="217">
        <f t="shared" si="222"/>
        <v>0.125007253521307</v>
      </c>
      <c r="BI156" s="217">
        <f t="shared" si="223"/>
        <v>0.0212134213807952</v>
      </c>
      <c r="BJ156" s="217">
        <f t="shared" si="224"/>
        <v>0.00158739369550866</v>
      </c>
      <c r="BK156" s="217">
        <f t="shared" si="225"/>
        <v>0.00314988194486784</v>
      </c>
      <c r="BL156">
        <f t="shared" si="226"/>
        <v>0.0029</v>
      </c>
      <c r="BM156">
        <f t="shared" si="268"/>
        <v>1.58739369550866e-6</v>
      </c>
      <c r="BN156">
        <f t="shared" si="269"/>
        <v>0.222979279161621</v>
      </c>
      <c r="BO156" s="220">
        <f t="shared" si="229"/>
        <v>153.857950542479</v>
      </c>
      <c r="BP156" s="5">
        <f t="shared" si="230"/>
        <v>0.1771</v>
      </c>
      <c r="BQ156" s="5">
        <f t="shared" si="231"/>
        <v>0.14168</v>
      </c>
      <c r="BR156" s="217"/>
      <c r="BS156"/>
      <c r="BT156" s="220">
        <f t="shared" si="232"/>
        <v>318.78</v>
      </c>
      <c r="BU156" s="217">
        <f t="shared" si="233"/>
        <v>0.0146437068410674</v>
      </c>
      <c r="BV156" s="217">
        <f t="shared" si="234"/>
        <v>0.0116993857132016</v>
      </c>
      <c r="BW156" s="217">
        <f t="shared" si="235"/>
        <v>0.00469552544317952</v>
      </c>
      <c r="BX156" s="217">
        <f t="shared" si="236"/>
        <v>0</v>
      </c>
      <c r="BY156" s="217">
        <f t="shared" si="180"/>
        <v>0.0429399164896602</v>
      </c>
      <c r="BZ156" s="217">
        <f t="shared" si="250"/>
        <v>0.0310386179974486</v>
      </c>
      <c r="CA156" s="225">
        <f t="shared" si="270"/>
        <v>0.0114292346076624</v>
      </c>
      <c r="CB156" s="220">
        <f t="shared" si="238"/>
        <v>116.44638709222</v>
      </c>
      <c r="CC156" s="5">
        <f t="shared" si="251"/>
        <v>0.596128430258943</v>
      </c>
      <c r="CD156" s="192">
        <f t="shared" si="239"/>
        <v>3.71939765094645</v>
      </c>
      <c r="CE156" s="5">
        <f t="shared" si="240"/>
        <v>0.861864250373749</v>
      </c>
      <c r="CF156" s="192">
        <f t="shared" si="241"/>
        <v>86.1864250373749</v>
      </c>
      <c r="CG156">
        <f t="shared" si="242"/>
        <v>46</v>
      </c>
      <c r="CI156" s="227">
        <f t="shared" si="271"/>
        <v>-50</v>
      </c>
      <c r="CJ156">
        <f t="shared" si="272"/>
        <v>-50</v>
      </c>
    </row>
    <row r="157" spans="5:88">
      <c r="E157" s="22">
        <v>47</v>
      </c>
      <c r="F157" s="25">
        <f t="shared" si="273"/>
        <v>0.235</v>
      </c>
      <c r="G157" s="25">
        <f t="shared" si="252"/>
        <v>0.188</v>
      </c>
      <c r="H157" s="25">
        <f t="shared" si="253"/>
        <v>4.23</v>
      </c>
      <c r="I157" s="25">
        <f t="shared" si="254"/>
        <v>0.94</v>
      </c>
      <c r="J157" s="212">
        <f t="shared" si="186"/>
        <v>10</v>
      </c>
      <c r="K157" s="131">
        <f t="shared" si="187"/>
        <v>8.90414781378395</v>
      </c>
      <c r="L157" s="131">
        <f t="shared" si="188"/>
        <v>22.2728</v>
      </c>
      <c r="M157" s="131"/>
      <c r="N157" s="25">
        <f t="shared" si="189"/>
        <v>0.551021874214288</v>
      </c>
      <c r="O157" s="27">
        <f t="shared" si="255"/>
        <v>3.04314353259255</v>
      </c>
      <c r="P157" s="27">
        <f t="shared" si="256"/>
        <v>0.676254118353899</v>
      </c>
      <c r="Q157" s="25">
        <f t="shared" si="192"/>
        <v>0.169063529588475</v>
      </c>
      <c r="R157" s="25">
        <f t="shared" si="257"/>
        <v>0.608628706518509</v>
      </c>
      <c r="S157" s="25">
        <f t="shared" si="258"/>
        <v>12.9495469472023</v>
      </c>
      <c r="T157" s="25">
        <f t="shared" si="259"/>
        <v>1.5</v>
      </c>
      <c r="U157" s="25">
        <f t="shared" si="196"/>
        <v>3.75</v>
      </c>
      <c r="V157" s="25">
        <f t="shared" si="197"/>
        <v>4.21152038176507</v>
      </c>
      <c r="W157" s="24">
        <f t="shared" si="198"/>
        <v>350</v>
      </c>
      <c r="X157" s="131">
        <f t="shared" si="199"/>
        <v>125.604149967434</v>
      </c>
      <c r="Z157" s="25">
        <f t="shared" si="200"/>
        <v>0.53830349986043</v>
      </c>
      <c r="AA157" s="5">
        <f t="shared" si="201"/>
        <v>1.51138410749178</v>
      </c>
      <c r="AB157" s="5">
        <f t="shared" si="260"/>
        <v>0.0776990594265716</v>
      </c>
      <c r="AC157" s="5"/>
      <c r="AD157" s="5">
        <f t="shared" si="203"/>
        <v>0.842304076353014</v>
      </c>
      <c r="AE157" s="216">
        <f t="shared" si="261"/>
        <v>3408.25470207585</v>
      </c>
      <c r="AF157" s="217">
        <f t="shared" si="262"/>
        <v>0.0241325860857477</v>
      </c>
      <c r="AH157" s="5">
        <f t="shared" si="263"/>
        <v>1.08706682670123</v>
      </c>
      <c r="AI157" s="5">
        <f t="shared" si="264"/>
        <v>1.5</v>
      </c>
      <c r="AJ157" s="5">
        <f t="shared" si="265"/>
        <v>2.08888888888889</v>
      </c>
      <c r="AL157" s="216">
        <f t="shared" si="266"/>
        <v>235</v>
      </c>
      <c r="AM157" s="220">
        <f t="shared" si="267"/>
        <v>125.604149967434</v>
      </c>
      <c r="AO157" t="str">
        <f t="shared" si="211"/>
        <v/>
      </c>
      <c r="AP157" t="str">
        <f t="shared" si="212"/>
        <v/>
      </c>
      <c r="AR157" s="192">
        <f t="shared" si="249"/>
        <v>7.96152038176507</v>
      </c>
      <c r="AS157" s="192">
        <f t="shared" si="246"/>
        <v>3.75</v>
      </c>
      <c r="AT157" s="192">
        <f t="shared" si="247"/>
        <v>4.21152038176507</v>
      </c>
      <c r="AU157" s="5">
        <f t="shared" si="248"/>
        <v>0.471015562377876</v>
      </c>
      <c r="AW157" s="192">
        <f t="shared" si="216"/>
        <v>4.89583333333333</v>
      </c>
      <c r="AX157" s="192"/>
      <c r="AY157" s="192">
        <f t="shared" si="217"/>
        <v>14.1</v>
      </c>
      <c r="AZ157" s="192"/>
      <c r="BA157" s="192">
        <f t="shared" si="218"/>
        <v>3.29902429904931</v>
      </c>
      <c r="BB157" s="192"/>
      <c r="BC157" s="192"/>
      <c r="BD157" s="5">
        <f t="shared" si="219"/>
        <v>0.594358201578314</v>
      </c>
      <c r="BE157" s="5">
        <f t="shared" si="220"/>
        <v>0.343738151907107</v>
      </c>
      <c r="BF157" s="5">
        <f t="shared" si="221"/>
        <v>0.260279094448179</v>
      </c>
      <c r="BG157" s="5"/>
      <c r="BH157" s="217">
        <f t="shared" si="222"/>
        <v>0.123641585124193</v>
      </c>
      <c r="BI157" s="217">
        <f t="shared" si="223"/>
        <v>0.0209816708354599</v>
      </c>
      <c r="BJ157" s="217">
        <f t="shared" si="224"/>
        <v>0.00157005187459292</v>
      </c>
      <c r="BK157" s="217">
        <f t="shared" si="225"/>
        <v>0.00311547038789355</v>
      </c>
      <c r="BL157">
        <f t="shared" si="226"/>
        <v>0.0029</v>
      </c>
      <c r="BM157">
        <f t="shared" si="268"/>
        <v>1.57005187459292e-6</v>
      </c>
      <c r="BN157">
        <f t="shared" si="269"/>
        <v>0.220395261903378</v>
      </c>
      <c r="BO157" s="220">
        <f t="shared" si="229"/>
        <v>152.208778222139</v>
      </c>
      <c r="BP157" s="5">
        <f t="shared" si="230"/>
        <v>0.18095</v>
      </c>
      <c r="BQ157" s="5">
        <f t="shared" si="231"/>
        <v>0.14476</v>
      </c>
      <c r="BR157" s="217"/>
      <c r="BT157" s="220">
        <f t="shared" si="232"/>
        <v>325.71</v>
      </c>
      <c r="BU157" s="217">
        <f t="shared" si="233"/>
        <v>0.0144837285431197</v>
      </c>
      <c r="BV157" s="217">
        <f t="shared" si="234"/>
        <v>0.0118155917076513</v>
      </c>
      <c r="BW157" s="217">
        <f t="shared" si="235"/>
        <v>0.0047421644904735</v>
      </c>
      <c r="BX157" s="217">
        <f t="shared" si="236"/>
        <v>0</v>
      </c>
      <c r="BY157" s="217">
        <f t="shared" si="180"/>
        <v>0.0429438923171649</v>
      </c>
      <c r="BZ157" s="217">
        <f t="shared" si="250"/>
        <v>0.0310414847412445</v>
      </c>
      <c r="CA157" s="225">
        <f t="shared" si="270"/>
        <v>0.011304373497069</v>
      </c>
      <c r="CB157" s="220">
        <f t="shared" si="238"/>
        <v>116.331235296723</v>
      </c>
      <c r="CC157" s="5">
        <f t="shared" si="251"/>
        <v>0.600353527717612</v>
      </c>
      <c r="CD157" s="192">
        <f t="shared" si="239"/>
        <v>3.71939765094645</v>
      </c>
      <c r="CE157" s="5">
        <f t="shared" si="240"/>
        <v>0.861021271159586</v>
      </c>
      <c r="CF157" s="192">
        <f t="shared" si="241"/>
        <v>86.1021271159586</v>
      </c>
      <c r="CG157">
        <f t="shared" si="242"/>
        <v>47</v>
      </c>
      <c r="CI157" s="227">
        <f t="shared" si="271"/>
        <v>-50</v>
      </c>
      <c r="CJ157">
        <f t="shared" si="272"/>
        <v>-50</v>
      </c>
    </row>
    <row r="158" spans="5:88">
      <c r="E158" s="22">
        <v>48</v>
      </c>
      <c r="F158" s="25">
        <f t="shared" si="273"/>
        <v>0.24</v>
      </c>
      <c r="G158" s="25">
        <f t="shared" si="252"/>
        <v>0.192</v>
      </c>
      <c r="H158" s="25">
        <f t="shared" si="253"/>
        <v>4.32</v>
      </c>
      <c r="I158" s="25">
        <f t="shared" si="254"/>
        <v>0.96</v>
      </c>
      <c r="J158" s="212">
        <f t="shared" si="186"/>
        <v>10</v>
      </c>
      <c r="K158" s="131">
        <f t="shared" si="187"/>
        <v>8.72420306766345</v>
      </c>
      <c r="L158" s="131">
        <f t="shared" si="188"/>
        <v>22.2728</v>
      </c>
      <c r="M158" s="131"/>
      <c r="N158" s="25">
        <f t="shared" si="189"/>
        <v>0.551021874214288</v>
      </c>
      <c r="O158" s="27">
        <f t="shared" si="255"/>
        <v>3.04314353259255</v>
      </c>
      <c r="P158" s="27">
        <f t="shared" si="256"/>
        <v>0.676254118353899</v>
      </c>
      <c r="Q158" s="25">
        <f t="shared" si="192"/>
        <v>0.169063529588475</v>
      </c>
      <c r="R158" s="25">
        <f t="shared" si="257"/>
        <v>0.608628706518509</v>
      </c>
      <c r="S158" s="25">
        <f t="shared" si="258"/>
        <v>12.6797647191356</v>
      </c>
      <c r="T158" s="25">
        <f t="shared" si="259"/>
        <v>1.5</v>
      </c>
      <c r="U158" s="25">
        <f t="shared" si="196"/>
        <v>3.75</v>
      </c>
      <c r="V158" s="25">
        <f t="shared" si="197"/>
        <v>4.29838687948416</v>
      </c>
      <c r="W158" s="24">
        <f t="shared" si="198"/>
        <v>350</v>
      </c>
      <c r="X158" s="131">
        <f t="shared" si="199"/>
        <v>124.248500348444</v>
      </c>
      <c r="Z158" s="25">
        <f t="shared" si="200"/>
        <v>0.532493572921903</v>
      </c>
      <c r="AA158" s="5">
        <f t="shared" si="201"/>
        <v>1.5259089248381</v>
      </c>
      <c r="AB158" s="5">
        <f t="shared" si="260"/>
        <v>0.0775991010793214</v>
      </c>
      <c r="AC158" s="5"/>
      <c r="AD158" s="5">
        <f t="shared" si="203"/>
        <v>0.859677375896831</v>
      </c>
      <c r="AE158" s="216">
        <f t="shared" si="261"/>
        <v>3410.42754158202</v>
      </c>
      <c r="AF158" s="217">
        <f t="shared" si="262"/>
        <v>0.0246303429631096</v>
      </c>
      <c r="AH158" s="5">
        <f t="shared" si="263"/>
        <v>1.09857049972095</v>
      </c>
      <c r="AI158" s="5">
        <f t="shared" si="264"/>
        <v>1.5</v>
      </c>
      <c r="AJ158" s="5">
        <f t="shared" si="265"/>
        <v>2.08888888888889</v>
      </c>
      <c r="AL158" s="216">
        <f t="shared" si="266"/>
        <v>240</v>
      </c>
      <c r="AM158" s="220">
        <f t="shared" si="267"/>
        <v>124.248500348444</v>
      </c>
      <c r="AO158" t="str">
        <f t="shared" si="211"/>
        <v/>
      </c>
      <c r="AP158" t="str">
        <f t="shared" si="212"/>
        <v/>
      </c>
      <c r="AR158" s="192">
        <f t="shared" si="249"/>
        <v>8.04838687948416</v>
      </c>
      <c r="AS158" s="192">
        <f t="shared" si="246"/>
        <v>3.75</v>
      </c>
      <c r="AT158" s="192">
        <f t="shared" si="247"/>
        <v>4.29838687948416</v>
      </c>
      <c r="AU158" s="5">
        <f t="shared" si="248"/>
        <v>0.465931876306665</v>
      </c>
      <c r="AW158" s="192">
        <f t="shared" si="216"/>
        <v>5</v>
      </c>
      <c r="AX158" s="192"/>
      <c r="AY158" s="192">
        <f t="shared" si="217"/>
        <v>14.4</v>
      </c>
      <c r="AZ158" s="192"/>
      <c r="BA158" s="192">
        <f t="shared" si="218"/>
        <v>3.43870950358733</v>
      </c>
      <c r="BB158" s="192"/>
      <c r="BC158" s="192"/>
      <c r="BD158" s="5">
        <f t="shared" si="219"/>
        <v>0.591142036426102</v>
      </c>
      <c r="BE158" s="5">
        <f t="shared" si="220"/>
        <v>0.345385911651162</v>
      </c>
      <c r="BF158" s="5">
        <f t="shared" si="221"/>
        <v>0.26152678083874</v>
      </c>
      <c r="BG158" s="5"/>
      <c r="BH158" s="217">
        <f t="shared" si="222"/>
        <v>0.1223071175305</v>
      </c>
      <c r="BI158" s="217">
        <f t="shared" si="223"/>
        <v>0.0207552149892062</v>
      </c>
      <c r="BJ158" s="217">
        <f t="shared" si="224"/>
        <v>0.00155310625435555</v>
      </c>
      <c r="BK158" s="217">
        <f t="shared" si="225"/>
        <v>0.00308184501607728</v>
      </c>
      <c r="BL158">
        <f t="shared" si="226"/>
        <v>0.0029</v>
      </c>
      <c r="BM158">
        <f t="shared" si="268"/>
        <v>1.55310625435555e-6</v>
      </c>
      <c r="BN158">
        <f t="shared" si="269"/>
        <v>0.217874398850954</v>
      </c>
      <c r="BO158" s="220">
        <f t="shared" si="229"/>
        <v>150.597283790139</v>
      </c>
      <c r="BP158" s="5">
        <f t="shared" si="230"/>
        <v>0.1848</v>
      </c>
      <c r="BQ158" s="5">
        <f t="shared" si="231"/>
        <v>0.14784</v>
      </c>
      <c r="BR158" s="217"/>
      <c r="BT158" s="220">
        <f t="shared" si="232"/>
        <v>332.64</v>
      </c>
      <c r="BU158" s="217">
        <f t="shared" si="233"/>
        <v>0.01432740519643</v>
      </c>
      <c r="BV158" s="217">
        <f t="shared" si="234"/>
        <v>0.0119291427967104</v>
      </c>
      <c r="BW158" s="217">
        <f t="shared" si="235"/>
        <v>0.00478773799671119</v>
      </c>
      <c r="BX158" s="217">
        <f t="shared" si="236"/>
        <v>0</v>
      </c>
      <c r="BY158" s="217">
        <f t="shared" si="180"/>
        <v>0.0429477773125166</v>
      </c>
      <c r="BZ158" s="217">
        <f t="shared" si="250"/>
        <v>0.0310442859898516</v>
      </c>
      <c r="CA158" s="225">
        <f t="shared" si="270"/>
        <v>0.01118236503136</v>
      </c>
      <c r="CB158" s="220">
        <f t="shared" si="238"/>
        <v>116.21871432358</v>
      </c>
      <c r="CC158" s="5">
        <f t="shared" si="251"/>
        <v>0.60464454119483</v>
      </c>
      <c r="CD158" s="192">
        <f t="shared" si="239"/>
        <v>3.71939765094645</v>
      </c>
      <c r="CE158" s="5">
        <f t="shared" si="240"/>
        <v>0.860166826703555</v>
      </c>
      <c r="CF158" s="192">
        <f t="shared" si="241"/>
        <v>86.0166826703555</v>
      </c>
      <c r="CG158">
        <f t="shared" si="242"/>
        <v>48</v>
      </c>
      <c r="CI158" s="227">
        <f t="shared" si="271"/>
        <v>-50</v>
      </c>
      <c r="CJ158">
        <f t="shared" si="272"/>
        <v>-50</v>
      </c>
    </row>
    <row r="159" spans="5:88">
      <c r="E159" s="22">
        <v>49</v>
      </c>
      <c r="F159" s="25">
        <f t="shared" si="273"/>
        <v>0.245</v>
      </c>
      <c r="G159" s="25">
        <f t="shared" si="252"/>
        <v>0.196</v>
      </c>
      <c r="H159" s="25">
        <f t="shared" si="253"/>
        <v>4.41</v>
      </c>
      <c r="I159" s="25">
        <f t="shared" si="254"/>
        <v>0.98</v>
      </c>
      <c r="J159" s="212">
        <f t="shared" si="186"/>
        <v>10</v>
      </c>
      <c r="K159" s="131">
        <f t="shared" si="187"/>
        <v>8.55160300505808</v>
      </c>
      <c r="L159" s="131">
        <f t="shared" si="188"/>
        <v>22.2728</v>
      </c>
      <c r="M159" s="131"/>
      <c r="N159" s="25">
        <f t="shared" si="189"/>
        <v>0.551021874214288</v>
      </c>
      <c r="O159" s="27">
        <f t="shared" si="255"/>
        <v>3.04314353259255</v>
      </c>
      <c r="P159" s="27">
        <f t="shared" si="256"/>
        <v>0.676254118353899</v>
      </c>
      <c r="Q159" s="25">
        <f t="shared" si="192"/>
        <v>0.169063529588475</v>
      </c>
      <c r="R159" s="25">
        <f t="shared" si="257"/>
        <v>0.608628706518509</v>
      </c>
      <c r="S159" s="25">
        <f t="shared" si="258"/>
        <v>12.4209940105818</v>
      </c>
      <c r="T159" s="25">
        <f t="shared" si="259"/>
        <v>1.5</v>
      </c>
      <c r="U159" s="25">
        <f t="shared" si="196"/>
        <v>3.75</v>
      </c>
      <c r="V159" s="25">
        <f t="shared" si="197"/>
        <v>4.38514275952937</v>
      </c>
      <c r="W159" s="24">
        <f t="shared" si="198"/>
        <v>350</v>
      </c>
      <c r="X159" s="131">
        <f t="shared" si="199"/>
        <v>122.923472833789</v>
      </c>
      <c r="Z159" s="25">
        <f t="shared" si="200"/>
        <v>0.52681488357338</v>
      </c>
      <c r="AA159" s="5">
        <f t="shared" si="201"/>
        <v>1.54010564820941</v>
      </c>
      <c r="AB159" s="5">
        <f t="shared" si="260"/>
        <v>0.0774858241539155</v>
      </c>
      <c r="AC159" s="5"/>
      <c r="AD159" s="5">
        <f t="shared" si="203"/>
        <v>0.877028551905873</v>
      </c>
      <c r="AE159" s="216">
        <f t="shared" si="261"/>
        <v>3412.6003810882</v>
      </c>
      <c r="AF159" s="217">
        <f t="shared" si="262"/>
        <v>0.0251274659861159</v>
      </c>
      <c r="AH159" s="5">
        <f t="shared" si="263"/>
        <v>1.10995495404093</v>
      </c>
      <c r="AI159" s="5">
        <f t="shared" si="264"/>
        <v>1.5</v>
      </c>
      <c r="AJ159" s="5">
        <f t="shared" si="265"/>
        <v>2.08888888888889</v>
      </c>
      <c r="AL159" s="216">
        <f t="shared" si="266"/>
        <v>245</v>
      </c>
      <c r="AM159" s="220">
        <f t="shared" si="267"/>
        <v>122.923472833789</v>
      </c>
      <c r="AO159" t="str">
        <f t="shared" si="211"/>
        <v/>
      </c>
      <c r="AP159" t="str">
        <f t="shared" si="212"/>
        <v/>
      </c>
      <c r="AR159" s="192">
        <f t="shared" si="249"/>
        <v>8.13514275952937</v>
      </c>
      <c r="AS159" s="192">
        <f t="shared" si="246"/>
        <v>3.75</v>
      </c>
      <c r="AT159" s="192">
        <f t="shared" si="247"/>
        <v>4.38514275952937</v>
      </c>
      <c r="AU159" s="5">
        <f t="shared" si="248"/>
        <v>0.460963023126707</v>
      </c>
      <c r="AW159" s="192">
        <f t="shared" si="216"/>
        <v>5.10416666666667</v>
      </c>
      <c r="AX159" s="192"/>
      <c r="AY159" s="192">
        <f t="shared" si="217"/>
        <v>14.7</v>
      </c>
      <c r="AZ159" s="192"/>
      <c r="BA159" s="192">
        <f t="shared" si="218"/>
        <v>3.58119992028232</v>
      </c>
      <c r="BB159" s="192"/>
      <c r="BC159" s="192"/>
      <c r="BD159" s="5">
        <f t="shared" si="219"/>
        <v>0.587981519560803</v>
      </c>
      <c r="BE159" s="5">
        <f t="shared" si="220"/>
        <v>0.346988889388586</v>
      </c>
      <c r="BF159" s="5">
        <f t="shared" si="221"/>
        <v>0.262740558220164</v>
      </c>
      <c r="BG159" s="5"/>
      <c r="BH159" s="217">
        <f t="shared" si="222"/>
        <v>0.121002793570761</v>
      </c>
      <c r="BI159" s="217">
        <f t="shared" si="223"/>
        <v>0.020533874442993</v>
      </c>
      <c r="BJ159" s="217">
        <f t="shared" si="224"/>
        <v>0.00153654341042236</v>
      </c>
      <c r="BK159" s="217">
        <f t="shared" si="225"/>
        <v>0.00304897919129264</v>
      </c>
      <c r="BL159">
        <f t="shared" si="226"/>
        <v>0.0029</v>
      </c>
      <c r="BM159">
        <f t="shared" si="268"/>
        <v>1.53654341042236e-6</v>
      </c>
      <c r="BN159">
        <f t="shared" si="269"/>
        <v>0.215414402692271</v>
      </c>
      <c r="BO159" s="220">
        <f t="shared" si="229"/>
        <v>149.022190615469</v>
      </c>
      <c r="BP159" s="5">
        <f t="shared" si="230"/>
        <v>0.18865</v>
      </c>
      <c r="BQ159" s="5">
        <f t="shared" si="231"/>
        <v>0.15092</v>
      </c>
      <c r="BR159" s="217"/>
      <c r="BT159" s="220">
        <f t="shared" si="232"/>
        <v>339.57</v>
      </c>
      <c r="BU159" s="217">
        <f t="shared" si="233"/>
        <v>0.0141746129611463</v>
      </c>
      <c r="BV159" s="217">
        <f t="shared" si="234"/>
        <v>0.0120401289359125</v>
      </c>
      <c r="BW159" s="217">
        <f t="shared" si="235"/>
        <v>0.00483228206536904</v>
      </c>
      <c r="BX159" s="217">
        <f t="shared" si="236"/>
        <v>0</v>
      </c>
      <c r="BY159" s="217">
        <f t="shared" si="180"/>
        <v>0.0429515745533007</v>
      </c>
      <c r="BZ159" s="217">
        <f t="shared" si="250"/>
        <v>0.0310470239624278</v>
      </c>
      <c r="CA159" s="225">
        <f t="shared" si="270"/>
        <v>0.011063112555041</v>
      </c>
      <c r="CB159" s="220">
        <f t="shared" si="238"/>
        <v>116.108735033197</v>
      </c>
      <c r="CC159" s="5">
        <f t="shared" si="251"/>
        <v>0.608999089800613</v>
      </c>
      <c r="CD159" s="192">
        <f t="shared" si="239"/>
        <v>3.71939765094645</v>
      </c>
      <c r="CE159" s="5">
        <f t="shared" si="240"/>
        <v>0.859301462810107</v>
      </c>
      <c r="CF159" s="192">
        <f t="shared" si="241"/>
        <v>85.9301462810107</v>
      </c>
      <c r="CG159">
        <f t="shared" si="242"/>
        <v>49</v>
      </c>
      <c r="CI159" s="227">
        <f t="shared" si="271"/>
        <v>-50</v>
      </c>
      <c r="CJ159">
        <f t="shared" si="272"/>
        <v>-50</v>
      </c>
    </row>
    <row r="160" spans="5:88">
      <c r="E160" s="22">
        <v>50</v>
      </c>
      <c r="F160" s="25">
        <f t="shared" si="273"/>
        <v>0.25</v>
      </c>
      <c r="G160" s="25">
        <f t="shared" si="252"/>
        <v>0.2</v>
      </c>
      <c r="H160" s="25">
        <f t="shared" si="253"/>
        <v>4.5</v>
      </c>
      <c r="I160" s="25">
        <f t="shared" si="254"/>
        <v>1</v>
      </c>
      <c r="J160" s="212">
        <f t="shared" si="186"/>
        <v>10</v>
      </c>
      <c r="K160" s="131">
        <f t="shared" si="187"/>
        <v>8.38590694495691</v>
      </c>
      <c r="L160" s="131">
        <f t="shared" si="188"/>
        <v>22.2728</v>
      </c>
      <c r="M160" s="131"/>
      <c r="N160" s="25">
        <f t="shared" si="189"/>
        <v>0.551021874214288</v>
      </c>
      <c r="O160" s="27">
        <f t="shared" si="255"/>
        <v>3.04314353259255</v>
      </c>
      <c r="P160" s="27">
        <f t="shared" si="256"/>
        <v>0.676254118353899</v>
      </c>
      <c r="Q160" s="25">
        <f t="shared" si="192"/>
        <v>0.169063529588475</v>
      </c>
      <c r="R160" s="25">
        <f t="shared" si="257"/>
        <v>0.608628706518509</v>
      </c>
      <c r="S160" s="25">
        <f t="shared" si="258"/>
        <v>12.1725741303702</v>
      </c>
      <c r="T160" s="25">
        <f t="shared" si="259"/>
        <v>1.5</v>
      </c>
      <c r="U160" s="25">
        <f t="shared" si="196"/>
        <v>3.75</v>
      </c>
      <c r="V160" s="25">
        <f t="shared" si="197"/>
        <v>4.47178823306066</v>
      </c>
      <c r="W160" s="24">
        <f t="shared" si="198"/>
        <v>350</v>
      </c>
      <c r="X160" s="131">
        <f t="shared" si="199"/>
        <v>121.628041449535</v>
      </c>
      <c r="Z160" s="25">
        <f t="shared" si="200"/>
        <v>0.521263034783721</v>
      </c>
      <c r="AA160" s="5">
        <f t="shared" si="201"/>
        <v>1.55398527018356</v>
      </c>
      <c r="AB160" s="5">
        <f t="shared" si="260"/>
        <v>0.0773601909325687</v>
      </c>
      <c r="AC160" s="5"/>
      <c r="AD160" s="5">
        <f t="shared" si="203"/>
        <v>0.894357646612133</v>
      </c>
      <c r="AE160" s="216">
        <f t="shared" si="261"/>
        <v>3414.77322059437</v>
      </c>
      <c r="AF160" s="217">
        <f t="shared" si="262"/>
        <v>0.0256239563647421</v>
      </c>
      <c r="AH160" s="5">
        <f t="shared" si="263"/>
        <v>1.12122382116278</v>
      </c>
      <c r="AI160" s="5">
        <f t="shared" si="264"/>
        <v>1.5</v>
      </c>
      <c r="AJ160" s="5">
        <f t="shared" si="265"/>
        <v>2.08888888888889</v>
      </c>
      <c r="AL160" s="216">
        <f t="shared" si="266"/>
        <v>250</v>
      </c>
      <c r="AM160" s="220">
        <f t="shared" si="267"/>
        <v>121.628041449535</v>
      </c>
      <c r="AO160" t="str">
        <f t="shared" si="211"/>
        <v/>
      </c>
      <c r="AP160" t="str">
        <f t="shared" si="212"/>
        <v/>
      </c>
      <c r="AR160" s="192">
        <f t="shared" si="249"/>
        <v>8.22178823306066</v>
      </c>
      <c r="AS160" s="192">
        <f t="shared" si="246"/>
        <v>3.75</v>
      </c>
      <c r="AT160" s="192">
        <f t="shared" si="247"/>
        <v>4.47178823306066</v>
      </c>
      <c r="AU160" s="5">
        <f t="shared" si="248"/>
        <v>0.456105155435756</v>
      </c>
      <c r="AW160" s="192">
        <f t="shared" si="216"/>
        <v>5.20833333333333</v>
      </c>
      <c r="AX160" s="192"/>
      <c r="AY160" s="192">
        <f t="shared" si="217"/>
        <v>15</v>
      </c>
      <c r="AZ160" s="192"/>
      <c r="BA160" s="192">
        <f t="shared" si="218"/>
        <v>3.72649019421722</v>
      </c>
      <c r="BB160" s="192"/>
      <c r="BC160" s="192"/>
      <c r="BD160" s="5">
        <f t="shared" si="219"/>
        <v>0.584875086302038</v>
      </c>
      <c r="BE160" s="5">
        <f t="shared" si="220"/>
        <v>0.348548935764472</v>
      </c>
      <c r="BF160" s="5">
        <f t="shared" si="221"/>
        <v>0.263921827903962</v>
      </c>
      <c r="BG160" s="5"/>
      <c r="BH160" s="217">
        <f t="shared" si="222"/>
        <v>0.119727603301886</v>
      </c>
      <c r="BI160" s="217">
        <f t="shared" si="223"/>
        <v>0.020317477811979</v>
      </c>
      <c r="BJ160" s="217">
        <f t="shared" si="224"/>
        <v>0.00152035051811918</v>
      </c>
      <c r="BK160" s="217">
        <f t="shared" si="225"/>
        <v>0.0030168474654043</v>
      </c>
      <c r="BL160">
        <f t="shared" si="226"/>
        <v>0.0029</v>
      </c>
      <c r="BM160">
        <f t="shared" si="268"/>
        <v>1.52035051811918e-6</v>
      </c>
      <c r="BN160">
        <f t="shared" si="269"/>
        <v>0.213013095253163</v>
      </c>
      <c r="BO160" s="220">
        <f t="shared" si="229"/>
        <v>147.482279097388</v>
      </c>
      <c r="BP160" s="5">
        <f t="shared" si="230"/>
        <v>0.1925</v>
      </c>
      <c r="BQ160" s="5">
        <f t="shared" si="231"/>
        <v>0.154</v>
      </c>
      <c r="BR160" s="217"/>
      <c r="BT160" s="220">
        <f t="shared" si="232"/>
        <v>346.5</v>
      </c>
      <c r="BU160" s="217">
        <f t="shared" si="233"/>
        <v>0.0140252335296495</v>
      </c>
      <c r="BV160" s="217">
        <f t="shared" si="234"/>
        <v>0.0121486360622546</v>
      </c>
      <c r="BW160" s="217">
        <f t="shared" si="235"/>
        <v>0.00487583118709179</v>
      </c>
      <c r="BX160" s="217">
        <f t="shared" si="236"/>
        <v>0</v>
      </c>
      <c r="BY160" s="217">
        <f t="shared" si="180"/>
        <v>0.0429552869796217</v>
      </c>
      <c r="BZ160" s="217">
        <f t="shared" si="250"/>
        <v>0.0310497007789959</v>
      </c>
      <c r="CA160" s="225">
        <f t="shared" si="270"/>
        <v>0.0109465237304581</v>
      </c>
      <c r="CB160" s="220">
        <f t="shared" si="238"/>
        <v>116.001212268072</v>
      </c>
      <c r="CC160" s="5">
        <f t="shared" si="251"/>
        <v>0.613414905963242</v>
      </c>
      <c r="CD160" s="192">
        <f t="shared" si="239"/>
        <v>3.71939765094645</v>
      </c>
      <c r="CE160" s="5">
        <f t="shared" si="240"/>
        <v>0.858425699725919</v>
      </c>
      <c r="CF160" s="192">
        <f t="shared" si="241"/>
        <v>85.8425699725919</v>
      </c>
      <c r="CG160">
        <f t="shared" si="242"/>
        <v>50</v>
      </c>
      <c r="CI160" s="227">
        <f t="shared" si="271"/>
        <v>-50</v>
      </c>
      <c r="CJ160">
        <f t="shared" si="272"/>
        <v>-50</v>
      </c>
    </row>
    <row r="161" spans="5:88">
      <c r="E161" s="22">
        <v>51</v>
      </c>
      <c r="F161" s="25">
        <f t="shared" si="273"/>
        <v>0.255</v>
      </c>
      <c r="G161" s="25">
        <f t="shared" si="252"/>
        <v>0.204</v>
      </c>
      <c r="H161" s="25">
        <f t="shared" si="253"/>
        <v>4.59</v>
      </c>
      <c r="I161" s="25">
        <f t="shared" si="254"/>
        <v>1.02</v>
      </c>
      <c r="J161" s="212">
        <f t="shared" si="186"/>
        <v>10</v>
      </c>
      <c r="K161" s="131">
        <f t="shared" si="187"/>
        <v>8.2267087695656</v>
      </c>
      <c r="L161" s="131">
        <f t="shared" si="188"/>
        <v>22.2728</v>
      </c>
      <c r="M161" s="131"/>
      <c r="N161" s="25">
        <f t="shared" si="189"/>
        <v>0.551021874214288</v>
      </c>
      <c r="O161" s="27">
        <f t="shared" si="255"/>
        <v>3.04314353259255</v>
      </c>
      <c r="P161" s="27">
        <f t="shared" si="256"/>
        <v>0.676254118353899</v>
      </c>
      <c r="Q161" s="25">
        <f t="shared" si="192"/>
        <v>0.169063529588475</v>
      </c>
      <c r="R161" s="25">
        <f t="shared" si="257"/>
        <v>0.608628706518509</v>
      </c>
      <c r="S161" s="25">
        <f t="shared" si="258"/>
        <v>11.9338962062453</v>
      </c>
      <c r="T161" s="25">
        <f t="shared" si="259"/>
        <v>1.5</v>
      </c>
      <c r="U161" s="25">
        <f t="shared" si="196"/>
        <v>3.75</v>
      </c>
      <c r="V161" s="25">
        <f t="shared" si="197"/>
        <v>4.55832351070088</v>
      </c>
      <c r="W161" s="24">
        <f t="shared" si="198"/>
        <v>350</v>
      </c>
      <c r="X161" s="131">
        <f t="shared" si="199"/>
        <v>120.361225548335</v>
      </c>
      <c r="Z161" s="25">
        <f t="shared" si="200"/>
        <v>0.515833823778577</v>
      </c>
      <c r="AA161" s="5">
        <f t="shared" si="201"/>
        <v>1.56755829769642</v>
      </c>
      <c r="AB161" s="5">
        <f t="shared" si="260"/>
        <v>0.0772230986378658</v>
      </c>
      <c r="AC161" s="5"/>
      <c r="AD161" s="5">
        <f t="shared" si="203"/>
        <v>0.911664702140176</v>
      </c>
      <c r="AE161" s="216">
        <f t="shared" si="261"/>
        <v>3416.94606010054</v>
      </c>
      <c r="AF161" s="217">
        <f t="shared" si="262"/>
        <v>0.0261198153058857</v>
      </c>
      <c r="AH161" s="5">
        <f t="shared" si="263"/>
        <v>1.13238055188427</v>
      </c>
      <c r="AI161" s="5">
        <f t="shared" si="264"/>
        <v>1.5</v>
      </c>
      <c r="AJ161" s="5">
        <f t="shared" si="265"/>
        <v>2.08888888888889</v>
      </c>
      <c r="AL161" s="216">
        <f t="shared" si="266"/>
        <v>255</v>
      </c>
      <c r="AM161" s="220">
        <f t="shared" si="267"/>
        <v>120.361225548335</v>
      </c>
      <c r="AO161" t="str">
        <f t="shared" si="211"/>
        <v/>
      </c>
      <c r="AP161" t="str">
        <f t="shared" si="212"/>
        <v/>
      </c>
      <c r="AR161" s="192">
        <f t="shared" si="249"/>
        <v>8.30832351070088</v>
      </c>
      <c r="AS161" s="192">
        <f t="shared" si="246"/>
        <v>3.75</v>
      </c>
      <c r="AT161" s="192">
        <f t="shared" si="247"/>
        <v>4.55832351070088</v>
      </c>
      <c r="AU161" s="5">
        <f t="shared" si="248"/>
        <v>0.451354595806255</v>
      </c>
      <c r="AW161" s="192">
        <f t="shared" si="216"/>
        <v>5.3125</v>
      </c>
      <c r="AX161" s="192"/>
      <c r="AY161" s="192">
        <f t="shared" si="217"/>
        <v>15.3</v>
      </c>
      <c r="AZ161" s="192"/>
      <c r="BA161" s="192">
        <f t="shared" si="218"/>
        <v>3.87457498409575</v>
      </c>
      <c r="BB161" s="192"/>
      <c r="BC161" s="192"/>
      <c r="BD161" s="5">
        <f t="shared" si="219"/>
        <v>0.581821232729342</v>
      </c>
      <c r="BE161" s="5">
        <f t="shared" si="220"/>
        <v>0.350067797949431</v>
      </c>
      <c r="BF161" s="5">
        <f t="shared" si="221"/>
        <v>0.265071912850598</v>
      </c>
      <c r="BG161" s="5"/>
      <c r="BH161" s="217">
        <f t="shared" si="222"/>
        <v>0.118480581399142</v>
      </c>
      <c r="BI161" s="217">
        <f t="shared" si="223"/>
        <v>0.0201058612829471</v>
      </c>
      <c r="BJ161" s="217">
        <f t="shared" si="224"/>
        <v>0.00150451531935418</v>
      </c>
      <c r="BK161" s="217">
        <f t="shared" si="225"/>
        <v>0.00298542551455216</v>
      </c>
      <c r="BL161">
        <f t="shared" si="226"/>
        <v>0.0029</v>
      </c>
      <c r="BM161">
        <f t="shared" si="268"/>
        <v>1.50451531935418e-6</v>
      </c>
      <c r="BN161">
        <f t="shared" si="269"/>
        <v>0.210668401064775</v>
      </c>
      <c r="BO161" s="220">
        <f t="shared" si="229"/>
        <v>145.976383515995</v>
      </c>
      <c r="BP161" s="5">
        <f t="shared" si="230"/>
        <v>0.19635</v>
      </c>
      <c r="BQ161" s="5">
        <f t="shared" si="231"/>
        <v>0.15708</v>
      </c>
      <c r="BR161" s="217"/>
      <c r="BT161" s="220">
        <f t="shared" si="232"/>
        <v>353.43</v>
      </c>
      <c r="BU161" s="217">
        <f t="shared" si="233"/>
        <v>0.0138791538210423</v>
      </c>
      <c r="BV161" s="217">
        <f t="shared" si="234"/>
        <v>0.0122547463161164</v>
      </c>
      <c r="BW161" s="217">
        <f t="shared" si="235"/>
        <v>0.00491841832875926</v>
      </c>
      <c r="BX161" s="217">
        <f t="shared" si="236"/>
        <v>0</v>
      </c>
      <c r="BY161" s="217">
        <f t="shared" si="180"/>
        <v>0.0429589174016955</v>
      </c>
      <c r="BZ161" s="217">
        <f t="shared" si="250"/>
        <v>0.031052318465918</v>
      </c>
      <c r="CA161" s="225">
        <f t="shared" si="270"/>
        <v>0.0108325102993501</v>
      </c>
      <c r="CB161" s="220">
        <f t="shared" si="238"/>
        <v>115.896064632882</v>
      </c>
      <c r="CC161" s="5">
        <f t="shared" si="251"/>
        <v>0.617889828765821</v>
      </c>
      <c r="CD161" s="192">
        <f t="shared" si="239"/>
        <v>3.71939765094645</v>
      </c>
      <c r="CE161" s="5">
        <f t="shared" si="240"/>
        <v>0.857540033567982</v>
      </c>
      <c r="CF161" s="192">
        <f t="shared" si="241"/>
        <v>85.7540033567982</v>
      </c>
      <c r="CG161">
        <f t="shared" si="242"/>
        <v>51</v>
      </c>
      <c r="CI161" s="227">
        <f t="shared" si="271"/>
        <v>-50</v>
      </c>
      <c r="CJ161">
        <f t="shared" si="272"/>
        <v>-50</v>
      </c>
    </row>
    <row r="162" spans="5:88">
      <c r="E162" s="22">
        <v>52</v>
      </c>
      <c r="F162" s="25">
        <f t="shared" si="273"/>
        <v>0.26</v>
      </c>
      <c r="G162" s="25">
        <f t="shared" si="252"/>
        <v>0.208</v>
      </c>
      <c r="H162" s="25">
        <f t="shared" si="253"/>
        <v>4.68</v>
      </c>
      <c r="I162" s="25">
        <f t="shared" si="254"/>
        <v>1.04</v>
      </c>
      <c r="J162" s="212">
        <f t="shared" si="186"/>
        <v>10</v>
      </c>
      <c r="K162" s="131">
        <f t="shared" si="187"/>
        <v>8.07363360092011</v>
      </c>
      <c r="L162" s="131">
        <f t="shared" si="188"/>
        <v>22.2728</v>
      </c>
      <c r="M162" s="131"/>
      <c r="N162" s="25">
        <f t="shared" si="189"/>
        <v>0.551021874214288</v>
      </c>
      <c r="O162" s="27">
        <f t="shared" si="255"/>
        <v>3.04314353259255</v>
      </c>
      <c r="P162" s="27">
        <f t="shared" si="256"/>
        <v>0.676254118353899</v>
      </c>
      <c r="Q162" s="25">
        <f t="shared" si="192"/>
        <v>0.169063529588475</v>
      </c>
      <c r="R162" s="25">
        <f t="shared" si="257"/>
        <v>0.608628706518509</v>
      </c>
      <c r="S162" s="25">
        <f t="shared" si="258"/>
        <v>11.704398202279</v>
      </c>
      <c r="T162" s="25">
        <f t="shared" si="259"/>
        <v>1.5</v>
      </c>
      <c r="U162" s="25">
        <f t="shared" si="196"/>
        <v>3.75</v>
      </c>
      <c r="V162" s="25">
        <f t="shared" si="197"/>
        <v>4.64474880253748</v>
      </c>
      <c r="W162" s="24">
        <f t="shared" si="198"/>
        <v>350</v>
      </c>
      <c r="X162" s="131">
        <f t="shared" si="199"/>
        <v>119.122087333659</v>
      </c>
      <c r="Z162" s="25">
        <f t="shared" si="200"/>
        <v>0.510523231429968</v>
      </c>
      <c r="AA162" s="5">
        <f t="shared" si="201"/>
        <v>1.58083477856794</v>
      </c>
      <c r="AB162" s="5">
        <f t="shared" si="260"/>
        <v>0.0770753842044267</v>
      </c>
      <c r="AC162" s="5"/>
      <c r="AD162" s="5">
        <f t="shared" si="203"/>
        <v>0.928949760507495</v>
      </c>
      <c r="AE162" s="216">
        <f t="shared" si="261"/>
        <v>3419.11889960672</v>
      </c>
      <c r="AF162" s="217">
        <f t="shared" si="262"/>
        <v>0.0266150440133764</v>
      </c>
      <c r="AH162" s="5">
        <f t="shared" si="263"/>
        <v>1.14342842864281</v>
      </c>
      <c r="AI162" s="5">
        <f t="shared" si="264"/>
        <v>1.5</v>
      </c>
      <c r="AJ162" s="5">
        <f t="shared" si="265"/>
        <v>2.08888888888889</v>
      </c>
      <c r="AL162" s="216">
        <f t="shared" si="266"/>
        <v>260</v>
      </c>
      <c r="AM162" s="220">
        <f t="shared" si="267"/>
        <v>119.122087333659</v>
      </c>
      <c r="AO162" t="str">
        <f t="shared" si="211"/>
        <v/>
      </c>
      <c r="AP162" t="str">
        <f t="shared" si="212"/>
        <v/>
      </c>
      <c r="AR162" s="192">
        <f t="shared" si="249"/>
        <v>8.39474880253748</v>
      </c>
      <c r="AS162" s="192">
        <f t="shared" si="246"/>
        <v>3.75</v>
      </c>
      <c r="AT162" s="192">
        <f t="shared" si="247"/>
        <v>4.64474880253748</v>
      </c>
      <c r="AU162" s="5">
        <f t="shared" si="248"/>
        <v>0.446707827501222</v>
      </c>
      <c r="AW162" s="192">
        <f t="shared" si="216"/>
        <v>5.41666666666667</v>
      </c>
      <c r="AX162" s="192"/>
      <c r="AY162" s="192">
        <f t="shared" si="217"/>
        <v>15.6</v>
      </c>
      <c r="AZ162" s="192"/>
      <c r="BA162" s="192">
        <f t="shared" si="218"/>
        <v>4.02544896219915</v>
      </c>
      <c r="BB162" s="192"/>
      <c r="BC162" s="192"/>
      <c r="BD162" s="5">
        <f t="shared" si="219"/>
        <v>0.578818512684172</v>
      </c>
      <c r="BE162" s="5">
        <f t="shared" si="220"/>
        <v>0.351547126977787</v>
      </c>
      <c r="BF162" s="5">
        <f t="shared" si="221"/>
        <v>0.266192063225978</v>
      </c>
      <c r="BG162" s="5"/>
      <c r="BH162" s="217">
        <f t="shared" si="222"/>
        <v>0.117260804719071</v>
      </c>
      <c r="BI162" s="217">
        <f t="shared" si="223"/>
        <v>0.0198988682007384</v>
      </c>
      <c r="BJ162" s="217">
        <f t="shared" si="224"/>
        <v>0.00148902609167074</v>
      </c>
      <c r="BK162" s="217">
        <f t="shared" si="225"/>
        <v>0.00295469007774271</v>
      </c>
      <c r="BL162">
        <f t="shared" si="226"/>
        <v>0.0029</v>
      </c>
      <c r="BM162">
        <f t="shared" si="268"/>
        <v>1.48902609167074e-6</v>
      </c>
      <c r="BN162">
        <f t="shared" si="269"/>
        <v>0.208378341380647</v>
      </c>
      <c r="BO162" s="220">
        <f t="shared" si="229"/>
        <v>144.503389089223</v>
      </c>
      <c r="BP162" s="5">
        <f t="shared" si="230"/>
        <v>0.2002</v>
      </c>
      <c r="BQ162" s="5">
        <f t="shared" si="231"/>
        <v>0.16016</v>
      </c>
      <c r="BR162" s="217"/>
      <c r="BT162" s="220">
        <f t="shared" si="232"/>
        <v>360.36</v>
      </c>
      <c r="BU162" s="217">
        <f t="shared" si="233"/>
        <v>0.0137362656956626</v>
      </c>
      <c r="BV162" s="217">
        <f t="shared" si="234"/>
        <v>0.0123585382486336</v>
      </c>
      <c r="BW162" s="217">
        <f t="shared" si="235"/>
        <v>0.00496007501671522</v>
      </c>
      <c r="BX162" s="217">
        <f t="shared" si="236"/>
        <v>0</v>
      </c>
      <c r="BY162" s="217">
        <f t="shared" si="180"/>
        <v>0.0429624685069437</v>
      </c>
      <c r="BZ162" s="217">
        <f t="shared" si="250"/>
        <v>0.0310548789610114</v>
      </c>
      <c r="CA162" s="225">
        <f t="shared" si="270"/>
        <v>0.0107209878600293</v>
      </c>
      <c r="CB162" s="220">
        <f t="shared" si="238"/>
        <v>115.793214288996</v>
      </c>
      <c r="CC162" s="5">
        <f t="shared" si="251"/>
        <v>0.62242179774762</v>
      </c>
      <c r="CD162" s="192">
        <f t="shared" si="239"/>
        <v>3.71939765094645</v>
      </c>
      <c r="CE162" s="5">
        <f t="shared" si="240"/>
        <v>0.856644937657453</v>
      </c>
      <c r="CF162" s="192">
        <f t="shared" si="241"/>
        <v>85.6644937657453</v>
      </c>
      <c r="CG162">
        <f t="shared" si="242"/>
        <v>52</v>
      </c>
      <c r="CI162" s="227">
        <f t="shared" si="271"/>
        <v>-50</v>
      </c>
      <c r="CJ162">
        <f t="shared" si="272"/>
        <v>-50</v>
      </c>
    </row>
    <row r="163" spans="5:88">
      <c r="E163" s="22">
        <v>53</v>
      </c>
      <c r="F163" s="25">
        <f t="shared" si="273"/>
        <v>0.265</v>
      </c>
      <c r="G163" s="25">
        <f t="shared" si="252"/>
        <v>0.212</v>
      </c>
      <c r="H163" s="25">
        <f t="shared" si="253"/>
        <v>4.77</v>
      </c>
      <c r="I163" s="25">
        <f t="shared" si="254"/>
        <v>1.06</v>
      </c>
      <c r="J163" s="212">
        <f t="shared" si="186"/>
        <v>10</v>
      </c>
      <c r="K163" s="131">
        <f t="shared" si="187"/>
        <v>7.92633485373294</v>
      </c>
      <c r="L163" s="131">
        <f t="shared" si="188"/>
        <v>22.2728</v>
      </c>
      <c r="M163" s="131"/>
      <c r="N163" s="25">
        <f t="shared" si="189"/>
        <v>0.551021874214288</v>
      </c>
      <c r="O163" s="27">
        <f t="shared" si="255"/>
        <v>3.04314353259255</v>
      </c>
      <c r="P163" s="27">
        <f t="shared" si="256"/>
        <v>0.676254118353899</v>
      </c>
      <c r="Q163" s="25">
        <f t="shared" si="192"/>
        <v>0.169063529588475</v>
      </c>
      <c r="R163" s="25">
        <f t="shared" si="257"/>
        <v>0.608628706518509</v>
      </c>
      <c r="S163" s="25">
        <f t="shared" si="258"/>
        <v>11.4835605003492</v>
      </c>
      <c r="T163" s="25">
        <f t="shared" si="259"/>
        <v>1.5</v>
      </c>
      <c r="U163" s="25">
        <f t="shared" si="196"/>
        <v>3.75</v>
      </c>
      <c r="V163" s="25">
        <f t="shared" si="197"/>
        <v>4.73106431812419</v>
      </c>
      <c r="W163" s="24">
        <f t="shared" si="198"/>
        <v>350</v>
      </c>
      <c r="X163" s="131">
        <f t="shared" si="199"/>
        <v>117.909729544555</v>
      </c>
      <c r="Z163" s="25">
        <f t="shared" si="200"/>
        <v>0.505327412333808</v>
      </c>
      <c r="AA163" s="5">
        <f t="shared" si="201"/>
        <v>1.59382432630834</v>
      </c>
      <c r="AB163" s="5">
        <f t="shared" si="260"/>
        <v>0.0769178286630725</v>
      </c>
      <c r="AC163" s="5"/>
      <c r="AD163" s="5">
        <f t="shared" si="203"/>
        <v>0.946212863624837</v>
      </c>
      <c r="AE163" s="216">
        <f t="shared" si="261"/>
        <v>3421.29173911289</v>
      </c>
      <c r="AF163" s="217">
        <f t="shared" si="262"/>
        <v>0.0271096436879859</v>
      </c>
      <c r="AH163" s="5">
        <f t="shared" si="263"/>
        <v>1.15437057679561</v>
      </c>
      <c r="AI163" s="5">
        <f t="shared" si="264"/>
        <v>1.5</v>
      </c>
      <c r="AJ163" s="5">
        <f t="shared" si="265"/>
        <v>2.08888888888889</v>
      </c>
      <c r="AL163" s="216">
        <f t="shared" si="266"/>
        <v>265</v>
      </c>
      <c r="AM163" s="220">
        <f t="shared" si="267"/>
        <v>117.909729544555</v>
      </c>
      <c r="AO163" t="str">
        <f t="shared" si="211"/>
        <v/>
      </c>
      <c r="AP163" t="str">
        <f t="shared" si="212"/>
        <v/>
      </c>
      <c r="AR163" s="192">
        <f t="shared" si="249"/>
        <v>8.48106431812418</v>
      </c>
      <c r="AS163" s="192">
        <f t="shared" si="246"/>
        <v>3.75</v>
      </c>
      <c r="AT163" s="192">
        <f t="shared" si="247"/>
        <v>4.73106431812418</v>
      </c>
      <c r="AU163" s="5">
        <f t="shared" si="248"/>
        <v>0.442161485792082</v>
      </c>
      <c r="AW163" s="192">
        <f t="shared" si="216"/>
        <v>5.52083333333333</v>
      </c>
      <c r="AX163" s="192"/>
      <c r="AY163" s="192">
        <f t="shared" si="217"/>
        <v>15.9</v>
      </c>
      <c r="AZ163" s="192"/>
      <c r="BA163" s="192">
        <f t="shared" si="218"/>
        <v>4.17910681434303</v>
      </c>
      <c r="BB163" s="192"/>
      <c r="BC163" s="192"/>
      <c r="BD163" s="5">
        <f t="shared" si="219"/>
        <v>0.575865534950705</v>
      </c>
      <c r="BE163" s="5">
        <f t="shared" si="220"/>
        <v>0.352988484452764</v>
      </c>
      <c r="BF163" s="5">
        <f t="shared" si="221"/>
        <v>0.267283461478636</v>
      </c>
      <c r="BG163" s="5"/>
      <c r="BH163" s="217">
        <f t="shared" si="222"/>
        <v>0.116067390020422</v>
      </c>
      <c r="BI163" s="217">
        <f t="shared" si="223"/>
        <v>0.0196963486814998</v>
      </c>
      <c r="BJ163" s="217">
        <f t="shared" si="224"/>
        <v>0.00147387161930694</v>
      </c>
      <c r="BK163" s="217">
        <f t="shared" si="225"/>
        <v>0.00292461889942205</v>
      </c>
      <c r="BL163">
        <f t="shared" si="226"/>
        <v>0.0029</v>
      </c>
      <c r="BM163">
        <f t="shared" si="268"/>
        <v>1.47387161930694e-6</v>
      </c>
      <c r="BN163">
        <f t="shared" si="269"/>
        <v>0.206141028607191</v>
      </c>
      <c r="BO163" s="220">
        <f t="shared" si="229"/>
        <v>143.06222922065</v>
      </c>
      <c r="BP163" s="5">
        <f t="shared" si="230"/>
        <v>0.20405</v>
      </c>
      <c r="BQ163" s="5">
        <f t="shared" si="231"/>
        <v>0.16324</v>
      </c>
      <c r="BR163" s="217"/>
      <c r="BT163" s="220">
        <f t="shared" si="232"/>
        <v>367.29</v>
      </c>
      <c r="BU163" s="217">
        <f t="shared" si="233"/>
        <v>0.0135964656881065</v>
      </c>
      <c r="BV163" s="217">
        <f t="shared" si="234"/>
        <v>0.0124600870156259</v>
      </c>
      <c r="BW163" s="217">
        <f t="shared" si="235"/>
        <v>0.00500083141460011</v>
      </c>
      <c r="BX163" s="217">
        <f t="shared" si="236"/>
        <v>0</v>
      </c>
      <c r="BY163" s="217">
        <f t="shared" si="180"/>
        <v>0.0429659428666282</v>
      </c>
      <c r="BZ163" s="217">
        <f t="shared" si="250"/>
        <v>0.0310573841183326</v>
      </c>
      <c r="CA163" s="225">
        <f t="shared" si="270"/>
        <v>0.01061187565901</v>
      </c>
      <c r="CB163" s="220">
        <f t="shared" si="238"/>
        <v>115.692586762303</v>
      </c>
      <c r="CC163" s="5">
        <f t="shared" si="251"/>
        <v>0.627008847132829</v>
      </c>
      <c r="CD163" s="192">
        <f t="shared" si="239"/>
        <v>3.71939765094645</v>
      </c>
      <c r="CE163" s="5">
        <f t="shared" si="240"/>
        <v>0.855740863766445</v>
      </c>
      <c r="CF163" s="192">
        <f t="shared" si="241"/>
        <v>85.5740863766445</v>
      </c>
      <c r="CG163">
        <f t="shared" si="242"/>
        <v>53</v>
      </c>
      <c r="CI163" s="227">
        <f t="shared" si="271"/>
        <v>-50</v>
      </c>
      <c r="CJ163">
        <f t="shared" si="272"/>
        <v>-50</v>
      </c>
    </row>
    <row r="164" spans="5:88">
      <c r="E164" s="22">
        <v>54</v>
      </c>
      <c r="F164" s="25">
        <f t="shared" si="273"/>
        <v>0.27</v>
      </c>
      <c r="G164" s="25">
        <f t="shared" si="252"/>
        <v>0.216</v>
      </c>
      <c r="H164" s="25">
        <f t="shared" si="253"/>
        <v>4.86</v>
      </c>
      <c r="I164" s="25">
        <f t="shared" si="254"/>
        <v>1.08</v>
      </c>
      <c r="J164" s="212">
        <f t="shared" si="186"/>
        <v>10</v>
      </c>
      <c r="K164" s="131">
        <f t="shared" si="187"/>
        <v>7.78449161570085</v>
      </c>
      <c r="L164" s="131">
        <f t="shared" si="188"/>
        <v>22.2728</v>
      </c>
      <c r="M164" s="131"/>
      <c r="N164" s="25">
        <f t="shared" si="189"/>
        <v>0.551021874214288</v>
      </c>
      <c r="O164" s="27">
        <f t="shared" si="255"/>
        <v>3.04314353259255</v>
      </c>
      <c r="P164" s="27">
        <f t="shared" si="256"/>
        <v>0.676254118353899</v>
      </c>
      <c r="Q164" s="25">
        <f t="shared" si="192"/>
        <v>0.169063529588475</v>
      </c>
      <c r="R164" s="25">
        <f t="shared" si="257"/>
        <v>0.608628706518509</v>
      </c>
      <c r="S164" s="25">
        <f t="shared" si="258"/>
        <v>11.270901972565</v>
      </c>
      <c r="T164" s="25">
        <f t="shared" si="259"/>
        <v>1.5</v>
      </c>
      <c r="U164" s="25">
        <f t="shared" si="196"/>
        <v>3.75</v>
      </c>
      <c r="V164" s="25">
        <f t="shared" si="197"/>
        <v>4.81727026648275</v>
      </c>
      <c r="W164" s="24">
        <f t="shared" si="198"/>
        <v>350</v>
      </c>
      <c r="X164" s="131">
        <f t="shared" si="199"/>
        <v>116.723293288907</v>
      </c>
      <c r="Z164" s="25">
        <f t="shared" si="200"/>
        <v>0.500242685523888</v>
      </c>
      <c r="AA164" s="5">
        <f t="shared" si="201"/>
        <v>1.60653614333314</v>
      </c>
      <c r="AB164" s="5">
        <f t="shared" si="260"/>
        <v>0.0767511611722728</v>
      </c>
      <c r="AC164" s="5"/>
      <c r="AD164" s="5">
        <f t="shared" si="203"/>
        <v>0.963454053296551</v>
      </c>
      <c r="AE164" s="216">
        <f t="shared" si="261"/>
        <v>3423.46457861906</v>
      </c>
      <c r="AF164" s="217">
        <f t="shared" si="262"/>
        <v>0.0276036155274371</v>
      </c>
      <c r="AH164" s="5">
        <f t="shared" si="263"/>
        <v>1.16520997494627</v>
      </c>
      <c r="AI164" s="5">
        <f t="shared" si="264"/>
        <v>1.5</v>
      </c>
      <c r="AJ164" s="5">
        <f t="shared" si="265"/>
        <v>2.08888888888889</v>
      </c>
      <c r="AL164" s="216">
        <f t="shared" si="266"/>
        <v>270</v>
      </c>
      <c r="AM164" s="220">
        <f t="shared" si="267"/>
        <v>116.723293288907</v>
      </c>
      <c r="AO164" t="str">
        <f t="shared" si="211"/>
        <v/>
      </c>
      <c r="AP164" t="str">
        <f t="shared" si="212"/>
        <v/>
      </c>
      <c r="AR164" s="192">
        <f t="shared" si="249"/>
        <v>8.56727026648275</v>
      </c>
      <c r="AS164" s="192">
        <f t="shared" si="246"/>
        <v>3.75</v>
      </c>
      <c r="AT164" s="192">
        <f t="shared" si="247"/>
        <v>4.81727026648275</v>
      </c>
      <c r="AU164" s="5">
        <f t="shared" si="248"/>
        <v>0.437712349833402</v>
      </c>
      <c r="AW164" s="192">
        <f t="shared" si="216"/>
        <v>5.625</v>
      </c>
      <c r="AX164" s="192"/>
      <c r="AY164" s="192">
        <f t="shared" si="217"/>
        <v>16.2</v>
      </c>
      <c r="AZ164" s="192"/>
      <c r="BA164" s="192">
        <f t="shared" si="218"/>
        <v>4.33554323983448</v>
      </c>
      <c r="BB164" s="192"/>
      <c r="BC164" s="192"/>
      <c r="BD164" s="5">
        <f t="shared" si="219"/>
        <v>0.572960960602947</v>
      </c>
      <c r="BE164" s="5">
        <f t="shared" si="220"/>
        <v>0.354393348683157</v>
      </c>
      <c r="BF164" s="5">
        <f t="shared" si="221"/>
        <v>0.268347226986424</v>
      </c>
      <c r="BG164" s="5"/>
      <c r="BH164" s="217">
        <f t="shared" si="222"/>
        <v>0.114899491831268</v>
      </c>
      <c r="BI164" s="217">
        <f t="shared" si="223"/>
        <v>0.0194981592507388</v>
      </c>
      <c r="BJ164" s="217">
        <f t="shared" si="224"/>
        <v>0.00145904116611134</v>
      </c>
      <c r="BK164" s="217">
        <f t="shared" si="225"/>
        <v>0.00289519067573236</v>
      </c>
      <c r="BL164">
        <f t="shared" si="226"/>
        <v>0.0029</v>
      </c>
      <c r="BM164">
        <f t="shared" si="268"/>
        <v>1.45904116611134e-6</v>
      </c>
      <c r="BN164">
        <f t="shared" si="269"/>
        <v>0.203954661114648</v>
      </c>
      <c r="BO164" s="220">
        <f t="shared" si="229"/>
        <v>141.65188292385</v>
      </c>
      <c r="BP164" s="5">
        <f t="shared" si="230"/>
        <v>0.2079</v>
      </c>
      <c r="BQ164" s="5">
        <f t="shared" si="231"/>
        <v>0.16632</v>
      </c>
      <c r="BR164" s="217"/>
      <c r="BT164" s="220">
        <f t="shared" si="232"/>
        <v>374.22</v>
      </c>
      <c r="BU164" s="217">
        <f t="shared" si="233"/>
        <v>0.0134596547573771</v>
      </c>
      <c r="BV164" s="217">
        <f t="shared" si="234"/>
        <v>0.0125594645590862</v>
      </c>
      <c r="BW164" s="217">
        <f t="shared" si="235"/>
        <v>0.00504071639619122</v>
      </c>
      <c r="BX164" s="217">
        <f t="shared" si="236"/>
        <v>0</v>
      </c>
      <c r="BY164" s="217">
        <f t="shared" si="180"/>
        <v>0.0429693429420601</v>
      </c>
      <c r="BZ164" s="217">
        <f t="shared" si="250"/>
        <v>0.0310598357126545</v>
      </c>
      <c r="CA164" s="225">
        <f t="shared" si="270"/>
        <v>0.0105050963960016</v>
      </c>
      <c r="CB164" s="220">
        <f t="shared" si="238"/>
        <v>115.594110763371</v>
      </c>
      <c r="CC164" s="5">
        <f t="shared" si="251"/>
        <v>0.631649100452709</v>
      </c>
      <c r="CD164" s="192">
        <f t="shared" si="239"/>
        <v>3.71939765094645</v>
      </c>
      <c r="CE164" s="5">
        <f t="shared" si="240"/>
        <v>0.854828243284311</v>
      </c>
      <c r="CF164" s="192">
        <f t="shared" si="241"/>
        <v>85.4828243284311</v>
      </c>
      <c r="CG164">
        <f t="shared" si="242"/>
        <v>54</v>
      </c>
      <c r="CI164" s="227">
        <f t="shared" si="271"/>
        <v>-50</v>
      </c>
      <c r="CJ164">
        <f t="shared" si="272"/>
        <v>-50</v>
      </c>
    </row>
    <row r="165" spans="5:88">
      <c r="E165" s="22">
        <v>55</v>
      </c>
      <c r="F165" s="25">
        <f t="shared" si="273"/>
        <v>0.275</v>
      </c>
      <c r="G165" s="25">
        <f t="shared" si="252"/>
        <v>0.22</v>
      </c>
      <c r="H165" s="25">
        <f t="shared" si="253"/>
        <v>4.95</v>
      </c>
      <c r="I165" s="25">
        <f t="shared" si="254"/>
        <v>1.1</v>
      </c>
      <c r="J165" s="212">
        <f t="shared" si="186"/>
        <v>10</v>
      </c>
      <c r="K165" s="131">
        <f t="shared" si="187"/>
        <v>7.64780631359719</v>
      </c>
      <c r="L165" s="131">
        <f t="shared" si="188"/>
        <v>22.2728</v>
      </c>
      <c r="M165" s="131"/>
      <c r="N165" s="25">
        <f t="shared" si="189"/>
        <v>0.551021874214288</v>
      </c>
      <c r="O165" s="27">
        <f t="shared" si="255"/>
        <v>3.04314353259255</v>
      </c>
      <c r="P165" s="27">
        <f t="shared" si="256"/>
        <v>0.676254118353899</v>
      </c>
      <c r="Q165" s="25">
        <f t="shared" si="192"/>
        <v>0.169063529588475</v>
      </c>
      <c r="R165" s="25">
        <f t="shared" si="257"/>
        <v>0.608628706518509</v>
      </c>
      <c r="S165" s="25">
        <f t="shared" si="258"/>
        <v>11.0659764821547</v>
      </c>
      <c r="T165" s="25">
        <f t="shared" si="259"/>
        <v>1.5</v>
      </c>
      <c r="U165" s="25">
        <f t="shared" si="196"/>
        <v>3.75</v>
      </c>
      <c r="V165" s="25">
        <f t="shared" si="197"/>
        <v>4.90336685610461</v>
      </c>
      <c r="W165" s="24">
        <f t="shared" si="198"/>
        <v>350</v>
      </c>
      <c r="X165" s="131">
        <f t="shared" si="199"/>
        <v>115.561956014212</v>
      </c>
      <c r="Z165" s="25">
        <f t="shared" si="200"/>
        <v>0.495265525775194</v>
      </c>
      <c r="AA165" s="5">
        <f t="shared" si="201"/>
        <v>1.61897904270487</v>
      </c>
      <c r="AB165" s="5">
        <f t="shared" si="260"/>
        <v>0.0765760627282304</v>
      </c>
      <c r="AC165" s="5"/>
      <c r="AD165" s="5">
        <f t="shared" si="203"/>
        <v>0.980673371220921</v>
      </c>
      <c r="AE165" s="216">
        <f t="shared" si="261"/>
        <v>3425.63741812523</v>
      </c>
      <c r="AF165" s="217">
        <f t="shared" si="262"/>
        <v>0.0280969607264143</v>
      </c>
      <c r="AH165" s="5">
        <f t="shared" si="263"/>
        <v>1.17594946441467</v>
      </c>
      <c r="AI165" s="5">
        <f t="shared" si="264"/>
        <v>1.5</v>
      </c>
      <c r="AJ165" s="5">
        <f t="shared" si="265"/>
        <v>2.08888888888889</v>
      </c>
      <c r="AL165" s="216">
        <f t="shared" si="266"/>
        <v>275</v>
      </c>
      <c r="AM165" s="220">
        <f t="shared" si="267"/>
        <v>115.561956014212</v>
      </c>
      <c r="AO165" t="str">
        <f t="shared" si="211"/>
        <v/>
      </c>
      <c r="AP165" t="str">
        <f t="shared" si="212"/>
        <v/>
      </c>
      <c r="AR165" s="192">
        <f t="shared" si="249"/>
        <v>8.65336685610461</v>
      </c>
      <c r="AS165" s="192">
        <f t="shared" si="246"/>
        <v>3.75</v>
      </c>
      <c r="AT165" s="192">
        <f t="shared" si="247"/>
        <v>4.90336685610461</v>
      </c>
      <c r="AU165" s="5">
        <f t="shared" si="248"/>
        <v>0.433357335053295</v>
      </c>
      <c r="AW165" s="192">
        <f t="shared" si="216"/>
        <v>5.72916666666667</v>
      </c>
      <c r="AX165" s="192"/>
      <c r="AY165" s="192">
        <f t="shared" si="217"/>
        <v>16.5</v>
      </c>
      <c r="AZ165" s="192"/>
      <c r="BA165" s="192">
        <f t="shared" si="218"/>
        <v>4.49475295142922</v>
      </c>
      <c r="BB165" s="192"/>
      <c r="BC165" s="192"/>
      <c r="BD165" s="5">
        <f t="shared" si="219"/>
        <v>0.570103500506681</v>
      </c>
      <c r="BE165" s="5">
        <f t="shared" si="220"/>
        <v>0.355763120308316</v>
      </c>
      <c r="BF165" s="5">
        <f t="shared" si="221"/>
        <v>0.269384420315761</v>
      </c>
      <c r="BG165" s="5"/>
      <c r="BH165" s="217">
        <f t="shared" si="222"/>
        <v>0.11375630045149</v>
      </c>
      <c r="BI165" s="217">
        <f t="shared" si="223"/>
        <v>0.01930416250435</v>
      </c>
      <c r="BJ165" s="217">
        <f t="shared" si="224"/>
        <v>0.00144452445017765</v>
      </c>
      <c r="BK165" s="217">
        <f t="shared" si="225"/>
        <v>0.00286638500417925</v>
      </c>
      <c r="BL165">
        <f t="shared" si="226"/>
        <v>0.0029</v>
      </c>
      <c r="BM165">
        <f t="shared" si="268"/>
        <v>1.44452445017765e-6</v>
      </c>
      <c r="BN165">
        <f t="shared" si="269"/>
        <v>0.201817518398525</v>
      </c>
      <c r="BO165" s="220">
        <f t="shared" si="229"/>
        <v>140.271372410197</v>
      </c>
      <c r="BP165" s="5">
        <f t="shared" si="230"/>
        <v>0.21175</v>
      </c>
      <c r="BQ165" s="5">
        <f t="shared" si="231"/>
        <v>0.1694</v>
      </c>
      <c r="BR165" s="217"/>
      <c r="BT165" s="220">
        <f t="shared" si="232"/>
        <v>381.15</v>
      </c>
      <c r="BU165" s="217">
        <f t="shared" si="233"/>
        <v>0.0133257380528888</v>
      </c>
      <c r="BV165" s="217">
        <f t="shared" si="234"/>
        <v>0.0126567397771509</v>
      </c>
      <c r="BW165" s="217">
        <f t="shared" si="235"/>
        <v>0.00507975761362012</v>
      </c>
      <c r="BX165" s="217">
        <f t="shared" si="236"/>
        <v>0</v>
      </c>
      <c r="BY165" s="217">
        <f t="shared" ref="BY165:BY210" si="274">(BX165+(BU165+BV165+BW165)*(1+Ltc*(Ta-25)))/(1-(BU165+BV165+BW165)*Ltc*ThetaCa)</f>
        <v>0.0429726710904148</v>
      </c>
      <c r="BZ165" s="217">
        <f t="shared" si="250"/>
        <v>0.0310622354436598</v>
      </c>
      <c r="CA165" s="225">
        <f t="shared" si="270"/>
        <v>0.0104005760412791</v>
      </c>
      <c r="CB165" s="220">
        <f t="shared" si="238"/>
        <v>115.497718019014</v>
      </c>
      <c r="CC165" s="5">
        <f t="shared" si="251"/>
        <v>0.636340765530218</v>
      </c>
      <c r="CD165" s="192">
        <f t="shared" si="239"/>
        <v>3.71939765094645</v>
      </c>
      <c r="CE165" s="5">
        <f t="shared" si="240"/>
        <v>0.853907488309422</v>
      </c>
      <c r="CF165" s="192">
        <f t="shared" si="241"/>
        <v>85.3907488309422</v>
      </c>
      <c r="CG165">
        <f t="shared" si="242"/>
        <v>55</v>
      </c>
      <c r="CI165" s="227">
        <f t="shared" si="271"/>
        <v>-50</v>
      </c>
      <c r="CJ165">
        <f t="shared" si="272"/>
        <v>-50</v>
      </c>
    </row>
    <row r="166" spans="5:88">
      <c r="E166" s="22">
        <v>56</v>
      </c>
      <c r="F166" s="25">
        <f t="shared" si="273"/>
        <v>0.28</v>
      </c>
      <c r="G166" s="25">
        <f t="shared" si="252"/>
        <v>0.224</v>
      </c>
      <c r="H166" s="25">
        <f t="shared" si="253"/>
        <v>5.04</v>
      </c>
      <c r="I166" s="25">
        <f t="shared" si="254"/>
        <v>1.12</v>
      </c>
      <c r="J166" s="212">
        <f t="shared" si="186"/>
        <v>10</v>
      </c>
      <c r="K166" s="131">
        <f t="shared" si="187"/>
        <v>7.51600262942581</v>
      </c>
      <c r="L166" s="131">
        <f t="shared" si="188"/>
        <v>22.2728</v>
      </c>
      <c r="M166" s="131"/>
      <c r="N166" s="25">
        <f t="shared" si="189"/>
        <v>0.551021874214288</v>
      </c>
      <c r="O166" s="27">
        <f t="shared" si="255"/>
        <v>3.04314353259255</v>
      </c>
      <c r="P166" s="27">
        <f t="shared" si="256"/>
        <v>0.676254118353899</v>
      </c>
      <c r="Q166" s="25">
        <f t="shared" si="192"/>
        <v>0.169063529588475</v>
      </c>
      <c r="R166" s="25">
        <f t="shared" si="257"/>
        <v>0.608628706518509</v>
      </c>
      <c r="S166" s="25">
        <f t="shared" si="258"/>
        <v>10.8683697592591</v>
      </c>
      <c r="T166" s="25">
        <f t="shared" si="259"/>
        <v>1.5</v>
      </c>
      <c r="U166" s="25">
        <f t="shared" si="196"/>
        <v>3.75</v>
      </c>
      <c r="V166" s="25">
        <f t="shared" si="197"/>
        <v>4.98935429495251</v>
      </c>
      <c r="W166" s="24">
        <f t="shared" si="198"/>
        <v>350</v>
      </c>
      <c r="X166" s="131">
        <f t="shared" si="199"/>
        <v>114.42492960579</v>
      </c>
      <c r="Z166" s="25">
        <f t="shared" si="200"/>
        <v>0.490392555453386</v>
      </c>
      <c r="AA166" s="5">
        <f t="shared" si="201"/>
        <v>1.63116146850939</v>
      </c>
      <c r="AB166" s="5">
        <f t="shared" si="260"/>
        <v>0.0763931695818965</v>
      </c>
      <c r="AC166" s="5"/>
      <c r="AD166" s="5">
        <f t="shared" si="203"/>
        <v>0.997870858990501</v>
      </c>
      <c r="AE166" s="216">
        <f t="shared" si="261"/>
        <v>3427.81025763141</v>
      </c>
      <c r="AF166" s="217">
        <f t="shared" si="262"/>
        <v>0.0285896804765726</v>
      </c>
      <c r="AH166" s="5">
        <f t="shared" si="263"/>
        <v>1.18659175793531</v>
      </c>
      <c r="AI166" s="5">
        <f t="shared" si="264"/>
        <v>1.5</v>
      </c>
      <c r="AJ166" s="5">
        <f t="shared" si="265"/>
        <v>2.08888888888889</v>
      </c>
      <c r="AL166" s="216">
        <f t="shared" si="266"/>
        <v>280</v>
      </c>
      <c r="AM166" s="220">
        <f t="shared" si="267"/>
        <v>114.42492960579</v>
      </c>
      <c r="AO166" t="str">
        <f t="shared" si="211"/>
        <v/>
      </c>
      <c r="AP166" t="str">
        <f t="shared" si="212"/>
        <v/>
      </c>
      <c r="AR166" s="192">
        <f t="shared" si="249"/>
        <v>8.73935429495251</v>
      </c>
      <c r="AS166" s="192">
        <f t="shared" si="246"/>
        <v>3.75</v>
      </c>
      <c r="AT166" s="192">
        <f t="shared" si="247"/>
        <v>4.98935429495251</v>
      </c>
      <c r="AU166" s="5">
        <f t="shared" si="248"/>
        <v>0.429093486021713</v>
      </c>
      <c r="AW166" s="192">
        <f t="shared" si="216"/>
        <v>5.83333333333333</v>
      </c>
      <c r="AX166" s="192"/>
      <c r="AY166" s="192">
        <f t="shared" si="217"/>
        <v>16.8</v>
      </c>
      <c r="AZ166" s="192"/>
      <c r="BA166" s="192">
        <f t="shared" si="218"/>
        <v>4.65673067528901</v>
      </c>
      <c r="BB166" s="192"/>
      <c r="BC166" s="192"/>
      <c r="BD166" s="5">
        <f t="shared" si="219"/>
        <v>0.567291912965701</v>
      </c>
      <c r="BE166" s="5">
        <f t="shared" si="220"/>
        <v>0.357099127461785</v>
      </c>
      <c r="BF166" s="5">
        <f t="shared" si="221"/>
        <v>0.270396047131557</v>
      </c>
      <c r="BG166" s="5"/>
      <c r="BH166" s="217">
        <f t="shared" si="222"/>
        <v>0.1126370400807</v>
      </c>
      <c r="BI166" s="217">
        <f t="shared" si="223"/>
        <v>0.0191142267909288</v>
      </c>
      <c r="BJ166" s="217">
        <f t="shared" si="224"/>
        <v>0.00143031162007238</v>
      </c>
      <c r="BK166" s="217">
        <f t="shared" si="225"/>
        <v>0.00283818233646</v>
      </c>
      <c r="BL166">
        <f t="shared" si="226"/>
        <v>0.0029</v>
      </c>
      <c r="BM166">
        <f t="shared" si="268"/>
        <v>1.43031162007238e-6</v>
      </c>
      <c r="BN166">
        <f t="shared" si="269"/>
        <v>0.199727956564207</v>
      </c>
      <c r="BO166" s="220">
        <f t="shared" si="229"/>
        <v>138.919760828161</v>
      </c>
      <c r="BP166" s="5">
        <f t="shared" si="230"/>
        <v>0.2156</v>
      </c>
      <c r="BQ166" s="5">
        <f t="shared" si="231"/>
        <v>0.17248</v>
      </c>
      <c r="BR166" s="217"/>
      <c r="BT166" s="220">
        <f t="shared" si="232"/>
        <v>388.08</v>
      </c>
      <c r="BU166" s="217">
        <f t="shared" si="233"/>
        <v>0.0131946246951677</v>
      </c>
      <c r="BV166" s="217">
        <f t="shared" si="234"/>
        <v>0.0127519786833968</v>
      </c>
      <c r="BW166" s="217">
        <f t="shared" si="235"/>
        <v>0.00511798156130599</v>
      </c>
      <c r="BX166" s="217">
        <f t="shared" si="236"/>
        <v>0</v>
      </c>
      <c r="BY166" s="217">
        <f t="shared" si="274"/>
        <v>0.0429759295701815</v>
      </c>
      <c r="BZ166" s="217">
        <f t="shared" si="250"/>
        <v>0.0310645849398705</v>
      </c>
      <c r="CA166" s="225">
        <f t="shared" si="270"/>
        <v>0.0102982436645211</v>
      </c>
      <c r="CB166" s="220">
        <f t="shared" si="238"/>
        <v>115.403343114444</v>
      </c>
      <c r="CC166" s="5">
        <f t="shared" si="251"/>
        <v>0.641082129798909</v>
      </c>
      <c r="CD166" s="192">
        <f t="shared" si="239"/>
        <v>3.71939765094645</v>
      </c>
      <c r="CE166" s="5">
        <f t="shared" si="240"/>
        <v>0.85297899267192</v>
      </c>
      <c r="CF166" s="192">
        <f t="shared" si="241"/>
        <v>85.297899267192</v>
      </c>
      <c r="CG166">
        <f t="shared" si="242"/>
        <v>56</v>
      </c>
      <c r="CI166" s="227">
        <f t="shared" si="271"/>
        <v>-50</v>
      </c>
      <c r="CJ166">
        <f t="shared" si="272"/>
        <v>-50</v>
      </c>
    </row>
    <row r="167" spans="5:88">
      <c r="E167" s="22">
        <v>57</v>
      </c>
      <c r="F167" s="25">
        <f t="shared" si="273"/>
        <v>0.285</v>
      </c>
      <c r="G167" s="25">
        <f t="shared" si="252"/>
        <v>0.228</v>
      </c>
      <c r="H167" s="25">
        <f t="shared" si="253"/>
        <v>5.13</v>
      </c>
      <c r="I167" s="25">
        <f t="shared" si="254"/>
        <v>1.14</v>
      </c>
      <c r="J167" s="212">
        <f t="shared" si="186"/>
        <v>10</v>
      </c>
      <c r="K167" s="131">
        <f t="shared" si="187"/>
        <v>7.38882363592712</v>
      </c>
      <c r="L167" s="131">
        <f t="shared" si="188"/>
        <v>22.2728</v>
      </c>
      <c r="M167" s="131"/>
      <c r="N167" s="25">
        <f t="shared" si="189"/>
        <v>0.551021874214288</v>
      </c>
      <c r="O167" s="27">
        <f t="shared" si="255"/>
        <v>3.04314353259255</v>
      </c>
      <c r="P167" s="27">
        <f t="shared" si="256"/>
        <v>0.676254118353899</v>
      </c>
      <c r="Q167" s="25">
        <f t="shared" si="192"/>
        <v>0.169063529588475</v>
      </c>
      <c r="R167" s="25">
        <f t="shared" si="257"/>
        <v>0.608628706518509</v>
      </c>
      <c r="S167" s="25">
        <f t="shared" si="258"/>
        <v>10.6776966055879</v>
      </c>
      <c r="T167" s="25">
        <f t="shared" si="259"/>
        <v>1.5</v>
      </c>
      <c r="U167" s="25">
        <f t="shared" si="196"/>
        <v>3.75</v>
      </c>
      <c r="V167" s="25">
        <f t="shared" si="197"/>
        <v>5.07523279046227</v>
      </c>
      <c r="W167" s="24">
        <f t="shared" si="198"/>
        <v>350</v>
      </c>
      <c r="X167" s="131">
        <f t="shared" si="199"/>
        <v>113.311458603192</v>
      </c>
      <c r="Z167" s="25">
        <f t="shared" si="200"/>
        <v>0.485620536870824</v>
      </c>
      <c r="AA167" s="5">
        <f t="shared" si="201"/>
        <v>1.6430915149658</v>
      </c>
      <c r="AB167" s="5">
        <f t="shared" si="260"/>
        <v>0.076203076388479</v>
      </c>
      <c r="AC167" s="5"/>
      <c r="AD167" s="5">
        <f t="shared" si="203"/>
        <v>1.01504655809245</v>
      </c>
      <c r="AE167" s="216">
        <f t="shared" si="261"/>
        <v>3429.98309713758</v>
      </c>
      <c r="AF167" s="217">
        <f t="shared" si="262"/>
        <v>0.0290817759665475</v>
      </c>
      <c r="AH167" s="5">
        <f t="shared" si="263"/>
        <v>1.19713944765965</v>
      </c>
      <c r="AI167" s="5">
        <f t="shared" si="264"/>
        <v>1.5</v>
      </c>
      <c r="AJ167" s="5">
        <f t="shared" si="265"/>
        <v>2.08888888888889</v>
      </c>
      <c r="AL167" s="216">
        <f t="shared" si="266"/>
        <v>285</v>
      </c>
      <c r="AM167" s="220">
        <f t="shared" si="267"/>
        <v>113.311458603192</v>
      </c>
      <c r="AO167" t="str">
        <f t="shared" si="211"/>
        <v/>
      </c>
      <c r="AP167" t="str">
        <f t="shared" si="212"/>
        <v/>
      </c>
      <c r="AR167" s="192">
        <f t="shared" si="249"/>
        <v>8.82523279046227</v>
      </c>
      <c r="AS167" s="192">
        <f t="shared" si="246"/>
        <v>3.75</v>
      </c>
      <c r="AT167" s="192">
        <f t="shared" si="247"/>
        <v>5.07523279046227</v>
      </c>
      <c r="AU167" s="5">
        <f t="shared" si="248"/>
        <v>0.424917969761971</v>
      </c>
      <c r="AW167" s="192">
        <f t="shared" si="216"/>
        <v>5.9375</v>
      </c>
      <c r="AX167" s="192"/>
      <c r="AY167" s="192">
        <f t="shared" si="217"/>
        <v>17.1</v>
      </c>
      <c r="AZ167" s="192"/>
      <c r="BA167" s="192">
        <f t="shared" si="218"/>
        <v>4.82147115093916</v>
      </c>
      <c r="BB167" s="192"/>
      <c r="BC167" s="192"/>
      <c r="BD167" s="5">
        <f t="shared" si="219"/>
        <v>0.564525001502571</v>
      </c>
      <c r="BE167" s="5">
        <f t="shared" si="220"/>
        <v>0.358402630518208</v>
      </c>
      <c r="BF167" s="5">
        <f t="shared" si="221"/>
        <v>0.271383061791565</v>
      </c>
      <c r="BG167" s="5"/>
      <c r="BH167" s="217">
        <f t="shared" si="222"/>
        <v>0.111540967062517</v>
      </c>
      <c r="BI167" s="217">
        <f t="shared" si="223"/>
        <v>0.0189282259138288</v>
      </c>
      <c r="BJ167" s="217">
        <f t="shared" si="224"/>
        <v>0.0014163932325399</v>
      </c>
      <c r="BK167" s="217">
        <f t="shared" si="225"/>
        <v>0.00281056393422351</v>
      </c>
      <c r="BL167">
        <f t="shared" si="226"/>
        <v>0.0029</v>
      </c>
      <c r="BM167">
        <f t="shared" si="268"/>
        <v>1.4163932325399e-6</v>
      </c>
      <c r="BN167">
        <f t="shared" si="269"/>
        <v>0.197684404109837</v>
      </c>
      <c r="BO167" s="220">
        <f t="shared" si="229"/>
        <v>137.596150143109</v>
      </c>
      <c r="BP167" s="5">
        <f t="shared" si="230"/>
        <v>0.21945</v>
      </c>
      <c r="BQ167" s="5">
        <f t="shared" si="231"/>
        <v>0.17556</v>
      </c>
      <c r="BR167" s="217"/>
      <c r="BT167" s="220">
        <f t="shared" si="232"/>
        <v>395.01</v>
      </c>
      <c r="BU167" s="217">
        <f t="shared" si="233"/>
        <v>0.0130662275701806</v>
      </c>
      <c r="BV167" s="217">
        <f t="shared" si="234"/>
        <v>0.0128452445562371</v>
      </c>
      <c r="BW167" s="217">
        <f t="shared" si="235"/>
        <v>0.00515541363591551</v>
      </c>
      <c r="BX167" s="217">
        <f t="shared" si="236"/>
        <v>0</v>
      </c>
      <c r="BY167" s="217">
        <f t="shared" si="274"/>
        <v>0.042979120546274</v>
      </c>
      <c r="BZ167" s="217">
        <f t="shared" si="250"/>
        <v>0.0310668857623332</v>
      </c>
      <c r="CA167" s="225">
        <f t="shared" si="270"/>
        <v>0.0101980312742873</v>
      </c>
      <c r="CB167" s="220">
        <f t="shared" si="238"/>
        <v>115.310923345228</v>
      </c>
      <c r="CC167" s="5">
        <f t="shared" si="251"/>
        <v>0.645871555930398</v>
      </c>
      <c r="CD167" s="192">
        <f t="shared" si="239"/>
        <v>3.71939765094645</v>
      </c>
      <c r="CE167" s="5">
        <f t="shared" si="240"/>
        <v>0.852043132892487</v>
      </c>
      <c r="CF167" s="192">
        <f t="shared" si="241"/>
        <v>85.2043132892487</v>
      </c>
      <c r="CG167">
        <f t="shared" si="242"/>
        <v>57</v>
      </c>
      <c r="CI167" s="227">
        <f t="shared" si="271"/>
        <v>-50</v>
      </c>
      <c r="CJ167">
        <f t="shared" si="272"/>
        <v>-50</v>
      </c>
    </row>
    <row r="168" spans="5:88">
      <c r="E168" s="22">
        <v>58</v>
      </c>
      <c r="F168" s="25">
        <f t="shared" si="273"/>
        <v>0.29</v>
      </c>
      <c r="G168" s="25">
        <f t="shared" si="252"/>
        <v>0.232</v>
      </c>
      <c r="H168" s="25">
        <f t="shared" si="253"/>
        <v>5.22</v>
      </c>
      <c r="I168" s="25">
        <f t="shared" si="254"/>
        <v>1.16</v>
      </c>
      <c r="J168" s="212">
        <f t="shared" si="186"/>
        <v>10</v>
      </c>
      <c r="K168" s="131">
        <f t="shared" si="187"/>
        <v>7.26603012496286</v>
      </c>
      <c r="L168" s="131">
        <f t="shared" si="188"/>
        <v>22.2728</v>
      </c>
      <c r="M168" s="131"/>
      <c r="N168" s="25">
        <f t="shared" si="189"/>
        <v>0.551021874214288</v>
      </c>
      <c r="O168" s="27">
        <f t="shared" si="255"/>
        <v>3.04314353259255</v>
      </c>
      <c r="P168" s="27">
        <f t="shared" si="256"/>
        <v>0.676254118353899</v>
      </c>
      <c r="Q168" s="25">
        <f t="shared" si="192"/>
        <v>0.169063529588475</v>
      </c>
      <c r="R168" s="25">
        <f t="shared" si="257"/>
        <v>0.608628706518509</v>
      </c>
      <c r="S168" s="25">
        <f t="shared" si="258"/>
        <v>10.4935983882502</v>
      </c>
      <c r="T168" s="25">
        <f t="shared" si="259"/>
        <v>1.5</v>
      </c>
      <c r="U168" s="25">
        <f t="shared" si="196"/>
        <v>3.75</v>
      </c>
      <c r="V168" s="25">
        <f t="shared" si="197"/>
        <v>5.16100254954444</v>
      </c>
      <c r="W168" s="24">
        <f t="shared" si="198"/>
        <v>350</v>
      </c>
      <c r="X168" s="131">
        <f t="shared" si="199"/>
        <v>112.22081852632</v>
      </c>
      <c r="Z168" s="25">
        <f t="shared" si="200"/>
        <v>0.4809463651128</v>
      </c>
      <c r="AA168" s="5">
        <f t="shared" si="201"/>
        <v>1.65477694436086</v>
      </c>
      <c r="AB168" s="5">
        <f t="shared" si="260"/>
        <v>0.0760063391125549</v>
      </c>
      <c r="AC168" s="5"/>
      <c r="AD168" s="5">
        <f t="shared" si="203"/>
        <v>1.03220050990889</v>
      </c>
      <c r="AE168" s="216">
        <f t="shared" si="261"/>
        <v>3432.15593664376</v>
      </c>
      <c r="AF168" s="217">
        <f t="shared" si="262"/>
        <v>0.0295732483819646</v>
      </c>
      <c r="AH168" s="5">
        <f t="shared" si="263"/>
        <v>1.20759501252933</v>
      </c>
      <c r="AI168" s="5">
        <f t="shared" si="264"/>
        <v>1.5</v>
      </c>
      <c r="AJ168" s="5">
        <f t="shared" si="265"/>
        <v>2.08888888888889</v>
      </c>
      <c r="AL168" s="216">
        <f t="shared" si="266"/>
        <v>290</v>
      </c>
      <c r="AM168" s="220">
        <f t="shared" si="267"/>
        <v>112.22081852632</v>
      </c>
      <c r="AO168" t="str">
        <f t="shared" si="211"/>
        <v/>
      </c>
      <c r="AP168" t="str">
        <f t="shared" si="212"/>
        <v/>
      </c>
      <c r="AR168" s="192">
        <f t="shared" si="249"/>
        <v>8.91100254954444</v>
      </c>
      <c r="AS168" s="192">
        <f t="shared" si="246"/>
        <v>3.75</v>
      </c>
      <c r="AT168" s="192">
        <f t="shared" si="247"/>
        <v>5.16100254954444</v>
      </c>
      <c r="AU168" s="5">
        <f t="shared" si="248"/>
        <v>0.4208280694737</v>
      </c>
      <c r="AW168" s="192">
        <f t="shared" si="216"/>
        <v>6.04166666666667</v>
      </c>
      <c r="AX168" s="192"/>
      <c r="AY168" s="192">
        <f t="shared" si="217"/>
        <v>17.4</v>
      </c>
      <c r="AZ168" s="192"/>
      <c r="BA168" s="192">
        <f t="shared" si="218"/>
        <v>4.98896913122629</v>
      </c>
      <c r="BB168" s="192"/>
      <c r="BC168" s="192"/>
      <c r="BD168" s="5">
        <f t="shared" si="219"/>
        <v>0.561801612764929</v>
      </c>
      <c r="BE168" s="5">
        <f t="shared" si="220"/>
        <v>0.359674826463126</v>
      </c>
      <c r="BF168" s="5">
        <f t="shared" si="221"/>
        <v>0.272346370655206</v>
      </c>
      <c r="BG168" s="5"/>
      <c r="BH168" s="217">
        <f t="shared" si="222"/>
        <v>0.110467368236846</v>
      </c>
      <c r="BI168" s="217">
        <f t="shared" si="223"/>
        <v>0.0187460388515476</v>
      </c>
      <c r="BJ168" s="217">
        <f t="shared" si="224"/>
        <v>0.001402760231579</v>
      </c>
      <c r="BK168" s="217">
        <f t="shared" si="225"/>
        <v>0.00278351182755167</v>
      </c>
      <c r="BL168">
        <f t="shared" si="226"/>
        <v>0.0029</v>
      </c>
      <c r="BM168">
        <f t="shared" si="268"/>
        <v>1.402760231579e-6</v>
      </c>
      <c r="BN168">
        <f t="shared" si="269"/>
        <v>0.195685357984728</v>
      </c>
      <c r="BO168" s="220">
        <f t="shared" si="229"/>
        <v>136.299679147524</v>
      </c>
      <c r="BP168" s="5">
        <f t="shared" si="230"/>
        <v>0.2233</v>
      </c>
      <c r="BQ168" s="5">
        <f t="shared" si="231"/>
        <v>0.17864</v>
      </c>
      <c r="BR168" s="217"/>
      <c r="BT168" s="220">
        <f t="shared" si="232"/>
        <v>401.94</v>
      </c>
      <c r="BU168" s="217">
        <f t="shared" si="233"/>
        <v>0.0129404631363163</v>
      </c>
      <c r="BV168" s="217">
        <f t="shared" si="234"/>
        <v>0.012936598079128</v>
      </c>
      <c r="BW168" s="217">
        <f t="shared" si="235"/>
        <v>0.00519207819263442</v>
      </c>
      <c r="BX168" s="217">
        <f t="shared" si="236"/>
        <v>0</v>
      </c>
      <c r="BY168" s="217">
        <f t="shared" si="274"/>
        <v>0.042982246094828</v>
      </c>
      <c r="BZ168" s="217">
        <f t="shared" si="250"/>
        <v>0.0310691394080787</v>
      </c>
      <c r="CA168" s="225">
        <f t="shared" si="270"/>
        <v>0.0100998736673688</v>
      </c>
      <c r="CB168" s="220">
        <f t="shared" si="238"/>
        <v>115.220398578354</v>
      </c>
      <c r="CC168" s="5">
        <f t="shared" si="251"/>
        <v>0.650707477746925</v>
      </c>
      <c r="CD168" s="192">
        <f t="shared" si="239"/>
        <v>3.71939765094645</v>
      </c>
      <c r="CE168" s="5">
        <f t="shared" si="240"/>
        <v>0.851100269081746</v>
      </c>
      <c r="CF168" s="192">
        <f t="shared" si="241"/>
        <v>85.1100269081746</v>
      </c>
      <c r="CG168">
        <f t="shared" si="242"/>
        <v>58</v>
      </c>
      <c r="CI168" s="227">
        <f t="shared" si="271"/>
        <v>-50</v>
      </c>
      <c r="CJ168">
        <f t="shared" si="272"/>
        <v>-50</v>
      </c>
    </row>
    <row r="169" spans="5:88">
      <c r="E169" s="22">
        <v>59</v>
      </c>
      <c r="F169" s="25">
        <f t="shared" si="273"/>
        <v>0.295</v>
      </c>
      <c r="G169" s="25">
        <f t="shared" si="252"/>
        <v>0.236</v>
      </c>
      <c r="H169" s="25">
        <f t="shared" si="253"/>
        <v>5.31</v>
      </c>
      <c r="I169" s="25">
        <f t="shared" si="254"/>
        <v>1.18</v>
      </c>
      <c r="J169" s="212">
        <f t="shared" si="186"/>
        <v>10</v>
      </c>
      <c r="K169" s="131">
        <f t="shared" si="187"/>
        <v>7.14739910589569</v>
      </c>
      <c r="L169" s="131">
        <f t="shared" si="188"/>
        <v>22.2728</v>
      </c>
      <c r="M169" s="131"/>
      <c r="N169" s="25">
        <f t="shared" si="189"/>
        <v>0.551021874214288</v>
      </c>
      <c r="O169" s="27">
        <f t="shared" si="255"/>
        <v>3.04314353259255</v>
      </c>
      <c r="P169" s="27">
        <f t="shared" si="256"/>
        <v>0.676254118353899</v>
      </c>
      <c r="Q169" s="25">
        <f t="shared" si="192"/>
        <v>0.169063529588475</v>
      </c>
      <c r="R169" s="25">
        <f t="shared" si="257"/>
        <v>0.608628706518509</v>
      </c>
      <c r="S169" s="25">
        <f t="shared" si="258"/>
        <v>10.3157407884493</v>
      </c>
      <c r="T169" s="25">
        <f t="shared" si="259"/>
        <v>1.5</v>
      </c>
      <c r="U169" s="25">
        <f t="shared" si="196"/>
        <v>3.75</v>
      </c>
      <c r="V169" s="25">
        <f t="shared" si="197"/>
        <v>5.24666377858588</v>
      </c>
      <c r="W169" s="24">
        <f t="shared" si="198"/>
        <v>350</v>
      </c>
      <c r="X169" s="131">
        <f t="shared" si="199"/>
        <v>111.152314303468</v>
      </c>
      <c r="Z169" s="25">
        <f t="shared" si="200"/>
        <v>0.476367061300576</v>
      </c>
      <c r="AA169" s="5">
        <f t="shared" si="201"/>
        <v>1.66622520389142</v>
      </c>
      <c r="AB169" s="5">
        <f t="shared" si="260"/>
        <v>0.0758034777097146</v>
      </c>
      <c r="AC169" s="5"/>
      <c r="AD169" s="5">
        <f t="shared" si="203"/>
        <v>1.04933275571718</v>
      </c>
      <c r="AE169" s="216">
        <f t="shared" si="261"/>
        <v>3434.32877614993</v>
      </c>
      <c r="AF169" s="217">
        <f t="shared" si="262"/>
        <v>0.0300640989054487</v>
      </c>
      <c r="AH169" s="5">
        <f t="shared" si="263"/>
        <v>1.2179608250796</v>
      </c>
      <c r="AI169" s="5">
        <f t="shared" si="264"/>
        <v>1.5</v>
      </c>
      <c r="AJ169" s="5">
        <f t="shared" si="265"/>
        <v>2.08888888888889</v>
      </c>
      <c r="AL169" s="216">
        <f t="shared" si="266"/>
        <v>295</v>
      </c>
      <c r="AM169" s="220">
        <f t="shared" si="267"/>
        <v>111.152314303468</v>
      </c>
      <c r="AO169" t="str">
        <f t="shared" si="211"/>
        <v/>
      </c>
      <c r="AP169" t="str">
        <f t="shared" si="212"/>
        <v/>
      </c>
      <c r="AR169" s="192">
        <f t="shared" si="249"/>
        <v>8.99666377858588</v>
      </c>
      <c r="AS169" s="192">
        <f t="shared" si="246"/>
        <v>3.75</v>
      </c>
      <c r="AT169" s="192">
        <f t="shared" si="247"/>
        <v>5.24666377858588</v>
      </c>
      <c r="AU169" s="5">
        <f t="shared" si="248"/>
        <v>0.416821178638004</v>
      </c>
      <c r="AW169" s="192">
        <f t="shared" si="216"/>
        <v>6.14583333333333</v>
      </c>
      <c r="AX169" s="192"/>
      <c r="AY169" s="192">
        <f t="shared" si="217"/>
        <v>17.7</v>
      </c>
      <c r="AZ169" s="192"/>
      <c r="BA169" s="192">
        <f t="shared" si="218"/>
        <v>5.15921938227611</v>
      </c>
      <c r="BB169" s="192"/>
      <c r="BC169" s="192"/>
      <c r="BD169" s="5">
        <f t="shared" si="219"/>
        <v>0.559120634549023</v>
      </c>
      <c r="BE169" s="5">
        <f t="shared" si="220"/>
        <v>0.360916852920971</v>
      </c>
      <c r="BF169" s="5">
        <f t="shared" si="221"/>
        <v>0.273286835133575</v>
      </c>
      <c r="BG169" s="5"/>
      <c r="BH169" s="217">
        <f t="shared" si="222"/>
        <v>0.109415559392476</v>
      </c>
      <c r="BI169" s="217">
        <f t="shared" si="223"/>
        <v>0.018567549495137</v>
      </c>
      <c r="BJ169" s="217">
        <f t="shared" si="224"/>
        <v>0.00138940392879335</v>
      </c>
      <c r="BK169" s="217">
        <f t="shared" si="225"/>
        <v>0.00275700877596859</v>
      </c>
      <c r="BL169">
        <f t="shared" si="226"/>
        <v>0.0029</v>
      </c>
      <c r="BM169">
        <f t="shared" si="268"/>
        <v>1.38940392879335e-6</v>
      </c>
      <c r="BN169">
        <f t="shared" si="269"/>
        <v>0.193729379902533</v>
      </c>
      <c r="BO169" s="220">
        <f t="shared" si="229"/>
        <v>135.029521592375</v>
      </c>
      <c r="BP169" s="5">
        <f t="shared" si="230"/>
        <v>0.22715</v>
      </c>
      <c r="BQ169" s="5">
        <f t="shared" si="231"/>
        <v>0.18172</v>
      </c>
      <c r="BR169" s="217"/>
      <c r="BT169" s="220">
        <f t="shared" si="232"/>
        <v>408.87</v>
      </c>
      <c r="BU169" s="217">
        <f t="shared" si="233"/>
        <v>0.0128172512431186</v>
      </c>
      <c r="BV169" s="217">
        <f t="shared" si="234"/>
        <v>0.0130260974722378</v>
      </c>
      <c r="BW169" s="217">
        <f t="shared" si="235"/>
        <v>0.0052279985980128</v>
      </c>
      <c r="BX169" s="217">
        <f t="shared" si="236"/>
        <v>0</v>
      </c>
      <c r="BY169" s="217">
        <f t="shared" si="274"/>
        <v>0.042985308207705</v>
      </c>
      <c r="BZ169" s="217">
        <f t="shared" si="250"/>
        <v>0.0310713473133692</v>
      </c>
      <c r="CA169" s="225">
        <f t="shared" si="270"/>
        <v>0.0100037082873121</v>
      </c>
      <c r="CB169" s="220">
        <f t="shared" si="238"/>
        <v>115.131711121755</v>
      </c>
      <c r="CC169" s="5">
        <f t="shared" si="251"/>
        <v>0.65558839639755</v>
      </c>
      <c r="CD169" s="192">
        <f t="shared" si="239"/>
        <v>3.71939765094645</v>
      </c>
      <c r="CE169" s="5">
        <f t="shared" si="240"/>
        <v>0.850150745784538</v>
      </c>
      <c r="CF169" s="192">
        <f t="shared" si="241"/>
        <v>85.0150745784538</v>
      </c>
      <c r="CG169">
        <f t="shared" si="242"/>
        <v>59</v>
      </c>
      <c r="CI169" s="227">
        <f t="shared" si="271"/>
        <v>-50</v>
      </c>
      <c r="CJ169">
        <f t="shared" si="272"/>
        <v>-50</v>
      </c>
    </row>
    <row r="170" spans="5:88">
      <c r="E170" s="22">
        <v>60</v>
      </c>
      <c r="F170" s="25">
        <f t="shared" si="273"/>
        <v>0.3</v>
      </c>
      <c r="G170" s="25">
        <f t="shared" si="252"/>
        <v>0.24</v>
      </c>
      <c r="H170" s="25">
        <f t="shared" si="253"/>
        <v>5.4</v>
      </c>
      <c r="I170" s="25">
        <f t="shared" si="254"/>
        <v>1.2</v>
      </c>
      <c r="J170" s="212">
        <f t="shared" si="186"/>
        <v>10</v>
      </c>
      <c r="K170" s="131">
        <f t="shared" si="187"/>
        <v>7.03272245413076</v>
      </c>
      <c r="L170" s="131">
        <f t="shared" si="188"/>
        <v>22.2728</v>
      </c>
      <c r="M170" s="131"/>
      <c r="N170" s="25">
        <f t="shared" si="189"/>
        <v>0.551021874214288</v>
      </c>
      <c r="O170" s="27">
        <f t="shared" si="255"/>
        <v>3.04314353259255</v>
      </c>
      <c r="P170" s="27">
        <f t="shared" si="256"/>
        <v>0.676254118353899</v>
      </c>
      <c r="Q170" s="25">
        <f t="shared" si="192"/>
        <v>0.169063529588475</v>
      </c>
      <c r="R170" s="25">
        <f t="shared" si="257"/>
        <v>0.608628706518509</v>
      </c>
      <c r="S170" s="25">
        <f t="shared" si="258"/>
        <v>10.1438117753085</v>
      </c>
      <c r="T170" s="25">
        <f t="shared" si="259"/>
        <v>1.5</v>
      </c>
      <c r="U170" s="25">
        <f t="shared" si="196"/>
        <v>3.75</v>
      </c>
      <c r="V170" s="25">
        <f t="shared" si="197"/>
        <v>5.3322166834515</v>
      </c>
      <c r="W170" s="24">
        <f t="shared" si="198"/>
        <v>350</v>
      </c>
      <c r="X170" s="131">
        <f t="shared" si="199"/>
        <v>110.105278794116</v>
      </c>
      <c r="Z170" s="25">
        <f t="shared" si="200"/>
        <v>0.471879766260498</v>
      </c>
      <c r="AA170" s="5">
        <f t="shared" si="201"/>
        <v>1.67744344149161</v>
      </c>
      <c r="AB170" s="5">
        <f t="shared" si="260"/>
        <v>0.075594978603691</v>
      </c>
      <c r="AC170" s="5"/>
      <c r="AD170" s="5">
        <f t="shared" si="203"/>
        <v>1.0664433366903</v>
      </c>
      <c r="AE170" s="216">
        <f t="shared" si="261"/>
        <v>3436.5016156561</v>
      </c>
      <c r="AF170" s="217">
        <f t="shared" si="262"/>
        <v>0.0305543287166339</v>
      </c>
      <c r="AH170" s="5">
        <f t="shared" si="263"/>
        <v>1.22823915772598</v>
      </c>
      <c r="AI170" s="5">
        <f t="shared" si="264"/>
        <v>1.5</v>
      </c>
      <c r="AJ170" s="5">
        <f t="shared" si="265"/>
        <v>2.08888888888889</v>
      </c>
      <c r="AL170" s="216">
        <f t="shared" si="266"/>
        <v>300</v>
      </c>
      <c r="AM170" s="220">
        <f t="shared" si="267"/>
        <v>110.105278794116</v>
      </c>
      <c r="AO170" t="str">
        <f t="shared" si="211"/>
        <v/>
      </c>
      <c r="AP170" t="str">
        <f t="shared" si="212"/>
        <v/>
      </c>
      <c r="AR170" s="192">
        <f t="shared" si="249"/>
        <v>9.0822166834515</v>
      </c>
      <c r="AS170" s="192">
        <f t="shared" si="246"/>
        <v>3.75</v>
      </c>
      <c r="AT170" s="192">
        <f t="shared" si="247"/>
        <v>5.3322166834515</v>
      </c>
      <c r="AU170" s="5">
        <f t="shared" si="248"/>
        <v>0.412894795477936</v>
      </c>
      <c r="AW170" s="192">
        <f t="shared" ref="AW170:AW210" si="275">F170*AS170/Vout_ripple*1000</f>
        <v>6.25</v>
      </c>
      <c r="AX170" s="192"/>
      <c r="AY170" s="192">
        <f t="shared" ref="AY170:AY210" si="276">G170*AS170/Vout_ripple2*1000</f>
        <v>18</v>
      </c>
      <c r="AZ170" s="192"/>
      <c r="BA170" s="192">
        <f t="shared" ref="BA170:BA210" si="277">H170/Efficiency/J170*AT170/Vinripple1</f>
        <v>5.3322166834515</v>
      </c>
      <c r="BB170" s="192"/>
      <c r="BC170" s="192"/>
      <c r="BD170" s="5">
        <f t="shared" ref="BD170:BD210" si="278">AI170*SQRT(AU170/3)</f>
        <v>0.556480993932813</v>
      </c>
      <c r="BE170" s="5">
        <f t="shared" ref="BE170:BE210" si="279">AI170*Npri_sec1*SQRT((1-AU170)/3)*(Pout/Pout_total)</f>
        <v>0.36212979187275</v>
      </c>
      <c r="BF170" s="5">
        <f t="shared" ref="BF170:BF210" si="280">AI170*Npri_sec2*SQRT((1-AU170)/3)*(Pout2/Pout_total)</f>
        <v>0.274205274504469</v>
      </c>
      <c r="BG170" s="5"/>
      <c r="BH170" s="217">
        <f t="shared" ref="BH170:BH210" si="281">Rdson*BD170^2</f>
        <v>0.108384883812958</v>
      </c>
      <c r="BI170" s="217">
        <f t="shared" ref="BI170:BI210" si="282">0.5*L170*AI170*AM170*1000*Trise</f>
        <v>0.0183926464014419</v>
      </c>
      <c r="BJ170" s="217">
        <f t="shared" ref="BJ170:BJ210" si="283">Qg*Vdd*AM170*1000</f>
        <v>0.00137631598492645</v>
      </c>
      <c r="BK170" s="217">
        <f t="shared" ref="BK170:BK210" si="284">0.5*(Coss+Csw)*L170^2*AM170*1000</f>
        <v>0.00273103823180024</v>
      </c>
      <c r="BL170">
        <f t="shared" ref="BL170:BL210" si="285">J170*IQ</f>
        <v>0.0029</v>
      </c>
      <c r="BM170">
        <f t="shared" si="268"/>
        <v>1.37631598492645e-6</v>
      </c>
      <c r="BN170">
        <f t="shared" si="269"/>
        <v>0.191815092890167</v>
      </c>
      <c r="BO170" s="220">
        <f t="shared" ref="BO170:BO210" si="286">SUM(BH170:BL170)*1000</f>
        <v>133.784884431127</v>
      </c>
      <c r="BP170" s="5">
        <f t="shared" ref="BP170:BP210" si="287">Vfwd2*F170</f>
        <v>0.231</v>
      </c>
      <c r="BQ170" s="5">
        <f t="shared" ref="BQ170:BQ210" si="288">Vfwd2*G170</f>
        <v>0.1848</v>
      </c>
      <c r="BR170" s="217"/>
      <c r="BT170" s="220">
        <f t="shared" ref="BT170:BT210" si="289">SUM(BP170:BS170)*1000</f>
        <v>415.8</v>
      </c>
      <c r="BU170" s="217">
        <f t="shared" ref="BU170:BU210" si="290">Rdcr_pri*BD170^2</f>
        <v>0.0126965149609465</v>
      </c>
      <c r="BV170" s="217">
        <f t="shared" ref="BV170:BV210" si="291">Rdcr_sec*BE170^2</f>
        <v>0.0131137986161801</v>
      </c>
      <c r="BW170" s="217">
        <f t="shared" ref="BW170:BW210" si="292">Rdcr_sec2*BF170^2</f>
        <v>0.00526319727962499</v>
      </c>
      <c r="BX170" s="217">
        <f t="shared" ref="BX170:BX210" si="293">AI170^2.5*AM170^2.5*k_core</f>
        <v>0</v>
      </c>
      <c r="BY170" s="217">
        <f t="shared" si="274"/>
        <v>0.042988308796726</v>
      </c>
      <c r="BZ170" s="217">
        <f t="shared" si="250"/>
        <v>0.0310735108567517</v>
      </c>
      <c r="CA170" s="225">
        <f t="shared" si="270"/>
        <v>0.00990947509147045</v>
      </c>
      <c r="CB170" s="220">
        <f t="shared" ref="CB170:CB192" si="294">SUM(BU170:CA170)*1000</f>
        <v>115.0448056017</v>
      </c>
      <c r="CC170" s="5">
        <f t="shared" si="251"/>
        <v>0.660512876778363</v>
      </c>
      <c r="CD170" s="192">
        <f t="shared" ref="CD170:CD192" si="295">MIN(H170+I170,O170+P170)</f>
        <v>3.71939765094645</v>
      </c>
      <c r="CE170" s="5">
        <f t="shared" ref="CE170:CE192" si="296">CD170/(CD170+CC170)</f>
        <v>0.849194892772964</v>
      </c>
      <c r="CF170" s="192">
        <f t="shared" ref="CF170:CF192" si="297">CE170*100</f>
        <v>84.9194892772964</v>
      </c>
      <c r="CG170">
        <f t="shared" ref="CG170:CG192" si="298">F170/Iout*100</f>
        <v>60</v>
      </c>
      <c r="CI170" s="227">
        <f t="shared" si="271"/>
        <v>-50</v>
      </c>
      <c r="CJ170">
        <f t="shared" si="272"/>
        <v>-50</v>
      </c>
    </row>
    <row r="171" spans="5:88">
      <c r="E171" s="22">
        <v>61</v>
      </c>
      <c r="F171" s="25">
        <f t="shared" si="273"/>
        <v>0.305</v>
      </c>
      <c r="G171" s="25">
        <f t="shared" si="252"/>
        <v>0.244</v>
      </c>
      <c r="H171" s="25">
        <f t="shared" si="253"/>
        <v>5.49</v>
      </c>
      <c r="I171" s="25">
        <f t="shared" si="254"/>
        <v>1.22</v>
      </c>
      <c r="J171" s="212">
        <f t="shared" si="186"/>
        <v>10</v>
      </c>
      <c r="K171" s="131">
        <f t="shared" si="187"/>
        <v>6.92180569258763</v>
      </c>
      <c r="L171" s="131">
        <f t="shared" si="188"/>
        <v>22.2728</v>
      </c>
      <c r="M171" s="131"/>
      <c r="N171" s="25">
        <f t="shared" si="189"/>
        <v>0.551021874214288</v>
      </c>
      <c r="O171" s="27">
        <f t="shared" si="255"/>
        <v>3.04314353259255</v>
      </c>
      <c r="P171" s="27">
        <f t="shared" si="256"/>
        <v>0.676254118353899</v>
      </c>
      <c r="Q171" s="25">
        <f t="shared" si="192"/>
        <v>0.169063529588475</v>
      </c>
      <c r="R171" s="25">
        <f t="shared" si="257"/>
        <v>0.608628706518509</v>
      </c>
      <c r="S171" s="25">
        <f t="shared" si="258"/>
        <v>9.97751977899195</v>
      </c>
      <c r="T171" s="25">
        <f t="shared" si="259"/>
        <v>1.5</v>
      </c>
      <c r="U171" s="25">
        <f t="shared" si="196"/>
        <v>3.75</v>
      </c>
      <c r="V171" s="25">
        <f t="shared" si="197"/>
        <v>5.41766146948588</v>
      </c>
      <c r="W171" s="24">
        <f t="shared" si="198"/>
        <v>350</v>
      </c>
      <c r="X171" s="131">
        <f t="shared" si="199"/>
        <v>109.079071399882</v>
      </c>
      <c r="Z171" s="25">
        <f t="shared" si="200"/>
        <v>0.467481734570924</v>
      </c>
      <c r="AA171" s="5">
        <f t="shared" si="201"/>
        <v>1.68843852071555</v>
      </c>
      <c r="AB171" s="5">
        <f t="shared" si="260"/>
        <v>0.0753812969761721</v>
      </c>
      <c r="AC171" s="5"/>
      <c r="AD171" s="5">
        <f t="shared" si="203"/>
        <v>1.08353229389718</v>
      </c>
      <c r="AE171" s="216">
        <f t="shared" si="261"/>
        <v>3438.67445516227</v>
      </c>
      <c r="AF171" s="217">
        <f t="shared" si="262"/>
        <v>0.0310439389921726</v>
      </c>
      <c r="AH171" s="5">
        <f t="shared" si="263"/>
        <v>1.23843218858131</v>
      </c>
      <c r="AI171" s="5">
        <f t="shared" si="264"/>
        <v>1.5</v>
      </c>
      <c r="AJ171" s="5">
        <f t="shared" si="265"/>
        <v>2.08888888888889</v>
      </c>
      <c r="AL171" s="216">
        <f t="shared" si="266"/>
        <v>305</v>
      </c>
      <c r="AM171" s="220">
        <f t="shared" si="267"/>
        <v>109.079071399882</v>
      </c>
      <c r="AO171" t="str">
        <f t="shared" si="211"/>
        <v/>
      </c>
      <c r="AP171" t="str">
        <f t="shared" si="212"/>
        <v/>
      </c>
      <c r="AR171" s="192">
        <f t="shared" si="249"/>
        <v>9.16766146948588</v>
      </c>
      <c r="AS171" s="192">
        <f t="shared" si="246"/>
        <v>3.75</v>
      </c>
      <c r="AT171" s="192">
        <f t="shared" si="247"/>
        <v>5.41766146948588</v>
      </c>
      <c r="AU171" s="5">
        <f t="shared" si="248"/>
        <v>0.409046517749559</v>
      </c>
      <c r="AW171" s="192">
        <f t="shared" si="275"/>
        <v>6.35416666666667</v>
      </c>
      <c r="AX171" s="192"/>
      <c r="AY171" s="192">
        <f t="shared" si="276"/>
        <v>18.3</v>
      </c>
      <c r="AZ171" s="192"/>
      <c r="BA171" s="192">
        <f t="shared" si="277"/>
        <v>5.50795582731064</v>
      </c>
      <c r="BB171" s="192"/>
      <c r="BC171" s="192"/>
      <c r="BD171" s="5">
        <f t="shared" si="278"/>
        <v>0.553881655511508</v>
      </c>
      <c r="BE171" s="5">
        <f t="shared" si="279"/>
        <v>0.363314673091558</v>
      </c>
      <c r="BF171" s="5">
        <f t="shared" si="280"/>
        <v>0.275102468513772</v>
      </c>
      <c r="BG171" s="5"/>
      <c r="BH171" s="217">
        <f t="shared" si="281"/>
        <v>0.107374710909259</v>
      </c>
      <c r="BI171" s="217">
        <f t="shared" si="282"/>
        <v>0.0182212225610647</v>
      </c>
      <c r="BJ171" s="217">
        <f t="shared" si="283"/>
        <v>0.00136348839249853</v>
      </c>
      <c r="BK171" s="217">
        <f t="shared" si="284"/>
        <v>0.00270558430572055</v>
      </c>
      <c r="BL171">
        <f t="shared" si="285"/>
        <v>0.0029</v>
      </c>
      <c r="BM171">
        <f t="shared" si="268"/>
        <v>1.36348839249853e-6</v>
      </c>
      <c r="BN171">
        <f t="shared" si="269"/>
        <v>0.189941178055072</v>
      </c>
      <c r="BO171" s="220">
        <f t="shared" si="286"/>
        <v>132.565006168543</v>
      </c>
      <c r="BP171" s="5">
        <f t="shared" si="287"/>
        <v>0.23485</v>
      </c>
      <c r="BQ171" s="5">
        <f t="shared" si="288"/>
        <v>0.18788</v>
      </c>
      <c r="BR171" s="217"/>
      <c r="BT171" s="220">
        <f t="shared" si="289"/>
        <v>422.73</v>
      </c>
      <c r="BU171" s="217">
        <f t="shared" si="290"/>
        <v>0.0125781804207989</v>
      </c>
      <c r="BV171" s="217">
        <f t="shared" si="291"/>
        <v>0.0131997551683626</v>
      </c>
      <c r="BW171" s="217">
        <f t="shared" si="292"/>
        <v>0.00529769577276596</v>
      </c>
      <c r="BX171" s="217">
        <f t="shared" si="293"/>
        <v>0</v>
      </c>
      <c r="BY171" s="217">
        <f t="shared" si="274"/>
        <v>0.0429912496976513</v>
      </c>
      <c r="BZ171" s="217">
        <f t="shared" si="250"/>
        <v>0.0310756313619274</v>
      </c>
      <c r="CA171" s="225">
        <f t="shared" si="270"/>
        <v>0.00981711642598941</v>
      </c>
      <c r="CB171" s="220">
        <f t="shared" si="294"/>
        <v>114.959628847496</v>
      </c>
      <c r="CC171" s="5">
        <f t="shared" si="251"/>
        <v>0.665479544178712</v>
      </c>
      <c r="CD171" s="192">
        <f t="shared" si="295"/>
        <v>3.71939765094645</v>
      </c>
      <c r="CE171" s="5">
        <f t="shared" si="296"/>
        <v>0.848233025791794</v>
      </c>
      <c r="CF171" s="192">
        <f t="shared" si="297"/>
        <v>84.8233025791794</v>
      </c>
      <c r="CG171">
        <f t="shared" si="298"/>
        <v>61</v>
      </c>
      <c r="CI171" s="227">
        <f t="shared" si="271"/>
        <v>-50</v>
      </c>
      <c r="CJ171">
        <f t="shared" si="272"/>
        <v>-50</v>
      </c>
    </row>
    <row r="172" spans="5:88">
      <c r="E172" s="22">
        <v>62</v>
      </c>
      <c r="F172" s="25">
        <f t="shared" si="273"/>
        <v>0.31</v>
      </c>
      <c r="G172" s="25">
        <f t="shared" si="252"/>
        <v>0.248</v>
      </c>
      <c r="H172" s="25">
        <f t="shared" si="253"/>
        <v>5.58</v>
      </c>
      <c r="I172" s="25">
        <f t="shared" si="254"/>
        <v>1.24</v>
      </c>
      <c r="J172" s="212">
        <f t="shared" si="186"/>
        <v>10</v>
      </c>
      <c r="K172" s="131">
        <f t="shared" si="187"/>
        <v>6.81446689109429</v>
      </c>
      <c r="L172" s="131">
        <f t="shared" si="188"/>
        <v>22.2728</v>
      </c>
      <c r="M172" s="131"/>
      <c r="N172" s="25">
        <f t="shared" si="189"/>
        <v>0.551021874214288</v>
      </c>
      <c r="O172" s="27">
        <f t="shared" si="255"/>
        <v>3.04314353259255</v>
      </c>
      <c r="P172" s="27">
        <f t="shared" si="256"/>
        <v>0.676254118353899</v>
      </c>
      <c r="Q172" s="25">
        <f t="shared" si="192"/>
        <v>0.169063529588475</v>
      </c>
      <c r="R172" s="25">
        <f t="shared" si="257"/>
        <v>0.608628706518509</v>
      </c>
      <c r="S172" s="25">
        <f t="shared" si="258"/>
        <v>9.81659204062112</v>
      </c>
      <c r="T172" s="25">
        <f t="shared" si="259"/>
        <v>1.5</v>
      </c>
      <c r="U172" s="25">
        <f t="shared" si="196"/>
        <v>3.75</v>
      </c>
      <c r="V172" s="25">
        <f t="shared" si="197"/>
        <v>5.50299834151489</v>
      </c>
      <c r="W172" s="24">
        <f t="shared" si="198"/>
        <v>350</v>
      </c>
      <c r="X172" s="131">
        <f t="shared" si="199"/>
        <v>108.073076757548</v>
      </c>
      <c r="Z172" s="25">
        <f t="shared" si="200"/>
        <v>0.463170328960919</v>
      </c>
      <c r="AA172" s="5">
        <f t="shared" si="201"/>
        <v>1.69921703474056</v>
      </c>
      <c r="AB172" s="5">
        <f t="shared" si="260"/>
        <v>0.0751628588849022</v>
      </c>
      <c r="AC172" s="5"/>
      <c r="AD172" s="5">
        <f t="shared" si="203"/>
        <v>1.10059966830298</v>
      </c>
      <c r="AE172" s="216">
        <f t="shared" si="261"/>
        <v>3440.84729466845</v>
      </c>
      <c r="AF172" s="217">
        <f t="shared" si="262"/>
        <v>0.0315329309057451</v>
      </c>
      <c r="AH172" s="5">
        <f t="shared" si="263"/>
        <v>1.24854200684524</v>
      </c>
      <c r="AI172" s="5">
        <f t="shared" si="264"/>
        <v>1.5</v>
      </c>
      <c r="AJ172" s="5">
        <f t="shared" si="265"/>
        <v>2.08888888888889</v>
      </c>
      <c r="AL172" s="216">
        <f t="shared" si="266"/>
        <v>310</v>
      </c>
      <c r="AM172" s="220">
        <f t="shared" si="267"/>
        <v>108.073076757548</v>
      </c>
      <c r="AO172" t="str">
        <f t="shared" si="211"/>
        <v/>
      </c>
      <c r="AP172" t="str">
        <f t="shared" si="212"/>
        <v/>
      </c>
      <c r="AR172" s="192">
        <f t="shared" si="249"/>
        <v>9.25299834151489</v>
      </c>
      <c r="AS172" s="192">
        <f t="shared" si="246"/>
        <v>3.75</v>
      </c>
      <c r="AT172" s="192">
        <f t="shared" si="247"/>
        <v>5.50299834151489</v>
      </c>
      <c r="AU172" s="5">
        <f t="shared" si="248"/>
        <v>0.405274037840804</v>
      </c>
      <c r="AW172" s="192">
        <f t="shared" si="275"/>
        <v>6.45833333333333</v>
      </c>
      <c r="AX172" s="192"/>
      <c r="AY172" s="192">
        <f t="shared" si="276"/>
        <v>18.6</v>
      </c>
      <c r="AZ172" s="192"/>
      <c r="BA172" s="192">
        <f t="shared" si="277"/>
        <v>5.68643161956539</v>
      </c>
      <c r="BB172" s="192"/>
      <c r="BC172" s="192"/>
      <c r="BD172" s="5">
        <f t="shared" si="278"/>
        <v>0.551321619728995</v>
      </c>
      <c r="BE172" s="5">
        <f t="shared" si="279"/>
        <v>0.364472477321131</v>
      </c>
      <c r="BF172" s="5">
        <f t="shared" si="280"/>
        <v>0.275979159782255</v>
      </c>
      <c r="BG172" s="5"/>
      <c r="BH172" s="217">
        <f t="shared" si="281"/>
        <v>0.106384434933211</v>
      </c>
      <c r="BI172" s="217">
        <f t="shared" si="282"/>
        <v>0.0180531751800413</v>
      </c>
      <c r="BJ172" s="217">
        <f t="shared" si="283"/>
        <v>0.00135091345946935</v>
      </c>
      <c r="BK172" s="217">
        <f t="shared" si="284"/>
        <v>0.00268063173433349</v>
      </c>
      <c r="BL172">
        <f t="shared" si="285"/>
        <v>0.0029</v>
      </c>
      <c r="BM172">
        <f t="shared" si="268"/>
        <v>1.35091345946935e-6</v>
      </c>
      <c r="BN172">
        <f t="shared" si="269"/>
        <v>0.188106371554889</v>
      </c>
      <c r="BO172" s="220">
        <f t="shared" si="286"/>
        <v>131.369155307055</v>
      </c>
      <c r="BP172" s="5">
        <f t="shared" si="287"/>
        <v>0.2387</v>
      </c>
      <c r="BQ172" s="5">
        <f t="shared" si="288"/>
        <v>0.19096</v>
      </c>
      <c r="BR172" s="217"/>
      <c r="BT172" s="220">
        <f t="shared" si="289"/>
        <v>429.66</v>
      </c>
      <c r="BU172" s="217">
        <f t="shared" si="290"/>
        <v>0.0124621766636047</v>
      </c>
      <c r="BV172" s="217">
        <f t="shared" si="291"/>
        <v>0.0132840186724602</v>
      </c>
      <c r="BW172" s="217">
        <f t="shared" si="292"/>
        <v>0.00533151476438837</v>
      </c>
      <c r="BX172" s="217">
        <f t="shared" si="293"/>
        <v>0</v>
      </c>
      <c r="BY172" s="217">
        <f t="shared" si="274"/>
        <v>0.0429941326739264</v>
      </c>
      <c r="BZ172" s="217">
        <f t="shared" si="250"/>
        <v>0.0310777101004533</v>
      </c>
      <c r="CA172" s="225">
        <f t="shared" si="270"/>
        <v>0.00972657690817929</v>
      </c>
      <c r="CB172" s="220">
        <f t="shared" si="294"/>
        <v>114.876129783012</v>
      </c>
      <c r="CC172" s="5">
        <f t="shared" si="251"/>
        <v>0.670487081136995</v>
      </c>
      <c r="CD172" s="192">
        <f t="shared" si="295"/>
        <v>3.71939765094645</v>
      </c>
      <c r="CE172" s="5">
        <f t="shared" si="296"/>
        <v>0.847265447259527</v>
      </c>
      <c r="CF172" s="192">
        <f t="shared" si="297"/>
        <v>84.7265447259527</v>
      </c>
      <c r="CG172">
        <f t="shared" si="298"/>
        <v>62</v>
      </c>
      <c r="CI172" s="227">
        <f t="shared" si="271"/>
        <v>-50</v>
      </c>
      <c r="CJ172">
        <f t="shared" si="272"/>
        <v>-50</v>
      </c>
    </row>
    <row r="173" spans="5:88">
      <c r="E173" s="22">
        <v>63</v>
      </c>
      <c r="F173" s="25">
        <f t="shared" si="273"/>
        <v>0.315</v>
      </c>
      <c r="G173" s="25">
        <f t="shared" si="252"/>
        <v>0.252</v>
      </c>
      <c r="H173" s="25">
        <f t="shared" si="253"/>
        <v>5.67</v>
      </c>
      <c r="I173" s="25">
        <f t="shared" si="254"/>
        <v>1.26</v>
      </c>
      <c r="J173" s="212">
        <f t="shared" si="186"/>
        <v>10</v>
      </c>
      <c r="K173" s="131">
        <f t="shared" si="187"/>
        <v>6.71053567060073</v>
      </c>
      <c r="L173" s="131">
        <f t="shared" si="188"/>
        <v>22.2728</v>
      </c>
      <c r="M173" s="131"/>
      <c r="N173" s="25">
        <f t="shared" si="189"/>
        <v>0.551021874214288</v>
      </c>
      <c r="O173" s="27">
        <f t="shared" si="255"/>
        <v>3.04314353259255</v>
      </c>
      <c r="P173" s="27">
        <f t="shared" si="256"/>
        <v>0.676254118353899</v>
      </c>
      <c r="Q173" s="25">
        <f t="shared" si="192"/>
        <v>0.169063529588475</v>
      </c>
      <c r="R173" s="25">
        <f t="shared" si="257"/>
        <v>0.608628706518509</v>
      </c>
      <c r="S173" s="25">
        <f t="shared" si="258"/>
        <v>9.66077311934142</v>
      </c>
      <c r="T173" s="25">
        <f t="shared" si="259"/>
        <v>1.5</v>
      </c>
      <c r="U173" s="25">
        <f t="shared" si="196"/>
        <v>3.75</v>
      </c>
      <c r="V173" s="25">
        <f t="shared" si="197"/>
        <v>5.58822750384739</v>
      </c>
      <c r="W173" s="24">
        <f t="shared" si="198"/>
        <v>350</v>
      </c>
      <c r="X173" s="131">
        <f t="shared" si="199"/>
        <v>107.086703508561</v>
      </c>
      <c r="Z173" s="25">
        <f t="shared" si="200"/>
        <v>0.458943015036692</v>
      </c>
      <c r="AA173" s="5">
        <f t="shared" si="201"/>
        <v>1.70978531955113</v>
      </c>
      <c r="AB173" s="5">
        <f t="shared" si="260"/>
        <v>0.0749400632242575</v>
      </c>
      <c r="AC173" s="5"/>
      <c r="AD173" s="5">
        <f t="shared" si="203"/>
        <v>1.11764550076948</v>
      </c>
      <c r="AE173" s="216">
        <f t="shared" si="261"/>
        <v>3443.02013417462</v>
      </c>
      <c r="AF173" s="217">
        <f t="shared" si="262"/>
        <v>0.0320213056280688</v>
      </c>
      <c r="AH173" s="5">
        <f t="shared" si="263"/>
        <v>1.25857061780418</v>
      </c>
      <c r="AI173" s="5">
        <f t="shared" si="264"/>
        <v>1.5</v>
      </c>
      <c r="AJ173" s="5">
        <f t="shared" si="265"/>
        <v>2.08888888888889</v>
      </c>
      <c r="AL173" s="216">
        <f t="shared" si="266"/>
        <v>315</v>
      </c>
      <c r="AM173" s="220">
        <f t="shared" si="267"/>
        <v>107.086703508561</v>
      </c>
      <c r="AO173" t="str">
        <f t="shared" si="211"/>
        <v/>
      </c>
      <c r="AP173" t="str">
        <f t="shared" si="212"/>
        <v/>
      </c>
      <c r="AR173" s="192">
        <f t="shared" si="249"/>
        <v>9.33822750384739</v>
      </c>
      <c r="AS173" s="192">
        <f t="shared" si="246"/>
        <v>3.75</v>
      </c>
      <c r="AT173" s="192">
        <f t="shared" si="247"/>
        <v>5.58822750384739</v>
      </c>
      <c r="AU173" s="5">
        <f t="shared" si="248"/>
        <v>0.401575138157106</v>
      </c>
      <c r="AW173" s="192">
        <f t="shared" si="275"/>
        <v>6.5625</v>
      </c>
      <c r="AX173" s="192"/>
      <c r="AY173" s="192">
        <f t="shared" si="276"/>
        <v>18.9</v>
      </c>
      <c r="AZ173" s="192"/>
      <c r="BA173" s="192">
        <f t="shared" si="277"/>
        <v>5.86763887903976</v>
      </c>
      <c r="BB173" s="192"/>
      <c r="BC173" s="192"/>
      <c r="BD173" s="5">
        <f t="shared" si="278"/>
        <v>0.548799921299037</v>
      </c>
      <c r="BE173" s="5">
        <f t="shared" si="279"/>
        <v>0.36560413922006</v>
      </c>
      <c r="BF173" s="5">
        <f t="shared" si="280"/>
        <v>0.276836056034942</v>
      </c>
      <c r="BG173" s="5"/>
      <c r="BH173" s="217">
        <f t="shared" si="281"/>
        <v>0.10541347376624</v>
      </c>
      <c r="BI173" s="217">
        <f t="shared" si="282"/>
        <v>0.0178884054742912</v>
      </c>
      <c r="BJ173" s="217">
        <f t="shared" si="283"/>
        <v>0.00133858379385702</v>
      </c>
      <c r="BK173" s="217">
        <f t="shared" si="284"/>
        <v>0.00265616584965195</v>
      </c>
      <c r="BL173">
        <f t="shared" si="285"/>
        <v>0.0029</v>
      </c>
      <c r="BM173">
        <f t="shared" si="268"/>
        <v>1.33858379385702e-6</v>
      </c>
      <c r="BN173">
        <f t="shared" si="269"/>
        <v>0.186309461754897</v>
      </c>
      <c r="BO173" s="220">
        <f t="shared" si="286"/>
        <v>130.19662888404</v>
      </c>
      <c r="BP173" s="5">
        <f t="shared" si="287"/>
        <v>0.24255</v>
      </c>
      <c r="BQ173" s="5">
        <f t="shared" si="288"/>
        <v>0.19404</v>
      </c>
      <c r="BR173" s="217"/>
      <c r="BT173" s="220">
        <f t="shared" si="289"/>
        <v>436.59</v>
      </c>
      <c r="BU173" s="217">
        <f t="shared" si="290"/>
        <v>0.012348435498331</v>
      </c>
      <c r="BV173" s="217">
        <f t="shared" si="291"/>
        <v>0.0133666386614841</v>
      </c>
      <c r="BW173" s="217">
        <f t="shared" si="292"/>
        <v>0.00536467413446871</v>
      </c>
      <c r="BX173" s="217">
        <f t="shared" si="293"/>
        <v>0</v>
      </c>
      <c r="BY173" s="217">
        <f t="shared" si="274"/>
        <v>0.0429969594202076</v>
      </c>
      <c r="BZ173" s="217">
        <f t="shared" si="250"/>
        <v>0.0310797482942838</v>
      </c>
      <c r="CA173" s="225">
        <f t="shared" si="270"/>
        <v>0.00963780331577053</v>
      </c>
      <c r="CB173" s="220">
        <f t="shared" si="294"/>
        <v>114.794259324546</v>
      </c>
      <c r="CC173" s="5">
        <f t="shared" si="251"/>
        <v>0.675534224490875</v>
      </c>
      <c r="CD173" s="192">
        <f t="shared" si="295"/>
        <v>3.71939765094645</v>
      </c>
      <c r="CE173" s="5">
        <f t="shared" si="296"/>
        <v>0.846292446928167</v>
      </c>
      <c r="CF173" s="192">
        <f t="shared" si="297"/>
        <v>84.6292446928167</v>
      </c>
      <c r="CG173">
        <f t="shared" si="298"/>
        <v>63</v>
      </c>
      <c r="CI173" s="227">
        <f t="shared" si="271"/>
        <v>-50</v>
      </c>
      <c r="CJ173">
        <f t="shared" si="272"/>
        <v>-50</v>
      </c>
    </row>
    <row r="174" spans="5:88">
      <c r="E174" s="22">
        <v>64</v>
      </c>
      <c r="F174" s="25">
        <f t="shared" si="273"/>
        <v>0.32</v>
      </c>
      <c r="G174" s="25">
        <f t="shared" ref="G174:G210" si="299">IF(PLOT_TYPE=1,E174/100*Iout2,min_I*EXP(Q174*rr/100))</f>
        <v>0.256</v>
      </c>
      <c r="H174" s="25">
        <f t="shared" ref="H174:H210" si="300">F174*Vout</f>
        <v>5.76</v>
      </c>
      <c r="I174" s="25">
        <f t="shared" ref="I174:I210" si="301">Vout2*G174</f>
        <v>1.28</v>
      </c>
      <c r="J174" s="212">
        <f t="shared" ref="J174:J210" si="302">VIN_min</f>
        <v>10</v>
      </c>
      <c r="K174" s="131">
        <f t="shared" ref="K174:K210" si="303">(S174+Vfwd1)*Nps</f>
        <v>6.60985230074759</v>
      </c>
      <c r="L174" s="131">
        <f t="shared" ref="L174:L210" si="304">(Vout+Vfwd1)*Nps+J174</f>
        <v>22.2728</v>
      </c>
      <c r="M174" s="131"/>
      <c r="N174" s="25">
        <f t="shared" ref="N174:N210" si="305">(Vout+Vfwd1)*Nps/((Vout+Vfwd1)*Nps+J174)</f>
        <v>0.551021874214288</v>
      </c>
      <c r="O174" s="27">
        <f t="shared" ref="O174:O205" si="306">N174*J174*Isw_max*0.5*Efficiency*Pout/(Pout+Pout2)</f>
        <v>3.04314353259255</v>
      </c>
      <c r="P174" s="27">
        <f t="shared" ref="P174:P210" si="307">N174*J174*Isw_max*0.5*Efficiency*(Pout2/Pout_total)</f>
        <v>0.676254118353899</v>
      </c>
      <c r="Q174" s="25">
        <f t="shared" ref="Q174:Q210" si="308">O174/Vout</f>
        <v>0.169063529588475</v>
      </c>
      <c r="R174" s="25">
        <f t="shared" ref="R174:R210" si="309">O174/Vout2</f>
        <v>0.608628706518509</v>
      </c>
      <c r="S174" s="25">
        <f t="shared" ref="S174:S210" si="310">MIN(Vout,O174/F174)</f>
        <v>9.50982353935171</v>
      </c>
      <c r="T174" s="25">
        <f t="shared" ref="T174:T210" si="311">MIN(2*(Vout*F174+Vout2*G174)/(Efficiency*J174*N174),Isw_max)</f>
        <v>1.5</v>
      </c>
      <c r="U174" s="25">
        <f t="shared" ref="U174:U210" si="312">L*T174/J174*1000000</f>
        <v>3.75</v>
      </c>
      <c r="V174" s="25">
        <f t="shared" ref="V174:V210" si="313">L*T174/K174*1000000</f>
        <v>5.6733491602768</v>
      </c>
      <c r="W174" s="24">
        <f t="shared" ref="W174:W210" si="314">IF(1/((350000*L)*(1/J174+1/K174))&gt;Isw_min,350,0.001/((Isw_min*L)*(1/J174+1/K174)))</f>
        <v>350</v>
      </c>
      <c r="X174" s="131">
        <f t="shared" ref="X174:X210" si="315">MIN(1/(U174+V174)*1000,350)</f>
        <v>106.11938313985</v>
      </c>
      <c r="Z174" s="25">
        <f t="shared" ref="Z174:Z210" si="316">1/((W174*1000*L)*(1/J174+1/K174))</f>
        <v>0.454797356313644</v>
      </c>
      <c r="AA174" s="5">
        <f t="shared" ref="AA174:AA210" si="317">L*Z174/K174*1000000</f>
        <v>1.72014946635875</v>
      </c>
      <c r="AB174" s="5">
        <f t="shared" ref="AB174:AB205" si="318">0.5*AA174*Z174*Nps*W174/1000*(Pout/(Pout+Pout2))</f>
        <v>0.0747132835411931</v>
      </c>
      <c r="AC174" s="5"/>
      <c r="AD174" s="5">
        <f t="shared" ref="AD174:AD210" si="319">L*Isw_min/K174*1000000</f>
        <v>1.13466983205536</v>
      </c>
      <c r="AE174" s="216">
        <f t="shared" ref="AE174:AE205" si="320">MAX(10,F174/(0.5*AD174/1000000*Isw_min*Nps)/1000*Pout_total/Pout)</f>
        <v>3445.19297368079</v>
      </c>
      <c r="AF174" s="217">
        <f t="shared" ref="AF174:AF210" si="321">0.5*AD174/1000000*Isw_min*Nps*W174*1000*(Pout/Pout_total)</f>
        <v>0.0325090643269079</v>
      </c>
      <c r="AH174" s="5">
        <f t="shared" ref="AH174:AH210" si="322">SQRT((H174+I174)/(0.5*L*Fsw_DCM))</f>
        <v>1.26851994747535</v>
      </c>
      <c r="AI174" s="5">
        <f t="shared" ref="AI174:AI205" si="323">MAX(IF(F174&gt;AB174,T174,AH174),Isw_min)</f>
        <v>1.5</v>
      </c>
      <c r="AJ174" s="5">
        <f t="shared" ref="AJ174:AJ205" si="324">IF(F174&gt;AF174,(AI174-Isw_min)/1.08*0.8+1.2,AE174*0.2/350+1)</f>
        <v>2.08888888888889</v>
      </c>
      <c r="AL174" s="216">
        <f t="shared" ref="AL174:AL210" si="325">F174*1000</f>
        <v>320</v>
      </c>
      <c r="AM174" s="220">
        <f t="shared" ref="AM174:AM210" si="326">IF(F174&gt;AF174,X174,AE174)</f>
        <v>106.11938313985</v>
      </c>
      <c r="AO174" t="str">
        <f t="shared" ref="AO174:AO210" si="327">IF(H174&gt;O174,"",AL174)</f>
        <v/>
      </c>
      <c r="AP174" t="str">
        <f t="shared" ref="AP174:AP210" si="328">IF(H174&gt;O174,"",AM174)</f>
        <v/>
      </c>
      <c r="AR174" s="192">
        <f t="shared" si="249"/>
        <v>9.4233491602768</v>
      </c>
      <c r="AS174" s="192">
        <f t="shared" si="246"/>
        <v>3.75</v>
      </c>
      <c r="AT174" s="192">
        <f t="shared" si="247"/>
        <v>5.6733491602768</v>
      </c>
      <c r="AU174" s="5">
        <f t="shared" si="248"/>
        <v>0.397947686774439</v>
      </c>
      <c r="AW174" s="192">
        <f t="shared" si="275"/>
        <v>6.66666666666667</v>
      </c>
      <c r="AX174" s="192"/>
      <c r="AY174" s="192">
        <f t="shared" si="276"/>
        <v>19.2</v>
      </c>
      <c r="AZ174" s="192"/>
      <c r="BA174" s="192">
        <f t="shared" si="277"/>
        <v>6.05157243762859</v>
      </c>
      <c r="BB174" s="192"/>
      <c r="BC174" s="192"/>
      <c r="BD174" s="5">
        <f t="shared" si="278"/>
        <v>0.546315627710602</v>
      </c>
      <c r="BE174" s="5">
        <f t="shared" si="279"/>
        <v>0.366710550091981</v>
      </c>
      <c r="BF174" s="5">
        <f t="shared" si="280"/>
        <v>0.277673832168414</v>
      </c>
      <c r="BG174" s="5"/>
      <c r="BH174" s="217">
        <f t="shared" si="281"/>
        <v>0.10446126777829</v>
      </c>
      <c r="BI174" s="217">
        <f t="shared" si="282"/>
        <v>0.0177268184759794</v>
      </c>
      <c r="BJ174" s="217">
        <f t="shared" si="283"/>
        <v>0.00132649228924813</v>
      </c>
      <c r="BK174" s="217">
        <f t="shared" si="284"/>
        <v>0.0026321725503453</v>
      </c>
      <c r="BL174">
        <f t="shared" si="285"/>
        <v>0.0029</v>
      </c>
      <c r="BM174">
        <f t="shared" ref="BM174:BM210" si="329">(J174-Vdd)*Qg*AM174</f>
        <v>1.32649228924813e-6</v>
      </c>
      <c r="BN174">
        <f t="shared" ref="BN174:BN205" si="330">(BI174+BJ174+BK174+BL174+BM174+BH174*(1+RdsonTC*(Ta-25)))/(1-BH174*RdsonTC*ThetaJA)</f>
        <v>0.184549286559779</v>
      </c>
      <c r="BO174" s="220">
        <f t="shared" si="286"/>
        <v>129.046751093863</v>
      </c>
      <c r="BP174" s="5">
        <f t="shared" si="287"/>
        <v>0.2464</v>
      </c>
      <c r="BQ174" s="5">
        <f t="shared" si="288"/>
        <v>0.19712</v>
      </c>
      <c r="BR174" s="217"/>
      <c r="BT174" s="220">
        <f t="shared" si="289"/>
        <v>443.52</v>
      </c>
      <c r="BU174" s="217">
        <f t="shared" si="290"/>
        <v>0.012236891368314</v>
      </c>
      <c r="BV174" s="217">
        <f t="shared" si="291"/>
        <v>0.0134476627548763</v>
      </c>
      <c r="BW174" s="217">
        <f t="shared" si="292"/>
        <v>0.00539719299497646</v>
      </c>
      <c r="BX174" s="217">
        <f t="shared" si="293"/>
        <v>0</v>
      </c>
      <c r="BY174" s="217">
        <f t="shared" si="274"/>
        <v>0.0429997315656841</v>
      </c>
      <c r="BZ174" s="217">
        <f t="shared" si="250"/>
        <v>0.0310817471181668</v>
      </c>
      <c r="CA174" s="225">
        <f t="shared" ref="CA174:CA210" si="331">0.5*Lleak*0.000000001*AI174^2*AM174*1000</f>
        <v>0.00955074448258652</v>
      </c>
      <c r="CB174" s="220">
        <f t="shared" si="294"/>
        <v>114.713970284604</v>
      </c>
      <c r="CC174" s="5">
        <f t="shared" si="251"/>
        <v>0.680619762608049</v>
      </c>
      <c r="CD174" s="192">
        <f t="shared" si="295"/>
        <v>3.71939765094645</v>
      </c>
      <c r="CE174" s="5">
        <f t="shared" si="296"/>
        <v>0.845314302504494</v>
      </c>
      <c r="CF174" s="192">
        <f t="shared" si="297"/>
        <v>84.5314302504494</v>
      </c>
      <c r="CG174">
        <f t="shared" si="298"/>
        <v>64</v>
      </c>
      <c r="CI174" s="227">
        <f t="shared" ref="CI174:CI210" si="332">IF(ABS(F174-Ioutmax_Vinmin)&lt;Iout/200,AM174,-50)</f>
        <v>-50</v>
      </c>
      <c r="CJ174">
        <f t="shared" ref="CJ174:CJ210" si="333">IF(ABS(F174-Ioutmax_Vinmin)&lt;Iout/200,(O174+P174)*CE174,-50)</f>
        <v>-50</v>
      </c>
    </row>
    <row r="175" spans="5:88">
      <c r="E175" s="22">
        <v>65</v>
      </c>
      <c r="F175" s="25">
        <f t="shared" ref="F175:F206" si="334">IF(PLOT_TYPE=1,E175/100*Iout_max,min_I*EXP(O175*rr/100))</f>
        <v>0.325</v>
      </c>
      <c r="G175" s="25">
        <f t="shared" si="299"/>
        <v>0.26</v>
      </c>
      <c r="H175" s="25">
        <f t="shared" si="300"/>
        <v>5.85</v>
      </c>
      <c r="I175" s="25">
        <f t="shared" si="301"/>
        <v>1.3</v>
      </c>
      <c r="J175" s="212">
        <f t="shared" si="302"/>
        <v>10</v>
      </c>
      <c r="K175" s="131">
        <f t="shared" si="303"/>
        <v>6.51226688073609</v>
      </c>
      <c r="L175" s="131">
        <f t="shared" si="304"/>
        <v>22.2728</v>
      </c>
      <c r="M175" s="131"/>
      <c r="N175" s="25">
        <f t="shared" si="305"/>
        <v>0.551021874214288</v>
      </c>
      <c r="O175" s="27">
        <f t="shared" si="306"/>
        <v>3.04314353259255</v>
      </c>
      <c r="P175" s="27">
        <f t="shared" si="307"/>
        <v>0.676254118353899</v>
      </c>
      <c r="Q175" s="25">
        <f t="shared" si="308"/>
        <v>0.169063529588475</v>
      </c>
      <c r="R175" s="25">
        <f t="shared" si="309"/>
        <v>0.608628706518509</v>
      </c>
      <c r="S175" s="25">
        <f t="shared" si="310"/>
        <v>9.36351856182322</v>
      </c>
      <c r="T175" s="25">
        <f t="shared" si="311"/>
        <v>1.5</v>
      </c>
      <c r="U175" s="25">
        <f t="shared" si="312"/>
        <v>3.75</v>
      </c>
      <c r="V175" s="25">
        <f t="shared" si="313"/>
        <v>5.75836351408272</v>
      </c>
      <c r="W175" s="24">
        <f t="shared" si="314"/>
        <v>350</v>
      </c>
      <c r="X175" s="131">
        <f t="shared" si="315"/>
        <v>105.170568891157</v>
      </c>
      <c r="Z175" s="25">
        <f t="shared" si="316"/>
        <v>0.45073100953353</v>
      </c>
      <c r="AA175" s="5">
        <f t="shared" si="317"/>
        <v>1.73031533330903</v>
      </c>
      <c r="AB175" s="5">
        <f t="shared" si="318"/>
        <v>0.0744828697183031</v>
      </c>
      <c r="AC175" s="5"/>
      <c r="AD175" s="5">
        <f t="shared" si="319"/>
        <v>1.15167270281654</v>
      </c>
      <c r="AE175" s="216">
        <f t="shared" si="320"/>
        <v>3447.36581318697</v>
      </c>
      <c r="AF175" s="217">
        <f t="shared" si="321"/>
        <v>0.0329962081670823</v>
      </c>
      <c r="AH175" s="5">
        <f t="shared" si="322"/>
        <v>1.27839184692555</v>
      </c>
      <c r="AI175" s="5">
        <f t="shared" si="323"/>
        <v>1.5</v>
      </c>
      <c r="AJ175" s="5">
        <f t="shared" si="324"/>
        <v>2.08888888888889</v>
      </c>
      <c r="AL175" s="216">
        <f t="shared" si="325"/>
        <v>325</v>
      </c>
      <c r="AM175" s="220">
        <f t="shared" si="326"/>
        <v>105.170568891157</v>
      </c>
      <c r="AO175" t="str">
        <f t="shared" si="327"/>
        <v/>
      </c>
      <c r="AP175" t="str">
        <f t="shared" si="328"/>
        <v/>
      </c>
      <c r="AR175" s="192">
        <f t="shared" si="249"/>
        <v>9.50836351408272</v>
      </c>
      <c r="AS175" s="192">
        <f t="shared" si="246"/>
        <v>3.75</v>
      </c>
      <c r="AT175" s="192">
        <f t="shared" si="247"/>
        <v>5.75836351408272</v>
      </c>
      <c r="AU175" s="5">
        <f t="shared" si="248"/>
        <v>0.394389633341839</v>
      </c>
      <c r="AW175" s="192">
        <f t="shared" si="275"/>
        <v>6.77083333333333</v>
      </c>
      <c r="AX175" s="192"/>
      <c r="AY175" s="192">
        <f t="shared" si="276"/>
        <v>19.5</v>
      </c>
      <c r="AZ175" s="192"/>
      <c r="BA175" s="192">
        <f t="shared" si="277"/>
        <v>6.23822714025628</v>
      </c>
      <c r="BB175" s="192"/>
      <c r="BC175" s="192"/>
      <c r="BD175" s="5">
        <f t="shared" si="278"/>
        <v>0.543867837812073</v>
      </c>
      <c r="BE175" s="5">
        <f t="shared" si="279"/>
        <v>0.367792560420044</v>
      </c>
      <c r="BF175" s="5">
        <f t="shared" si="280"/>
        <v>0.278493132169909</v>
      </c>
      <c r="BG175" s="5"/>
      <c r="BH175" s="217">
        <f t="shared" si="281"/>
        <v>0.103527278752233</v>
      </c>
      <c r="BI175" s="217">
        <f t="shared" si="282"/>
        <v>0.0175683228509922</v>
      </c>
      <c r="BJ175" s="217">
        <f t="shared" si="283"/>
        <v>0.00131463211113946</v>
      </c>
      <c r="BK175" s="217">
        <f t="shared" si="284"/>
        <v>0.00260863827463719</v>
      </c>
      <c r="BL175">
        <f t="shared" si="285"/>
        <v>0.0029</v>
      </c>
      <c r="BM175">
        <f t="shared" si="329"/>
        <v>1.31463211113946e-6</v>
      </c>
      <c r="BN175">
        <f t="shared" si="330"/>
        <v>0.182824730907383</v>
      </c>
      <c r="BO175" s="220">
        <f t="shared" si="286"/>
        <v>127.918871989001</v>
      </c>
      <c r="BP175" s="5">
        <f t="shared" si="287"/>
        <v>0.25025</v>
      </c>
      <c r="BQ175" s="5">
        <f t="shared" si="288"/>
        <v>0.2002</v>
      </c>
      <c r="BR175" s="217"/>
      <c r="BT175" s="220">
        <f t="shared" si="289"/>
        <v>450.45</v>
      </c>
      <c r="BU175" s="217">
        <f t="shared" si="290"/>
        <v>0.0121274812252615</v>
      </c>
      <c r="BV175" s="217">
        <f t="shared" si="291"/>
        <v>0.0135271367500331</v>
      </c>
      <c r="BW175" s="217">
        <f t="shared" si="292"/>
        <v>0.00542908972660647</v>
      </c>
      <c r="BX175" s="217">
        <f t="shared" si="293"/>
        <v>0</v>
      </c>
      <c r="BY175" s="217">
        <f t="shared" si="274"/>
        <v>0.0430024506772088</v>
      </c>
      <c r="BZ175" s="217">
        <f t="shared" si="250"/>
        <v>0.0310837077019012</v>
      </c>
      <c r="CA175" s="225">
        <f t="shared" si="331"/>
        <v>0.00946535120020412</v>
      </c>
      <c r="CB175" s="220">
        <f t="shared" si="294"/>
        <v>114.635217281215</v>
      </c>
      <c r="CC175" s="5">
        <f t="shared" si="251"/>
        <v>0.685742532784796</v>
      </c>
      <c r="CD175" s="192">
        <f t="shared" si="295"/>
        <v>3.71939765094645</v>
      </c>
      <c r="CE175" s="5">
        <f t="shared" si="296"/>
        <v>0.844331280235455</v>
      </c>
      <c r="CF175" s="192">
        <f t="shared" si="297"/>
        <v>84.4331280235455</v>
      </c>
      <c r="CG175">
        <f t="shared" si="298"/>
        <v>65</v>
      </c>
      <c r="CI175" s="227">
        <f t="shared" si="332"/>
        <v>-50</v>
      </c>
      <c r="CJ175">
        <f t="shared" si="333"/>
        <v>-50</v>
      </c>
    </row>
    <row r="176" spans="5:88">
      <c r="E176" s="22">
        <v>66</v>
      </c>
      <c r="F176" s="25">
        <f t="shared" si="334"/>
        <v>0.33</v>
      </c>
      <c r="G176" s="25">
        <f t="shared" si="299"/>
        <v>0.264</v>
      </c>
      <c r="H176" s="25">
        <f t="shared" si="300"/>
        <v>5.94</v>
      </c>
      <c r="I176" s="25">
        <f t="shared" si="301"/>
        <v>1.32</v>
      </c>
      <c r="J176" s="212">
        <f t="shared" si="302"/>
        <v>10</v>
      </c>
      <c r="K176" s="131">
        <f t="shared" si="303"/>
        <v>6.41763859466433</v>
      </c>
      <c r="L176" s="131">
        <f t="shared" si="304"/>
        <v>22.2728</v>
      </c>
      <c r="M176" s="131"/>
      <c r="N176" s="25">
        <f t="shared" si="305"/>
        <v>0.551021874214288</v>
      </c>
      <c r="O176" s="27">
        <f t="shared" si="306"/>
        <v>3.04314353259255</v>
      </c>
      <c r="P176" s="27">
        <f t="shared" si="307"/>
        <v>0.676254118353899</v>
      </c>
      <c r="Q176" s="25">
        <f t="shared" si="308"/>
        <v>0.169063529588475</v>
      </c>
      <c r="R176" s="25">
        <f t="shared" si="309"/>
        <v>0.608628706518509</v>
      </c>
      <c r="S176" s="25">
        <f t="shared" si="310"/>
        <v>9.22164706846226</v>
      </c>
      <c r="T176" s="25">
        <f t="shared" si="311"/>
        <v>1.5</v>
      </c>
      <c r="U176" s="25">
        <f t="shared" si="312"/>
        <v>3.75</v>
      </c>
      <c r="V176" s="25">
        <f t="shared" si="313"/>
        <v>5.84327076803262</v>
      </c>
      <c r="W176" s="24">
        <f t="shared" si="314"/>
        <v>350</v>
      </c>
      <c r="X176" s="131">
        <f t="shared" si="315"/>
        <v>104.239734724498</v>
      </c>
      <c r="Z176" s="25">
        <f t="shared" si="316"/>
        <v>0.446741720247848</v>
      </c>
      <c r="AA176" s="5">
        <f t="shared" si="317"/>
        <v>1.74028855652324</v>
      </c>
      <c r="AB176" s="5">
        <f t="shared" si="318"/>
        <v>0.0742491495346907</v>
      </c>
      <c r="AC176" s="5"/>
      <c r="AD176" s="5">
        <f t="shared" si="319"/>
        <v>1.16865415360652</v>
      </c>
      <c r="AE176" s="216">
        <f t="shared" si="320"/>
        <v>3449.53865269314</v>
      </c>
      <c r="AF176" s="217">
        <f t="shared" si="321"/>
        <v>0.0334827383104771</v>
      </c>
      <c r="AH176" s="5">
        <f t="shared" si="322"/>
        <v>1.28818809629206</v>
      </c>
      <c r="AI176" s="5">
        <f t="shared" si="323"/>
        <v>1.5</v>
      </c>
      <c r="AJ176" s="5">
        <f t="shared" si="324"/>
        <v>2.08888888888889</v>
      </c>
      <c r="AL176" s="216">
        <f t="shared" si="325"/>
        <v>330</v>
      </c>
      <c r="AM176" s="220">
        <f t="shared" si="326"/>
        <v>104.239734724498</v>
      </c>
      <c r="AO176" t="str">
        <f t="shared" si="327"/>
        <v/>
      </c>
      <c r="AP176" t="str">
        <f t="shared" si="328"/>
        <v/>
      </c>
      <c r="AR176" s="192">
        <f t="shared" si="249"/>
        <v>9.59327076803262</v>
      </c>
      <c r="AS176" s="192">
        <f t="shared" si="246"/>
        <v>3.75</v>
      </c>
      <c r="AT176" s="192">
        <f t="shared" si="247"/>
        <v>5.84327076803262</v>
      </c>
      <c r="AU176" s="5">
        <f t="shared" si="248"/>
        <v>0.390899005216867</v>
      </c>
      <c r="AW176" s="192">
        <f t="shared" si="275"/>
        <v>6.875</v>
      </c>
      <c r="AX176" s="192"/>
      <c r="AY176" s="192">
        <f t="shared" si="276"/>
        <v>19.8</v>
      </c>
      <c r="AZ176" s="192"/>
      <c r="BA176" s="192">
        <f t="shared" si="277"/>
        <v>6.42759784483588</v>
      </c>
      <c r="BB176" s="192"/>
      <c r="BC176" s="192"/>
      <c r="BD176" s="5">
        <f t="shared" si="278"/>
        <v>0.541455680469464</v>
      </c>
      <c r="BE176" s="5">
        <f t="shared" si="279"/>
        <v>0.368850982222148</v>
      </c>
      <c r="BF176" s="5">
        <f t="shared" si="280"/>
        <v>0.279294570900721</v>
      </c>
      <c r="BG176" s="5"/>
      <c r="BH176" s="217">
        <f t="shared" si="281"/>
        <v>0.102610988869428</v>
      </c>
      <c r="BI176" s="217">
        <f t="shared" si="282"/>
        <v>0.0174128307267885</v>
      </c>
      <c r="BJ176" s="217">
        <f t="shared" si="283"/>
        <v>0.00130299668405622</v>
      </c>
      <c r="BK176" s="217">
        <f t="shared" si="284"/>
        <v>0.00258554997474409</v>
      </c>
      <c r="BL176">
        <f t="shared" si="285"/>
        <v>0.0029</v>
      </c>
      <c r="BM176">
        <f t="shared" si="329"/>
        <v>1.30299668405622e-6</v>
      </c>
      <c r="BN176">
        <f t="shared" si="330"/>
        <v>0.181134724413104</v>
      </c>
      <c r="BO176" s="220">
        <f t="shared" si="286"/>
        <v>126.812366255016</v>
      </c>
      <c r="BP176" s="5">
        <f t="shared" si="287"/>
        <v>0.2541</v>
      </c>
      <c r="BQ176" s="5">
        <f t="shared" si="288"/>
        <v>0.20328</v>
      </c>
      <c r="BR176" s="217"/>
      <c r="BT176" s="220">
        <f t="shared" si="289"/>
        <v>457.38</v>
      </c>
      <c r="BU176" s="217">
        <f t="shared" si="290"/>
        <v>0.0120201444104187</v>
      </c>
      <c r="BV176" s="217">
        <f t="shared" si="291"/>
        <v>0.0136051047086243</v>
      </c>
      <c r="BW176" s="217">
        <f t="shared" si="292"/>
        <v>0.00546038201342325</v>
      </c>
      <c r="BX176" s="217">
        <f t="shared" si="293"/>
        <v>0</v>
      </c>
      <c r="BY176" s="217">
        <f t="shared" si="274"/>
        <v>0.0430051182622521</v>
      </c>
      <c r="BZ176" s="217">
        <f t="shared" si="250"/>
        <v>0.0310856311324663</v>
      </c>
      <c r="CA176" s="225">
        <f t="shared" si="331"/>
        <v>0.00938157612520481</v>
      </c>
      <c r="CB176" s="220">
        <f t="shared" si="294"/>
        <v>114.557956652389</v>
      </c>
      <c r="CC176" s="5">
        <f t="shared" si="251"/>
        <v>0.690901418800561</v>
      </c>
      <c r="CD176" s="192">
        <f t="shared" si="295"/>
        <v>3.71939765094645</v>
      </c>
      <c r="CE176" s="5">
        <f t="shared" si="296"/>
        <v>0.843343635460034</v>
      </c>
      <c r="CF176" s="192">
        <f t="shared" si="297"/>
        <v>84.3343635460034</v>
      </c>
      <c r="CG176">
        <f t="shared" si="298"/>
        <v>66</v>
      </c>
      <c r="CI176" s="227">
        <f t="shared" si="332"/>
        <v>-50</v>
      </c>
      <c r="CJ176">
        <f t="shared" si="333"/>
        <v>-50</v>
      </c>
    </row>
    <row r="177" spans="5:88">
      <c r="E177" s="22">
        <v>67</v>
      </c>
      <c r="F177" s="25">
        <f t="shared" si="334"/>
        <v>0.335</v>
      </c>
      <c r="G177" s="25">
        <f t="shared" si="299"/>
        <v>0.268</v>
      </c>
      <c r="H177" s="25">
        <f t="shared" si="300"/>
        <v>6.03</v>
      </c>
      <c r="I177" s="25">
        <f t="shared" si="301"/>
        <v>1.34</v>
      </c>
      <c r="J177" s="212">
        <f t="shared" si="302"/>
        <v>10</v>
      </c>
      <c r="K177" s="131">
        <f t="shared" si="303"/>
        <v>6.32583503354993</v>
      </c>
      <c r="L177" s="131">
        <f t="shared" si="304"/>
        <v>22.2728</v>
      </c>
      <c r="M177" s="131"/>
      <c r="N177" s="25">
        <f t="shared" si="305"/>
        <v>0.551021874214288</v>
      </c>
      <c r="O177" s="27">
        <f t="shared" si="306"/>
        <v>3.04314353259255</v>
      </c>
      <c r="P177" s="27">
        <f t="shared" si="307"/>
        <v>0.676254118353899</v>
      </c>
      <c r="Q177" s="25">
        <f t="shared" si="308"/>
        <v>0.169063529588475</v>
      </c>
      <c r="R177" s="25">
        <f t="shared" si="309"/>
        <v>0.608628706518509</v>
      </c>
      <c r="S177" s="25">
        <f t="shared" si="310"/>
        <v>9.08401054505238</v>
      </c>
      <c r="T177" s="25">
        <f t="shared" si="311"/>
        <v>1.5</v>
      </c>
      <c r="U177" s="25">
        <f t="shared" si="312"/>
        <v>3.75</v>
      </c>
      <c r="V177" s="25">
        <f t="shared" si="313"/>
        <v>5.92807112438336</v>
      </c>
      <c r="W177" s="24">
        <f t="shared" si="314"/>
        <v>350</v>
      </c>
      <c r="X177" s="131">
        <f t="shared" si="315"/>
        <v>103.326374351657</v>
      </c>
      <c r="Z177" s="25">
        <f t="shared" si="316"/>
        <v>0.44282731864996</v>
      </c>
      <c r="AA177" s="5">
        <f t="shared" si="317"/>
        <v>1.75007456051796</v>
      </c>
      <c r="AB177" s="5">
        <f t="shared" si="318"/>
        <v>0.0740124301144019</v>
      </c>
      <c r="AC177" s="5"/>
      <c r="AD177" s="5">
        <f t="shared" si="319"/>
        <v>1.18561422487667</v>
      </c>
      <c r="AE177" s="216">
        <f t="shared" si="320"/>
        <v>3451.71149219931</v>
      </c>
      <c r="AF177" s="217">
        <f t="shared" si="321"/>
        <v>0.0339686559160518</v>
      </c>
      <c r="AH177" s="5">
        <f t="shared" si="322"/>
        <v>1.29791040853035</v>
      </c>
      <c r="AI177" s="5">
        <f t="shared" si="323"/>
        <v>1.5</v>
      </c>
      <c r="AJ177" s="5">
        <f t="shared" si="324"/>
        <v>2.08888888888889</v>
      </c>
      <c r="AL177" s="216">
        <f t="shared" si="325"/>
        <v>335</v>
      </c>
      <c r="AM177" s="220">
        <f t="shared" si="326"/>
        <v>103.326374351657</v>
      </c>
      <c r="AO177" t="str">
        <f t="shared" si="327"/>
        <v/>
      </c>
      <c r="AP177" t="str">
        <f t="shared" si="328"/>
        <v/>
      </c>
      <c r="AR177" s="192">
        <f t="shared" si="249"/>
        <v>9.67807112438337</v>
      </c>
      <c r="AS177" s="192">
        <f t="shared" si="246"/>
        <v>3.75</v>
      </c>
      <c r="AT177" s="192">
        <f t="shared" si="247"/>
        <v>5.92807112438337</v>
      </c>
      <c r="AU177" s="5">
        <f t="shared" si="248"/>
        <v>0.387473903818715</v>
      </c>
      <c r="AW177" s="192">
        <f t="shared" si="275"/>
        <v>6.97916666666667</v>
      </c>
      <c r="AX177" s="192"/>
      <c r="AY177" s="192">
        <f t="shared" si="276"/>
        <v>20.1</v>
      </c>
      <c r="AZ177" s="192"/>
      <c r="BA177" s="192">
        <f t="shared" si="277"/>
        <v>6.61967942222809</v>
      </c>
      <c r="BB177" s="192"/>
      <c r="BC177" s="192"/>
      <c r="BD177" s="5">
        <f t="shared" si="278"/>
        <v>0.539078313294122</v>
      </c>
      <c r="BE177" s="5">
        <f t="shared" si="279"/>
        <v>0.369886591241854</v>
      </c>
      <c r="BF177" s="5">
        <f t="shared" si="280"/>
        <v>0.280078735755149</v>
      </c>
      <c r="BG177" s="5"/>
      <c r="BH177" s="217">
        <f t="shared" si="281"/>
        <v>0.101711899752413</v>
      </c>
      <c r="BI177" s="217">
        <f t="shared" si="282"/>
        <v>0.0172602575299469</v>
      </c>
      <c r="BJ177" s="217">
        <f t="shared" si="283"/>
        <v>0.00129157967939572</v>
      </c>
      <c r="BK177" s="217">
        <f t="shared" si="284"/>
        <v>0.00256289509275335</v>
      </c>
      <c r="BL177">
        <f t="shared" si="285"/>
        <v>0.0029</v>
      </c>
      <c r="BM177">
        <f t="shared" si="329"/>
        <v>1.29157967939572e-6</v>
      </c>
      <c r="BN177">
        <f t="shared" si="330"/>
        <v>0.179478239154441</v>
      </c>
      <c r="BO177" s="220">
        <f t="shared" si="286"/>
        <v>125.726632054509</v>
      </c>
      <c r="BP177" s="5">
        <f t="shared" si="287"/>
        <v>0.25795</v>
      </c>
      <c r="BQ177" s="5">
        <f t="shared" si="288"/>
        <v>0.20636</v>
      </c>
      <c r="BR177" s="217"/>
      <c r="BT177" s="220">
        <f t="shared" si="289"/>
        <v>464.31</v>
      </c>
      <c r="BU177" s="217">
        <f t="shared" si="290"/>
        <v>0.0119148225424255</v>
      </c>
      <c r="BV177" s="217">
        <f t="shared" si="291"/>
        <v>0.0136816090380519</v>
      </c>
      <c r="BW177" s="217">
        <f t="shared" si="292"/>
        <v>0.00549108687555417</v>
      </c>
      <c r="BX177" s="217">
        <f t="shared" si="293"/>
        <v>0</v>
      </c>
      <c r="BY177" s="217">
        <f t="shared" si="274"/>
        <v>0.0430077357716879</v>
      </c>
      <c r="BZ177" s="217">
        <f t="shared" si="250"/>
        <v>0.0310875184560315</v>
      </c>
      <c r="CA177" s="225">
        <f t="shared" si="331"/>
        <v>0.00929937369164915</v>
      </c>
      <c r="CB177" s="220">
        <f t="shared" si="294"/>
        <v>114.4821463754</v>
      </c>
      <c r="CC177" s="5">
        <f t="shared" si="251"/>
        <v>0.696095348617778</v>
      </c>
      <c r="CD177" s="192">
        <f t="shared" si="295"/>
        <v>3.71939765094645</v>
      </c>
      <c r="CE177" s="5">
        <f t="shared" si="296"/>
        <v>0.842351613129842</v>
      </c>
      <c r="CF177" s="192">
        <f t="shared" si="297"/>
        <v>84.2351613129842</v>
      </c>
      <c r="CG177">
        <f t="shared" si="298"/>
        <v>67</v>
      </c>
      <c r="CI177" s="227">
        <f t="shared" si="332"/>
        <v>-50</v>
      </c>
      <c r="CJ177">
        <f t="shared" si="333"/>
        <v>-50</v>
      </c>
    </row>
    <row r="178" spans="5:88">
      <c r="E178" s="22">
        <v>68</v>
      </c>
      <c r="F178" s="25">
        <f t="shared" si="334"/>
        <v>0.34</v>
      </c>
      <c r="G178" s="25">
        <f t="shared" si="299"/>
        <v>0.272</v>
      </c>
      <c r="H178" s="25">
        <f t="shared" si="300"/>
        <v>6.12</v>
      </c>
      <c r="I178" s="25">
        <f t="shared" si="301"/>
        <v>1.36</v>
      </c>
      <c r="J178" s="212">
        <f t="shared" si="302"/>
        <v>10</v>
      </c>
      <c r="K178" s="131">
        <f t="shared" si="303"/>
        <v>6.2367315771742</v>
      </c>
      <c r="L178" s="131">
        <f t="shared" si="304"/>
        <v>22.2728</v>
      </c>
      <c r="M178" s="131"/>
      <c r="N178" s="25">
        <f t="shared" si="305"/>
        <v>0.551021874214288</v>
      </c>
      <c r="O178" s="27">
        <f t="shared" si="306"/>
        <v>3.04314353259255</v>
      </c>
      <c r="P178" s="27">
        <f t="shared" si="307"/>
        <v>0.676254118353899</v>
      </c>
      <c r="Q178" s="25">
        <f t="shared" si="308"/>
        <v>0.169063529588475</v>
      </c>
      <c r="R178" s="25">
        <f t="shared" si="309"/>
        <v>0.608628706518509</v>
      </c>
      <c r="S178" s="25">
        <f t="shared" si="310"/>
        <v>8.95042215468396</v>
      </c>
      <c r="T178" s="25">
        <f t="shared" si="311"/>
        <v>1.5</v>
      </c>
      <c r="U178" s="25">
        <f t="shared" si="312"/>
        <v>3.75</v>
      </c>
      <c r="V178" s="25">
        <f t="shared" si="313"/>
        <v>6.01276478488287</v>
      </c>
      <c r="W178" s="24">
        <f t="shared" si="314"/>
        <v>350</v>
      </c>
      <c r="X178" s="131">
        <f t="shared" si="315"/>
        <v>102.43000031594</v>
      </c>
      <c r="Z178" s="25">
        <f t="shared" si="316"/>
        <v>0.438985715639743</v>
      </c>
      <c r="AA178" s="5">
        <f t="shared" si="317"/>
        <v>1.7596785680435</v>
      </c>
      <c r="AB178" s="5">
        <f t="shared" si="318"/>
        <v>0.0737729992713227</v>
      </c>
      <c r="AC178" s="5"/>
      <c r="AD178" s="5">
        <f t="shared" si="319"/>
        <v>1.20255295697657</v>
      </c>
      <c r="AE178" s="216">
        <f t="shared" si="320"/>
        <v>3453.88433170548</v>
      </c>
      <c r="AF178" s="217">
        <f t="shared" si="321"/>
        <v>0.0344539621398495</v>
      </c>
      <c r="AH178" s="5">
        <f t="shared" si="322"/>
        <v>1.30756043291096</v>
      </c>
      <c r="AI178" s="5">
        <f t="shared" si="323"/>
        <v>1.5</v>
      </c>
      <c r="AJ178" s="5">
        <f t="shared" si="324"/>
        <v>2.08888888888889</v>
      </c>
      <c r="AL178" s="216">
        <f t="shared" si="325"/>
        <v>340</v>
      </c>
      <c r="AM178" s="220">
        <f t="shared" si="326"/>
        <v>102.43000031594</v>
      </c>
      <c r="AO178" t="str">
        <f t="shared" si="327"/>
        <v/>
      </c>
      <c r="AP178" t="str">
        <f t="shared" si="328"/>
        <v/>
      </c>
      <c r="AR178" s="192">
        <f t="shared" si="249"/>
        <v>9.76276478488287</v>
      </c>
      <c r="AS178" s="192">
        <f t="shared" si="246"/>
        <v>3.75</v>
      </c>
      <c r="AT178" s="192">
        <f t="shared" si="247"/>
        <v>6.01276478488287</v>
      </c>
      <c r="AU178" s="5">
        <f t="shared" si="248"/>
        <v>0.384112501184775</v>
      </c>
      <c r="AW178" s="192">
        <f t="shared" si="275"/>
        <v>7.08333333333333</v>
      </c>
      <c r="AX178" s="192"/>
      <c r="AY178" s="192">
        <f t="shared" si="276"/>
        <v>20.4</v>
      </c>
      <c r="AZ178" s="192"/>
      <c r="BA178" s="192">
        <f t="shared" si="277"/>
        <v>6.81446675620058</v>
      </c>
      <c r="BB178" s="192"/>
      <c r="BC178" s="192"/>
      <c r="BD178" s="5">
        <f t="shared" si="278"/>
        <v>0.536734921435695</v>
      </c>
      <c r="BE178" s="5">
        <f t="shared" si="279"/>
        <v>0.37090012898843</v>
      </c>
      <c r="BF178" s="5">
        <f t="shared" si="280"/>
        <v>0.280846188205231</v>
      </c>
      <c r="BG178" s="5"/>
      <c r="BH178" s="217">
        <f t="shared" si="281"/>
        <v>0.100829531561003</v>
      </c>
      <c r="BI178" s="217">
        <f t="shared" si="282"/>
        <v>0.0171105218327765</v>
      </c>
      <c r="BJ178" s="217">
        <f t="shared" si="283"/>
        <v>0.00128037500394925</v>
      </c>
      <c r="BK178" s="217">
        <f t="shared" si="284"/>
        <v>0.0025406615378471</v>
      </c>
      <c r="BL178">
        <f t="shared" si="285"/>
        <v>0.0029</v>
      </c>
      <c r="BM178">
        <f t="shared" si="329"/>
        <v>1.28037500394925e-6</v>
      </c>
      <c r="BN178">
        <f t="shared" si="330"/>
        <v>0.177854287586083</v>
      </c>
      <c r="BO178" s="220">
        <f t="shared" si="286"/>
        <v>124.661089935576</v>
      </c>
      <c r="BP178" s="5">
        <f t="shared" si="287"/>
        <v>0.2618</v>
      </c>
      <c r="BQ178" s="5">
        <f t="shared" si="288"/>
        <v>0.20944</v>
      </c>
      <c r="BR178" s="217"/>
      <c r="BT178" s="220">
        <f t="shared" si="289"/>
        <v>471.24</v>
      </c>
      <c r="BU178" s="217">
        <f t="shared" si="290"/>
        <v>0.0118114594114318</v>
      </c>
      <c r="BV178" s="217">
        <f t="shared" si="291"/>
        <v>0.0137566905683634</v>
      </c>
      <c r="BW178" s="217">
        <f t="shared" si="292"/>
        <v>0.00552122070005855</v>
      </c>
      <c r="BX178" s="217">
        <f t="shared" si="293"/>
        <v>0</v>
      </c>
      <c r="BY178" s="217">
        <f t="shared" si="274"/>
        <v>0.0430103046024253</v>
      </c>
      <c r="BZ178" s="217">
        <f t="shared" si="250"/>
        <v>0.0310893706798538</v>
      </c>
      <c r="CA178" s="225">
        <f t="shared" si="331"/>
        <v>0.0092187000284346</v>
      </c>
      <c r="CB178" s="220">
        <f t="shared" si="294"/>
        <v>114.407745990567</v>
      </c>
      <c r="CC178" s="5">
        <f t="shared" si="251"/>
        <v>0.701323292216943</v>
      </c>
      <c r="CD178" s="192">
        <f t="shared" si="295"/>
        <v>3.71939765094645</v>
      </c>
      <c r="CE178" s="5">
        <f t="shared" si="296"/>
        <v>0.841355448300456</v>
      </c>
      <c r="CF178" s="192">
        <f t="shared" si="297"/>
        <v>84.1355448300456</v>
      </c>
      <c r="CG178">
        <f t="shared" si="298"/>
        <v>68</v>
      </c>
      <c r="CI178" s="227">
        <f t="shared" si="332"/>
        <v>-50</v>
      </c>
      <c r="CJ178">
        <f t="shared" si="333"/>
        <v>-50</v>
      </c>
    </row>
    <row r="179" spans="5:88">
      <c r="E179" s="22">
        <v>69</v>
      </c>
      <c r="F179" s="25">
        <f t="shared" si="334"/>
        <v>0.345</v>
      </c>
      <c r="G179" s="25">
        <f t="shared" si="299"/>
        <v>0.276</v>
      </c>
      <c r="H179" s="25">
        <f t="shared" si="300"/>
        <v>6.21</v>
      </c>
      <c r="I179" s="25">
        <f t="shared" si="301"/>
        <v>1.38</v>
      </c>
      <c r="J179" s="212">
        <f t="shared" si="302"/>
        <v>10</v>
      </c>
      <c r="K179" s="131">
        <f t="shared" si="303"/>
        <v>6.15021082967892</v>
      </c>
      <c r="L179" s="131">
        <f t="shared" si="304"/>
        <v>22.2728</v>
      </c>
      <c r="M179" s="131"/>
      <c r="N179" s="25">
        <f t="shared" si="305"/>
        <v>0.551021874214288</v>
      </c>
      <c r="O179" s="27">
        <f t="shared" si="306"/>
        <v>3.04314353259255</v>
      </c>
      <c r="P179" s="27">
        <f t="shared" si="307"/>
        <v>0.676254118353899</v>
      </c>
      <c r="Q179" s="25">
        <f t="shared" si="308"/>
        <v>0.169063529588475</v>
      </c>
      <c r="R179" s="25">
        <f t="shared" si="309"/>
        <v>0.608628706518509</v>
      </c>
      <c r="S179" s="25">
        <f t="shared" si="310"/>
        <v>8.8207058915726</v>
      </c>
      <c r="T179" s="25">
        <f t="shared" si="311"/>
        <v>1.5</v>
      </c>
      <c r="U179" s="25">
        <f t="shared" si="312"/>
        <v>3.75</v>
      </c>
      <c r="V179" s="25">
        <f t="shared" si="313"/>
        <v>6.0973519507717</v>
      </c>
      <c r="W179" s="24">
        <f t="shared" si="314"/>
        <v>350</v>
      </c>
      <c r="X179" s="131">
        <f t="shared" si="315"/>
        <v>101.550143124684</v>
      </c>
      <c r="Z179" s="25">
        <f t="shared" si="316"/>
        <v>0.435214899105788</v>
      </c>
      <c r="AA179" s="5">
        <f t="shared" si="317"/>
        <v>1.76910560937839</v>
      </c>
      <c r="AB179" s="5">
        <f t="shared" si="318"/>
        <v>0.0735311267586711</v>
      </c>
      <c r="AC179" s="5"/>
      <c r="AD179" s="5">
        <f t="shared" si="319"/>
        <v>1.21947039015434</v>
      </c>
      <c r="AE179" s="216">
        <f t="shared" si="320"/>
        <v>3456.05717121165</v>
      </c>
      <c r="AF179" s="217">
        <f t="shared" si="321"/>
        <v>0.034938658135006</v>
      </c>
      <c r="AH179" s="5">
        <f t="shared" si="322"/>
        <v>1.31713975828579</v>
      </c>
      <c r="AI179" s="5">
        <f t="shared" si="323"/>
        <v>1.5</v>
      </c>
      <c r="AJ179" s="5">
        <f t="shared" si="324"/>
        <v>2.08888888888889</v>
      </c>
      <c r="AL179" s="216">
        <f t="shared" si="325"/>
        <v>345</v>
      </c>
      <c r="AM179" s="220">
        <f t="shared" si="326"/>
        <v>101.550143124684</v>
      </c>
      <c r="AO179" t="str">
        <f t="shared" si="327"/>
        <v/>
      </c>
      <c r="AP179" t="str">
        <f t="shared" si="328"/>
        <v/>
      </c>
      <c r="AR179" s="192">
        <f t="shared" si="249"/>
        <v>9.8473519507717</v>
      </c>
      <c r="AS179" s="192">
        <f t="shared" ref="AS179:AS242" si="335">L*AI179/J179*1000000</f>
        <v>3.75</v>
      </c>
      <c r="AT179" s="192">
        <f t="shared" ref="AT179:AT242" si="336">AR179-AS179</f>
        <v>6.0973519507717</v>
      </c>
      <c r="AU179" s="5">
        <f t="shared" ref="AU179:AU242" si="337">AS179/AR179</f>
        <v>0.380813036717564</v>
      </c>
      <c r="AW179" s="192">
        <f t="shared" si="275"/>
        <v>7.1875</v>
      </c>
      <c r="AX179" s="192"/>
      <c r="AY179" s="192">
        <f t="shared" si="276"/>
        <v>20.7</v>
      </c>
      <c r="AZ179" s="192"/>
      <c r="BA179" s="192">
        <f t="shared" si="277"/>
        <v>7.01195474338745</v>
      </c>
      <c r="BB179" s="192"/>
      <c r="BC179" s="192"/>
      <c r="BD179" s="5">
        <f t="shared" si="278"/>
        <v>0.534424716436444</v>
      </c>
      <c r="BE179" s="5">
        <f t="shared" si="279"/>
        <v>0.371892304638243</v>
      </c>
      <c r="BF179" s="5">
        <f t="shared" si="280"/>
        <v>0.28159746524048</v>
      </c>
      <c r="BG179" s="5"/>
      <c r="BH179" s="217">
        <f t="shared" si="281"/>
        <v>0.0999634221383606</v>
      </c>
      <c r="BI179" s="217">
        <f t="shared" si="282"/>
        <v>0.0169635452084059</v>
      </c>
      <c r="BJ179" s="217">
        <f t="shared" si="283"/>
        <v>0.00126937678905855</v>
      </c>
      <c r="BK179" s="217">
        <f t="shared" si="284"/>
        <v>0.00251883766478522</v>
      </c>
      <c r="BL179">
        <f t="shared" si="285"/>
        <v>0.0029</v>
      </c>
      <c r="BM179">
        <f t="shared" si="329"/>
        <v>1.26937678905855e-6</v>
      </c>
      <c r="BN179">
        <f t="shared" si="330"/>
        <v>0.176261920576655</v>
      </c>
      <c r="BO179" s="220">
        <f t="shared" si="286"/>
        <v>123.61518180061</v>
      </c>
      <c r="BP179" s="5">
        <f t="shared" si="287"/>
        <v>0.26565</v>
      </c>
      <c r="BQ179" s="5">
        <f t="shared" si="288"/>
        <v>0.21252</v>
      </c>
      <c r="BR179" s="217"/>
      <c r="BT179" s="220">
        <f t="shared" si="289"/>
        <v>478.17</v>
      </c>
      <c r="BU179" s="217">
        <f t="shared" si="290"/>
        <v>0.0117100008790651</v>
      </c>
      <c r="BV179" s="217">
        <f t="shared" si="291"/>
        <v>0.0138303886249144</v>
      </c>
      <c r="BW179" s="217">
        <f t="shared" si="292"/>
        <v>0.00555079927009044</v>
      </c>
      <c r="BX179" s="217">
        <f t="shared" si="293"/>
        <v>0</v>
      </c>
      <c r="BY179" s="217">
        <f t="shared" si="274"/>
        <v>0.0430128260998947</v>
      </c>
      <c r="BZ179" s="217">
        <f t="shared" si="250"/>
        <v>0.0310911887740699</v>
      </c>
      <c r="CA179" s="225">
        <f t="shared" si="331"/>
        <v>0.00913951288122154</v>
      </c>
      <c r="CB179" s="220">
        <f t="shared" si="294"/>
        <v>114.334716529256</v>
      </c>
      <c r="CC179" s="5">
        <f t="shared" si="251"/>
        <v>0.706584259557771</v>
      </c>
      <c r="CD179" s="192">
        <f t="shared" si="295"/>
        <v>3.71939765094645</v>
      </c>
      <c r="CE179" s="5">
        <f t="shared" si="296"/>
        <v>0.840355366595415</v>
      </c>
      <c r="CF179" s="192">
        <f t="shared" si="297"/>
        <v>84.0355366595415</v>
      </c>
      <c r="CG179">
        <f t="shared" si="298"/>
        <v>69</v>
      </c>
      <c r="CI179" s="227">
        <f t="shared" si="332"/>
        <v>-50</v>
      </c>
      <c r="CJ179">
        <f t="shared" si="333"/>
        <v>-50</v>
      </c>
    </row>
    <row r="180" spans="5:88">
      <c r="E180" s="22">
        <v>70</v>
      </c>
      <c r="F180" s="25">
        <f t="shared" si="334"/>
        <v>0.35</v>
      </c>
      <c r="G180" s="25">
        <f t="shared" si="299"/>
        <v>0.28</v>
      </c>
      <c r="H180" s="25">
        <f t="shared" si="300"/>
        <v>6.3</v>
      </c>
      <c r="I180" s="25">
        <f t="shared" si="301"/>
        <v>1.4</v>
      </c>
      <c r="J180" s="212">
        <f t="shared" si="302"/>
        <v>10</v>
      </c>
      <c r="K180" s="131">
        <f t="shared" si="303"/>
        <v>6.06616210354065</v>
      </c>
      <c r="L180" s="131">
        <f t="shared" si="304"/>
        <v>22.2728</v>
      </c>
      <c r="M180" s="131"/>
      <c r="N180" s="25">
        <f t="shared" si="305"/>
        <v>0.551021874214288</v>
      </c>
      <c r="O180" s="27">
        <f t="shared" si="306"/>
        <v>3.04314353259255</v>
      </c>
      <c r="P180" s="27">
        <f t="shared" si="307"/>
        <v>0.676254118353899</v>
      </c>
      <c r="Q180" s="25">
        <f t="shared" si="308"/>
        <v>0.169063529588475</v>
      </c>
      <c r="R180" s="25">
        <f t="shared" si="309"/>
        <v>0.608628706518509</v>
      </c>
      <c r="S180" s="25">
        <f t="shared" si="310"/>
        <v>8.69469580740727</v>
      </c>
      <c r="T180" s="25">
        <f t="shared" si="311"/>
        <v>1.5</v>
      </c>
      <c r="U180" s="25">
        <f t="shared" si="312"/>
        <v>3.75</v>
      </c>
      <c r="V180" s="25">
        <f t="shared" si="313"/>
        <v>6.18183282278466</v>
      </c>
      <c r="W180" s="24">
        <f t="shared" si="314"/>
        <v>350</v>
      </c>
      <c r="X180" s="131">
        <f t="shared" si="315"/>
        <v>100.686350429288</v>
      </c>
      <c r="Z180" s="25">
        <f t="shared" si="316"/>
        <v>0.431512930411234</v>
      </c>
      <c r="AA180" s="5">
        <f t="shared" si="317"/>
        <v>1.77836053111477</v>
      </c>
      <c r="AB180" s="5">
        <f t="shared" si="318"/>
        <v>0.0732870654305111</v>
      </c>
      <c r="AC180" s="5"/>
      <c r="AD180" s="5">
        <f t="shared" si="319"/>
        <v>1.23636656455693</v>
      </c>
      <c r="AE180" s="216">
        <f t="shared" si="320"/>
        <v>3458.23001071783</v>
      </c>
      <c r="AF180" s="217">
        <f t="shared" si="321"/>
        <v>0.0354227450517592</v>
      </c>
      <c r="AH180" s="5">
        <f t="shared" si="322"/>
        <v>1.32664991614216</v>
      </c>
      <c r="AI180" s="5">
        <f t="shared" si="323"/>
        <v>1.5</v>
      </c>
      <c r="AJ180" s="5">
        <f t="shared" si="324"/>
        <v>2.08888888888889</v>
      </c>
      <c r="AL180" s="216">
        <f t="shared" si="325"/>
        <v>350</v>
      </c>
      <c r="AM180" s="220">
        <f t="shared" si="326"/>
        <v>100.686350429288</v>
      </c>
      <c r="AO180" t="str">
        <f t="shared" si="327"/>
        <v/>
      </c>
      <c r="AP180" t="str">
        <f t="shared" si="328"/>
        <v/>
      </c>
      <c r="AR180" s="192">
        <f t="shared" si="249"/>
        <v>9.93183282278466</v>
      </c>
      <c r="AS180" s="192">
        <f t="shared" si="335"/>
        <v>3.75</v>
      </c>
      <c r="AT180" s="192">
        <f t="shared" si="336"/>
        <v>6.18183282278466</v>
      </c>
      <c r="AU180" s="5">
        <f t="shared" si="337"/>
        <v>0.37757381410983</v>
      </c>
      <c r="AW180" s="192">
        <f t="shared" si="275"/>
        <v>7.29166666666667</v>
      </c>
      <c r="AX180" s="192"/>
      <c r="AY180" s="192">
        <f t="shared" si="276"/>
        <v>21</v>
      </c>
      <c r="AZ180" s="192"/>
      <c r="BA180" s="192">
        <f t="shared" si="277"/>
        <v>7.21213829324877</v>
      </c>
      <c r="BB180" s="192"/>
      <c r="BC180" s="192"/>
      <c r="BD180" s="5">
        <f t="shared" si="278"/>
        <v>0.532146935143267</v>
      </c>
      <c r="BE180" s="5">
        <f t="shared" si="279"/>
        <v>0.372863796808565</v>
      </c>
      <c r="BF180" s="5">
        <f t="shared" si="280"/>
        <v>0.282333080711012</v>
      </c>
      <c r="BG180" s="5"/>
      <c r="BH180" s="217">
        <f t="shared" si="281"/>
        <v>0.0991131262038303</v>
      </c>
      <c r="BI180" s="217">
        <f t="shared" si="282"/>
        <v>0.0168192520938108</v>
      </c>
      <c r="BJ180" s="217">
        <f t="shared" si="283"/>
        <v>0.0012585793803661</v>
      </c>
      <c r="BK180" s="217">
        <f t="shared" si="284"/>
        <v>0.00249741225356687</v>
      </c>
      <c r="BL180">
        <f t="shared" si="285"/>
        <v>0.0029</v>
      </c>
      <c r="BM180">
        <f t="shared" si="329"/>
        <v>1.2585793803661e-6</v>
      </c>
      <c r="BN180">
        <f t="shared" si="330"/>
        <v>0.174700225558899</v>
      </c>
      <c r="BO180" s="220">
        <f t="shared" si="286"/>
        <v>122.588369931574</v>
      </c>
      <c r="BP180" s="5">
        <f t="shared" si="287"/>
        <v>0.2695</v>
      </c>
      <c r="BQ180" s="5">
        <f t="shared" si="288"/>
        <v>0.2156</v>
      </c>
      <c r="BR180" s="217"/>
      <c r="BT180" s="220">
        <f t="shared" si="289"/>
        <v>485.1</v>
      </c>
      <c r="BU180" s="217">
        <f t="shared" si="290"/>
        <v>0.0116103947838773</v>
      </c>
      <c r="BV180" s="217">
        <f t="shared" si="291"/>
        <v>0.0139027410970499</v>
      </c>
      <c r="BW180" s="217">
        <f t="shared" si="292"/>
        <v>0.00557983779246397</v>
      </c>
      <c r="BX180" s="217">
        <f t="shared" si="293"/>
        <v>0</v>
      </c>
      <c r="BY180" s="217">
        <f t="shared" si="274"/>
        <v>0.0430153015603974</v>
      </c>
      <c r="BZ180" s="217">
        <f t="shared" si="250"/>
        <v>0.0310929736733912</v>
      </c>
      <c r="CA180" s="225">
        <f t="shared" si="331"/>
        <v>0.00906177153863592</v>
      </c>
      <c r="CB180" s="220">
        <f t="shared" si="294"/>
        <v>114.263020445816</v>
      </c>
      <c r="CC180" s="5">
        <f t="shared" si="251"/>
        <v>0.711877298657932</v>
      </c>
      <c r="CD180" s="192">
        <f t="shared" si="295"/>
        <v>3.71939765094645</v>
      </c>
      <c r="CE180" s="5">
        <f t="shared" si="296"/>
        <v>0.839351584644621</v>
      </c>
      <c r="CF180" s="192">
        <f t="shared" si="297"/>
        <v>83.9351584644621</v>
      </c>
      <c r="CG180">
        <f t="shared" si="298"/>
        <v>70</v>
      </c>
      <c r="CI180" s="227">
        <f t="shared" si="332"/>
        <v>-50</v>
      </c>
      <c r="CJ180">
        <f t="shared" si="333"/>
        <v>-50</v>
      </c>
    </row>
    <row r="181" spans="5:88">
      <c r="E181" s="22">
        <v>71</v>
      </c>
      <c r="F181" s="25">
        <f t="shared" si="334"/>
        <v>0.355</v>
      </c>
      <c r="G181" s="25">
        <f t="shared" si="299"/>
        <v>0.284</v>
      </c>
      <c r="H181" s="25">
        <f t="shared" si="300"/>
        <v>6.39</v>
      </c>
      <c r="I181" s="25">
        <f t="shared" si="301"/>
        <v>1.42</v>
      </c>
      <c r="J181" s="212">
        <f t="shared" si="302"/>
        <v>10</v>
      </c>
      <c r="K181" s="131">
        <f t="shared" si="303"/>
        <v>5.98448094715276</v>
      </c>
      <c r="L181" s="131">
        <f t="shared" si="304"/>
        <v>22.2728</v>
      </c>
      <c r="M181" s="131"/>
      <c r="N181" s="25">
        <f t="shared" si="305"/>
        <v>0.551021874214288</v>
      </c>
      <c r="O181" s="27">
        <f t="shared" si="306"/>
        <v>3.04314353259255</v>
      </c>
      <c r="P181" s="27">
        <f t="shared" si="307"/>
        <v>0.676254118353899</v>
      </c>
      <c r="Q181" s="25">
        <f t="shared" si="308"/>
        <v>0.169063529588475</v>
      </c>
      <c r="R181" s="25">
        <f t="shared" si="309"/>
        <v>0.608628706518509</v>
      </c>
      <c r="S181" s="25">
        <f t="shared" si="310"/>
        <v>8.5722353030776</v>
      </c>
      <c r="T181" s="25">
        <f t="shared" si="311"/>
        <v>1.5</v>
      </c>
      <c r="U181" s="25">
        <f t="shared" si="312"/>
        <v>3.75</v>
      </c>
      <c r="V181" s="25">
        <f t="shared" si="313"/>
        <v>6.26620760115234</v>
      </c>
      <c r="W181" s="24">
        <f t="shared" si="314"/>
        <v>350</v>
      </c>
      <c r="X181" s="131">
        <f t="shared" si="315"/>
        <v>99.8381862497491</v>
      </c>
      <c r="Z181" s="25">
        <f t="shared" si="316"/>
        <v>0.427877941070353</v>
      </c>
      <c r="AA181" s="5">
        <f t="shared" si="317"/>
        <v>1.78744800446697</v>
      </c>
      <c r="AB181" s="5">
        <f t="shared" si="318"/>
        <v>0.0730410523220892</v>
      </c>
      <c r="AC181" s="5"/>
      <c r="AD181" s="5">
        <f t="shared" si="319"/>
        <v>1.25324152023047</v>
      </c>
      <c r="AE181" s="216">
        <f t="shared" si="320"/>
        <v>3460.402850224</v>
      </c>
      <c r="AF181" s="217">
        <f t="shared" si="321"/>
        <v>0.0359062240374576</v>
      </c>
      <c r="AH181" s="5">
        <f t="shared" si="322"/>
        <v>1.33609238346114</v>
      </c>
      <c r="AI181" s="5">
        <f t="shared" si="323"/>
        <v>1.5</v>
      </c>
      <c r="AJ181" s="5">
        <f t="shared" si="324"/>
        <v>2.08888888888889</v>
      </c>
      <c r="AL181" s="216">
        <f t="shared" si="325"/>
        <v>355</v>
      </c>
      <c r="AM181" s="220">
        <f t="shared" si="326"/>
        <v>99.8381862497491</v>
      </c>
      <c r="AO181" t="str">
        <f t="shared" si="327"/>
        <v/>
      </c>
      <c r="AP181" t="str">
        <f t="shared" si="328"/>
        <v/>
      </c>
      <c r="AR181" s="192">
        <f t="shared" si="249"/>
        <v>10.0162076011523</v>
      </c>
      <c r="AS181" s="192">
        <f t="shared" si="335"/>
        <v>3.75</v>
      </c>
      <c r="AT181" s="192">
        <f t="shared" si="336"/>
        <v>6.26620760115234</v>
      </c>
      <c r="AU181" s="5">
        <f t="shared" si="337"/>
        <v>0.374393198436559</v>
      </c>
      <c r="AW181" s="192">
        <f t="shared" si="275"/>
        <v>7.39583333333333</v>
      </c>
      <c r="AX181" s="192"/>
      <c r="AY181" s="192">
        <f t="shared" si="276"/>
        <v>21.3</v>
      </c>
      <c r="AZ181" s="192"/>
      <c r="BA181" s="192">
        <f t="shared" si="277"/>
        <v>7.41501232803027</v>
      </c>
      <c r="BB181" s="192"/>
      <c r="BC181" s="192"/>
      <c r="BD181" s="5">
        <f t="shared" si="278"/>
        <v>0.52990083867401</v>
      </c>
      <c r="BE181" s="5">
        <f t="shared" si="279"/>
        <v>0.373815255213838</v>
      </c>
      <c r="BF181" s="5">
        <f t="shared" si="280"/>
        <v>0.283053526581672</v>
      </c>
      <c r="BG181" s="5"/>
      <c r="BH181" s="217">
        <f t="shared" si="281"/>
        <v>0.0982782145895967</v>
      </c>
      <c r="BI181" s="217">
        <f t="shared" si="282"/>
        <v>0.0166775696602756</v>
      </c>
      <c r="BJ181" s="217">
        <f t="shared" si="283"/>
        <v>0.00124797732812186</v>
      </c>
      <c r="BK181" s="217">
        <f t="shared" si="284"/>
        <v>0.00247637449019591</v>
      </c>
      <c r="BL181">
        <f t="shared" si="285"/>
        <v>0.0029</v>
      </c>
      <c r="BM181">
        <f t="shared" si="329"/>
        <v>1.24797732812186e-6</v>
      </c>
      <c r="BN181">
        <f t="shared" si="330"/>
        <v>0.173168324785741</v>
      </c>
      <c r="BO181" s="220">
        <f t="shared" si="286"/>
        <v>121.58013606819</v>
      </c>
      <c r="BP181" s="5">
        <f t="shared" si="287"/>
        <v>0.27335</v>
      </c>
      <c r="BQ181" s="5">
        <f t="shared" si="288"/>
        <v>0.21868</v>
      </c>
      <c r="BR181" s="217"/>
      <c r="BT181" s="220">
        <f t="shared" si="289"/>
        <v>492.03</v>
      </c>
      <c r="BU181" s="217">
        <f t="shared" si="290"/>
        <v>0.0115125908519242</v>
      </c>
      <c r="BV181" s="217">
        <f t="shared" si="291"/>
        <v>0.0139737845030587</v>
      </c>
      <c r="BW181" s="217">
        <f t="shared" si="292"/>
        <v>0.00560835092372248</v>
      </c>
      <c r="BX181" s="217">
        <f t="shared" si="293"/>
        <v>0</v>
      </c>
      <c r="BY181" s="217">
        <f t="shared" si="274"/>
        <v>0.0430177322333275</v>
      </c>
      <c r="BZ181" s="217">
        <f t="shared" si="250"/>
        <v>0.0310947262787054</v>
      </c>
      <c r="CA181" s="225">
        <f t="shared" si="331"/>
        <v>0.00898543676247741</v>
      </c>
      <c r="CB181" s="220">
        <f t="shared" si="294"/>
        <v>114.192621553216</v>
      </c>
      <c r="CC181" s="5">
        <f t="shared" si="251"/>
        <v>0.717201493781546</v>
      </c>
      <c r="CD181" s="192">
        <f t="shared" si="295"/>
        <v>3.71939765094645</v>
      </c>
      <c r="CE181" s="5">
        <f t="shared" si="296"/>
        <v>0.838344310498776</v>
      </c>
      <c r="CF181" s="192">
        <f t="shared" si="297"/>
        <v>83.8344310498776</v>
      </c>
      <c r="CG181">
        <f t="shared" si="298"/>
        <v>71</v>
      </c>
      <c r="CI181" s="227">
        <f t="shared" si="332"/>
        <v>-50</v>
      </c>
      <c r="CJ181">
        <f t="shared" si="333"/>
        <v>-50</v>
      </c>
    </row>
    <row r="182" spans="5:88">
      <c r="E182" s="22">
        <v>72</v>
      </c>
      <c r="F182" s="25">
        <f t="shared" si="334"/>
        <v>0.36</v>
      </c>
      <c r="G182" s="25">
        <f t="shared" si="299"/>
        <v>0.288</v>
      </c>
      <c r="H182" s="25">
        <f t="shared" si="300"/>
        <v>6.48</v>
      </c>
      <c r="I182" s="25">
        <f t="shared" si="301"/>
        <v>1.44</v>
      </c>
      <c r="J182" s="212">
        <f t="shared" si="302"/>
        <v>10</v>
      </c>
      <c r="K182" s="131">
        <f t="shared" si="303"/>
        <v>5.90506871177563</v>
      </c>
      <c r="L182" s="131">
        <f t="shared" si="304"/>
        <v>22.2728</v>
      </c>
      <c r="M182" s="131"/>
      <c r="N182" s="25">
        <f t="shared" si="305"/>
        <v>0.551021874214288</v>
      </c>
      <c r="O182" s="27">
        <f t="shared" si="306"/>
        <v>3.04314353259255</v>
      </c>
      <c r="P182" s="27">
        <f t="shared" si="307"/>
        <v>0.676254118353899</v>
      </c>
      <c r="Q182" s="25">
        <f t="shared" si="308"/>
        <v>0.169063529588475</v>
      </c>
      <c r="R182" s="25">
        <f t="shared" si="309"/>
        <v>0.608628706518509</v>
      </c>
      <c r="S182" s="25">
        <f t="shared" si="310"/>
        <v>8.45317647942374</v>
      </c>
      <c r="T182" s="25">
        <f t="shared" si="311"/>
        <v>1.5</v>
      </c>
      <c r="U182" s="25">
        <f t="shared" si="312"/>
        <v>3.75</v>
      </c>
      <c r="V182" s="25">
        <f t="shared" si="313"/>
        <v>6.35047648560281</v>
      </c>
      <c r="W182" s="24">
        <f t="shared" si="314"/>
        <v>350</v>
      </c>
      <c r="X182" s="131">
        <f t="shared" si="315"/>
        <v>99.0052302409097</v>
      </c>
      <c r="Z182" s="25">
        <f t="shared" si="316"/>
        <v>0.424308129603899</v>
      </c>
      <c r="AA182" s="5">
        <f t="shared" si="317"/>
        <v>1.79637253313311</v>
      </c>
      <c r="AB182" s="5">
        <f t="shared" si="318"/>
        <v>0.0727933096552134</v>
      </c>
      <c r="AC182" s="5"/>
      <c r="AD182" s="5">
        <f t="shared" si="319"/>
        <v>1.27009529712056</v>
      </c>
      <c r="AE182" s="216">
        <f t="shared" si="320"/>
        <v>3462.57568973017</v>
      </c>
      <c r="AF182" s="217">
        <f t="shared" si="321"/>
        <v>0.0363890962365703</v>
      </c>
      <c r="AH182" s="5">
        <f t="shared" si="322"/>
        <v>1.34546858539533</v>
      </c>
      <c r="AI182" s="5">
        <f t="shared" si="323"/>
        <v>1.5</v>
      </c>
      <c r="AJ182" s="5">
        <f t="shared" si="324"/>
        <v>2.08888888888889</v>
      </c>
      <c r="AL182" s="216">
        <f t="shared" si="325"/>
        <v>360</v>
      </c>
      <c r="AM182" s="220">
        <f t="shared" si="326"/>
        <v>99.0052302409097</v>
      </c>
      <c r="AO182" t="str">
        <f t="shared" si="327"/>
        <v/>
      </c>
      <c r="AP182" t="str">
        <f t="shared" si="328"/>
        <v/>
      </c>
      <c r="AR182" s="192">
        <f t="shared" si="249"/>
        <v>10.1004764856028</v>
      </c>
      <c r="AS182" s="192">
        <f t="shared" si="335"/>
        <v>3.75</v>
      </c>
      <c r="AT182" s="192">
        <f t="shared" si="336"/>
        <v>6.35047648560281</v>
      </c>
      <c r="AU182" s="5">
        <f t="shared" si="337"/>
        <v>0.371269613403411</v>
      </c>
      <c r="AW182" s="192">
        <f t="shared" si="275"/>
        <v>7.5</v>
      </c>
      <c r="AX182" s="192"/>
      <c r="AY182" s="192">
        <f t="shared" si="276"/>
        <v>21.6</v>
      </c>
      <c r="AZ182" s="192"/>
      <c r="BA182" s="192">
        <f t="shared" si="277"/>
        <v>7.62057178272337</v>
      </c>
      <c r="BB182" s="192"/>
      <c r="BC182" s="192"/>
      <c r="BD182" s="5">
        <f t="shared" si="278"/>
        <v>0.527685711434902</v>
      </c>
      <c r="BE182" s="5">
        <f t="shared" si="279"/>
        <v>0.374747302213547</v>
      </c>
      <c r="BF182" s="5">
        <f t="shared" si="280"/>
        <v>0.283759274104085</v>
      </c>
      <c r="BG182" s="5"/>
      <c r="BH182" s="217">
        <f t="shared" si="281"/>
        <v>0.0974582735183955</v>
      </c>
      <c r="BI182" s="217">
        <f t="shared" si="282"/>
        <v>0.016538427690823</v>
      </c>
      <c r="BJ182" s="217">
        <f t="shared" si="283"/>
        <v>0.00123756537801137</v>
      </c>
      <c r="BK182" s="217">
        <f t="shared" si="284"/>
        <v>0.00245571394848108</v>
      </c>
      <c r="BL182">
        <f t="shared" si="285"/>
        <v>0.0029</v>
      </c>
      <c r="BM182">
        <f t="shared" si="329"/>
        <v>1.23756537801137e-6</v>
      </c>
      <c r="BN182">
        <f t="shared" si="330"/>
        <v>0.17166537368522</v>
      </c>
      <c r="BO182" s="220">
        <f t="shared" si="286"/>
        <v>120.589980535711</v>
      </c>
      <c r="BP182" s="5">
        <f t="shared" si="287"/>
        <v>0.2772</v>
      </c>
      <c r="BQ182" s="5">
        <f t="shared" si="288"/>
        <v>0.22176</v>
      </c>
      <c r="BR182" s="217"/>
      <c r="BT182" s="220">
        <f t="shared" si="289"/>
        <v>498.96</v>
      </c>
      <c r="BU182" s="217">
        <f t="shared" si="290"/>
        <v>0.0114165406121549</v>
      </c>
      <c r="BV182" s="217">
        <f t="shared" si="291"/>
        <v>0.0140435540516332</v>
      </c>
      <c r="BW182" s="217">
        <f t="shared" si="292"/>
        <v>0.0056363527948054</v>
      </c>
      <c r="BX182" s="217">
        <f t="shared" si="293"/>
        <v>0</v>
      </c>
      <c r="BY182" s="217">
        <f t="shared" si="274"/>
        <v>0.0430201193232749</v>
      </c>
      <c r="BZ182" s="217">
        <f t="shared" si="250"/>
        <v>0.0310964474585935</v>
      </c>
      <c r="CA182" s="225">
        <f t="shared" si="331"/>
        <v>0.00891047072168187</v>
      </c>
      <c r="CB182" s="220">
        <f t="shared" si="294"/>
        <v>114.123484962144</v>
      </c>
      <c r="CC182" s="5">
        <f t="shared" si="251"/>
        <v>0.722555963730176</v>
      </c>
      <c r="CD182" s="192">
        <f t="shared" si="295"/>
        <v>3.71939765094645</v>
      </c>
      <c r="CE182" s="5">
        <f t="shared" si="296"/>
        <v>0.837333744021373</v>
      </c>
      <c r="CF182" s="192">
        <f t="shared" si="297"/>
        <v>83.7333744021373</v>
      </c>
      <c r="CG182">
        <f t="shared" si="298"/>
        <v>72</v>
      </c>
      <c r="CI182" s="227">
        <f t="shared" si="332"/>
        <v>-50</v>
      </c>
      <c r="CJ182">
        <f t="shared" si="333"/>
        <v>-50</v>
      </c>
    </row>
    <row r="183" spans="5:88">
      <c r="E183" s="22">
        <v>73</v>
      </c>
      <c r="F183" s="25">
        <f t="shared" si="334"/>
        <v>0.365</v>
      </c>
      <c r="G183" s="25">
        <f t="shared" si="299"/>
        <v>0.292</v>
      </c>
      <c r="H183" s="25">
        <f t="shared" si="300"/>
        <v>6.57</v>
      </c>
      <c r="I183" s="25">
        <f t="shared" si="301"/>
        <v>1.46</v>
      </c>
      <c r="J183" s="212">
        <f t="shared" si="302"/>
        <v>10</v>
      </c>
      <c r="K183" s="131">
        <f t="shared" si="303"/>
        <v>5.82783215408008</v>
      </c>
      <c r="L183" s="131">
        <f t="shared" si="304"/>
        <v>22.2728</v>
      </c>
      <c r="M183" s="131"/>
      <c r="N183" s="25">
        <f t="shared" si="305"/>
        <v>0.551021874214288</v>
      </c>
      <c r="O183" s="27">
        <f t="shared" si="306"/>
        <v>3.04314353259255</v>
      </c>
      <c r="P183" s="27">
        <f t="shared" si="307"/>
        <v>0.676254118353899</v>
      </c>
      <c r="Q183" s="25">
        <f t="shared" si="308"/>
        <v>0.169063529588475</v>
      </c>
      <c r="R183" s="25">
        <f t="shared" si="309"/>
        <v>0.608628706518509</v>
      </c>
      <c r="S183" s="25">
        <f t="shared" si="310"/>
        <v>8.33737954134944</v>
      </c>
      <c r="T183" s="25">
        <f t="shared" si="311"/>
        <v>1.5</v>
      </c>
      <c r="U183" s="25">
        <f t="shared" si="312"/>
        <v>3.75</v>
      </c>
      <c r="V183" s="25">
        <f t="shared" si="313"/>
        <v>6.43463967536302</v>
      </c>
      <c r="W183" s="24">
        <f t="shared" si="314"/>
        <v>350</v>
      </c>
      <c r="X183" s="131">
        <f t="shared" si="315"/>
        <v>98.1870769978277</v>
      </c>
      <c r="Z183" s="25">
        <f t="shared" si="316"/>
        <v>0.420801758562119</v>
      </c>
      <c r="AA183" s="5">
        <f t="shared" si="317"/>
        <v>1.80513846073756</v>
      </c>
      <c r="AB183" s="5">
        <f t="shared" si="318"/>
        <v>0.0725440457743761</v>
      </c>
      <c r="AC183" s="5"/>
      <c r="AD183" s="5">
        <f t="shared" si="319"/>
        <v>1.2869279350726</v>
      </c>
      <c r="AE183" s="216">
        <f t="shared" si="320"/>
        <v>3464.74852923635</v>
      </c>
      <c r="AF183" s="217">
        <f t="shared" si="321"/>
        <v>0.0368713627906949</v>
      </c>
      <c r="AH183" s="5">
        <f t="shared" si="322"/>
        <v>1.35477989777992</v>
      </c>
      <c r="AI183" s="5">
        <f t="shared" si="323"/>
        <v>1.5</v>
      </c>
      <c r="AJ183" s="5">
        <f t="shared" si="324"/>
        <v>2.08888888888889</v>
      </c>
      <c r="AL183" s="216">
        <f t="shared" si="325"/>
        <v>365</v>
      </c>
      <c r="AM183" s="220">
        <f t="shared" si="326"/>
        <v>98.1870769978277</v>
      </c>
      <c r="AO183" t="str">
        <f t="shared" si="327"/>
        <v/>
      </c>
      <c r="AP183" t="str">
        <f t="shared" si="328"/>
        <v/>
      </c>
      <c r="AR183" s="192">
        <f t="shared" si="249"/>
        <v>10.184639675363</v>
      </c>
      <c r="AS183" s="192">
        <f t="shared" si="335"/>
        <v>3.75</v>
      </c>
      <c r="AT183" s="192">
        <f t="shared" si="336"/>
        <v>6.43463967536302</v>
      </c>
      <c r="AU183" s="5">
        <f t="shared" si="337"/>
        <v>0.368201538741854</v>
      </c>
      <c r="AW183" s="192">
        <f t="shared" si="275"/>
        <v>7.60416666666667</v>
      </c>
      <c r="AX183" s="192"/>
      <c r="AY183" s="192">
        <f t="shared" si="276"/>
        <v>21.9</v>
      </c>
      <c r="AZ183" s="192"/>
      <c r="BA183" s="192">
        <f t="shared" si="277"/>
        <v>7.82881160502501</v>
      </c>
      <c r="BB183" s="192"/>
      <c r="BC183" s="192"/>
      <c r="BD183" s="5">
        <f t="shared" si="278"/>
        <v>0.525500860186157</v>
      </c>
      <c r="BE183" s="5">
        <f t="shared" si="279"/>
        <v>0.375660534260022</v>
      </c>
      <c r="BF183" s="5">
        <f t="shared" si="280"/>
        <v>0.284450774912938</v>
      </c>
      <c r="BG183" s="5"/>
      <c r="BH183" s="217">
        <f t="shared" si="281"/>
        <v>0.0966529039197367</v>
      </c>
      <c r="BI183" s="217">
        <f t="shared" si="282"/>
        <v>0.0164017584641791</v>
      </c>
      <c r="BJ183" s="217">
        <f t="shared" si="283"/>
        <v>0.00122733846247285</v>
      </c>
      <c r="BK183" s="217">
        <f t="shared" si="284"/>
        <v>0.00243542057280646</v>
      </c>
      <c r="BL183">
        <f t="shared" si="285"/>
        <v>0.0029</v>
      </c>
      <c r="BM183">
        <f t="shared" si="329"/>
        <v>1.22733846247285e-6</v>
      </c>
      <c r="BN183">
        <f t="shared" si="330"/>
        <v>0.170190559307808</v>
      </c>
      <c r="BO183" s="220">
        <f t="shared" si="286"/>
        <v>119.617421419195</v>
      </c>
      <c r="BP183" s="5">
        <f t="shared" si="287"/>
        <v>0.28105</v>
      </c>
      <c r="BQ183" s="5">
        <f t="shared" si="288"/>
        <v>0.22484</v>
      </c>
      <c r="BR183" s="217"/>
      <c r="BT183" s="220">
        <f t="shared" si="289"/>
        <v>505.89</v>
      </c>
      <c r="BU183" s="217">
        <f t="shared" si="290"/>
        <v>0.011322197316312</v>
      </c>
      <c r="BV183" s="217">
        <f t="shared" si="291"/>
        <v>0.0141120837000525</v>
      </c>
      <c r="BW183" s="217">
        <f t="shared" si="292"/>
        <v>0.00566385703439997</v>
      </c>
      <c r="BX183" s="217">
        <f t="shared" si="293"/>
        <v>0</v>
      </c>
      <c r="BY183" s="217">
        <f t="shared" si="274"/>
        <v>0.0430224639920156</v>
      </c>
      <c r="BZ183" s="217">
        <f t="shared" si="250"/>
        <v>0.0310981380507645</v>
      </c>
      <c r="CA183" s="225">
        <f t="shared" si="331"/>
        <v>0.0088368369298045</v>
      </c>
      <c r="CB183" s="220">
        <f t="shared" si="294"/>
        <v>114.055577023349</v>
      </c>
      <c r="CC183" s="5">
        <f t="shared" si="251"/>
        <v>0.727939860229629</v>
      </c>
      <c r="CD183" s="192">
        <f t="shared" si="295"/>
        <v>3.71939765094645</v>
      </c>
      <c r="CE183" s="5">
        <f t="shared" si="296"/>
        <v>0.836320077259635</v>
      </c>
      <c r="CF183" s="192">
        <f t="shared" si="297"/>
        <v>83.6320077259635</v>
      </c>
      <c r="CG183">
        <f t="shared" si="298"/>
        <v>73</v>
      </c>
      <c r="CI183" s="227">
        <f t="shared" si="332"/>
        <v>-50</v>
      </c>
      <c r="CJ183">
        <f t="shared" si="333"/>
        <v>-50</v>
      </c>
    </row>
    <row r="184" spans="5:88">
      <c r="E184" s="22">
        <v>74</v>
      </c>
      <c r="F184" s="25">
        <f t="shared" si="334"/>
        <v>0.37</v>
      </c>
      <c r="G184" s="25">
        <f t="shared" si="299"/>
        <v>0.296</v>
      </c>
      <c r="H184" s="25">
        <f t="shared" si="300"/>
        <v>6.66</v>
      </c>
      <c r="I184" s="25">
        <f t="shared" si="301"/>
        <v>1.48</v>
      </c>
      <c r="J184" s="212">
        <f t="shared" si="302"/>
        <v>10</v>
      </c>
      <c r="K184" s="131">
        <f t="shared" si="303"/>
        <v>5.75268307091683</v>
      </c>
      <c r="L184" s="131">
        <f t="shared" si="304"/>
        <v>22.2728</v>
      </c>
      <c r="M184" s="131"/>
      <c r="N184" s="25">
        <f t="shared" si="305"/>
        <v>0.551021874214288</v>
      </c>
      <c r="O184" s="27">
        <f t="shared" si="306"/>
        <v>3.04314353259255</v>
      </c>
      <c r="P184" s="27">
        <f t="shared" si="307"/>
        <v>0.676254118353899</v>
      </c>
      <c r="Q184" s="25">
        <f t="shared" si="308"/>
        <v>0.169063529588475</v>
      </c>
      <c r="R184" s="25">
        <f t="shared" si="309"/>
        <v>0.608628706518509</v>
      </c>
      <c r="S184" s="25">
        <f t="shared" si="310"/>
        <v>8.22471225025012</v>
      </c>
      <c r="T184" s="25">
        <f t="shared" si="311"/>
        <v>1.5</v>
      </c>
      <c r="U184" s="25">
        <f t="shared" si="312"/>
        <v>3.75</v>
      </c>
      <c r="V184" s="25">
        <f t="shared" si="313"/>
        <v>6.51869736916055</v>
      </c>
      <c r="W184" s="24">
        <f t="shared" si="314"/>
        <v>350</v>
      </c>
      <c r="X184" s="131">
        <f t="shared" si="315"/>
        <v>97.3833353978517</v>
      </c>
      <c r="Z184" s="25">
        <f t="shared" si="316"/>
        <v>0.417357151705079</v>
      </c>
      <c r="AA184" s="5">
        <f t="shared" si="317"/>
        <v>1.81374997788016</v>
      </c>
      <c r="AB184" s="5">
        <f t="shared" si="318"/>
        <v>0.0722934560188479</v>
      </c>
      <c r="AC184" s="5"/>
      <c r="AD184" s="5">
        <f t="shared" si="319"/>
        <v>1.30373947383211</v>
      </c>
      <c r="AE184" s="216">
        <f t="shared" si="320"/>
        <v>3466.92136874252</v>
      </c>
      <c r="AF184" s="217">
        <f t="shared" si="321"/>
        <v>0.0373530248385676</v>
      </c>
      <c r="AH184" s="5">
        <f t="shared" si="322"/>
        <v>1.36402764948935</v>
      </c>
      <c r="AI184" s="5">
        <f t="shared" si="323"/>
        <v>1.5</v>
      </c>
      <c r="AJ184" s="5">
        <f t="shared" si="324"/>
        <v>2.08888888888889</v>
      </c>
      <c r="AL184" s="216">
        <f t="shared" si="325"/>
        <v>370</v>
      </c>
      <c r="AM184" s="220">
        <f t="shared" si="326"/>
        <v>97.3833353978517</v>
      </c>
      <c r="AO184" t="str">
        <f t="shared" si="327"/>
        <v/>
      </c>
      <c r="AP184" t="str">
        <f t="shared" si="328"/>
        <v/>
      </c>
      <c r="AR184" s="192">
        <f t="shared" si="249"/>
        <v>10.2686973691606</v>
      </c>
      <c r="AS184" s="192">
        <f t="shared" si="335"/>
        <v>3.75</v>
      </c>
      <c r="AT184" s="192">
        <f t="shared" si="336"/>
        <v>6.51869736916055</v>
      </c>
      <c r="AU184" s="5">
        <f t="shared" si="337"/>
        <v>0.365187507741944</v>
      </c>
      <c r="AW184" s="192">
        <f t="shared" si="275"/>
        <v>7.70833333333333</v>
      </c>
      <c r="AX184" s="192"/>
      <c r="AY184" s="192">
        <f t="shared" si="276"/>
        <v>22.2</v>
      </c>
      <c r="AZ184" s="192"/>
      <c r="BA184" s="192">
        <f t="shared" si="277"/>
        <v>8.03972675529802</v>
      </c>
      <c r="BB184" s="192"/>
      <c r="BC184" s="192"/>
      <c r="BD184" s="5">
        <f t="shared" si="278"/>
        <v>0.52334561315297</v>
      </c>
      <c r="BE184" s="5">
        <f t="shared" si="279"/>
        <v>0.376555523253764</v>
      </c>
      <c r="BF184" s="5">
        <f t="shared" si="280"/>
        <v>0.285128462052232</v>
      </c>
      <c r="BG184" s="5"/>
      <c r="BH184" s="217">
        <f t="shared" si="281"/>
        <v>0.0958617207822603</v>
      </c>
      <c r="BI184" s="217">
        <f t="shared" si="282"/>
        <v>0.0162674966448695</v>
      </c>
      <c r="BJ184" s="217">
        <f t="shared" si="283"/>
        <v>0.00121729169247315</v>
      </c>
      <c r="BK184" s="217">
        <f t="shared" si="284"/>
        <v>0.00241548466181234</v>
      </c>
      <c r="BL184">
        <f t="shared" si="285"/>
        <v>0.0029</v>
      </c>
      <c r="BM184">
        <f t="shared" si="329"/>
        <v>1.21729169247315e-6</v>
      </c>
      <c r="BN184">
        <f t="shared" si="330"/>
        <v>0.168743098860135</v>
      </c>
      <c r="BO184" s="220">
        <f t="shared" si="286"/>
        <v>118.661993781415</v>
      </c>
      <c r="BP184" s="5">
        <f t="shared" si="287"/>
        <v>0.2849</v>
      </c>
      <c r="BQ184" s="5">
        <f t="shared" si="288"/>
        <v>0.22792</v>
      </c>
      <c r="BR184" s="217"/>
      <c r="BT184" s="220">
        <f t="shared" si="289"/>
        <v>512.82</v>
      </c>
      <c r="BU184" s="217">
        <f t="shared" si="290"/>
        <v>0.0112295158630648</v>
      </c>
      <c r="BV184" s="217">
        <f t="shared" si="291"/>
        <v>0.0141794062092916</v>
      </c>
      <c r="BW184" s="217">
        <f t="shared" si="292"/>
        <v>0.00569087679105899</v>
      </c>
      <c r="BX184" s="217">
        <f t="shared" si="293"/>
        <v>0</v>
      </c>
      <c r="BY184" s="217">
        <f t="shared" si="274"/>
        <v>0.0430247673603975</v>
      </c>
      <c r="BZ184" s="217">
        <f t="shared" si="250"/>
        <v>0.0310997988634154</v>
      </c>
      <c r="CA184" s="225">
        <f t="shared" si="331"/>
        <v>0.00876450018580666</v>
      </c>
      <c r="CB184" s="220">
        <f t="shared" si="294"/>
        <v>113.988865273035</v>
      </c>
      <c r="CC184" s="5">
        <f t="shared" si="251"/>
        <v>0.733352366406339</v>
      </c>
      <c r="CD184" s="192">
        <f t="shared" si="295"/>
        <v>3.71939765094645</v>
      </c>
      <c r="CE184" s="5">
        <f t="shared" si="296"/>
        <v>0.835303494795711</v>
      </c>
      <c r="CF184" s="192">
        <f t="shared" si="297"/>
        <v>83.5303494795711</v>
      </c>
      <c r="CG184">
        <f t="shared" si="298"/>
        <v>74</v>
      </c>
      <c r="CI184" s="227">
        <f t="shared" si="332"/>
        <v>-50</v>
      </c>
      <c r="CJ184">
        <f t="shared" si="333"/>
        <v>-50</v>
      </c>
    </row>
    <row r="185" spans="5:88">
      <c r="E185" s="22">
        <v>75</v>
      </c>
      <c r="F185" s="25">
        <f t="shared" si="334"/>
        <v>0.375</v>
      </c>
      <c r="G185" s="25">
        <f t="shared" si="299"/>
        <v>0.3</v>
      </c>
      <c r="H185" s="25">
        <f t="shared" si="300"/>
        <v>6.75</v>
      </c>
      <c r="I185" s="25">
        <f t="shared" si="301"/>
        <v>1.5</v>
      </c>
      <c r="J185" s="212">
        <f t="shared" si="302"/>
        <v>10</v>
      </c>
      <c r="K185" s="131">
        <f t="shared" si="303"/>
        <v>5.67953796330461</v>
      </c>
      <c r="L185" s="131">
        <f t="shared" si="304"/>
        <v>22.2728</v>
      </c>
      <c r="M185" s="131"/>
      <c r="N185" s="25">
        <f t="shared" si="305"/>
        <v>0.551021874214288</v>
      </c>
      <c r="O185" s="27">
        <f t="shared" si="306"/>
        <v>3.04314353259255</v>
      </c>
      <c r="P185" s="27">
        <f t="shared" si="307"/>
        <v>0.676254118353899</v>
      </c>
      <c r="Q185" s="25">
        <f t="shared" si="308"/>
        <v>0.169063529588475</v>
      </c>
      <c r="R185" s="25">
        <f t="shared" si="309"/>
        <v>0.608628706518509</v>
      </c>
      <c r="S185" s="25">
        <f t="shared" si="310"/>
        <v>8.11504942024679</v>
      </c>
      <c r="T185" s="25">
        <f t="shared" si="311"/>
        <v>1.5</v>
      </c>
      <c r="U185" s="25">
        <f t="shared" si="312"/>
        <v>3.75</v>
      </c>
      <c r="V185" s="25">
        <f t="shared" si="313"/>
        <v>6.60264976522506</v>
      </c>
      <c r="W185" s="24">
        <f t="shared" si="314"/>
        <v>350</v>
      </c>
      <c r="X185" s="131">
        <f t="shared" si="315"/>
        <v>96.5936279771617</v>
      </c>
      <c r="Z185" s="25">
        <f t="shared" si="316"/>
        <v>0.413972691330693</v>
      </c>
      <c r="AA185" s="5">
        <f t="shared" si="317"/>
        <v>1.82221112881612</v>
      </c>
      <c r="AB185" s="5">
        <f t="shared" si="318"/>
        <v>0.0720417235355366</v>
      </c>
      <c r="AC185" s="5"/>
      <c r="AD185" s="5">
        <f t="shared" si="319"/>
        <v>1.32052995304501</v>
      </c>
      <c r="AE185" s="216">
        <f t="shared" si="320"/>
        <v>3469.09420824869</v>
      </c>
      <c r="AF185" s="217">
        <f t="shared" si="321"/>
        <v>0.0378340835160712</v>
      </c>
      <c r="AH185" s="5">
        <f t="shared" si="322"/>
        <v>1.37321312465119</v>
      </c>
      <c r="AI185" s="5">
        <f t="shared" si="323"/>
        <v>1.5</v>
      </c>
      <c r="AJ185" s="5">
        <f t="shared" si="324"/>
        <v>2.08888888888889</v>
      </c>
      <c r="AL185" s="216">
        <f t="shared" si="325"/>
        <v>375</v>
      </c>
      <c r="AM185" s="220">
        <f t="shared" si="326"/>
        <v>96.5936279771617</v>
      </c>
      <c r="AO185" t="str">
        <f t="shared" si="327"/>
        <v/>
      </c>
      <c r="AP185" t="str">
        <f t="shared" si="328"/>
        <v/>
      </c>
      <c r="AR185" s="192">
        <f t="shared" si="249"/>
        <v>10.3526497652251</v>
      </c>
      <c r="AS185" s="192">
        <f t="shared" si="335"/>
        <v>3.75</v>
      </c>
      <c r="AT185" s="192">
        <f t="shared" si="336"/>
        <v>6.60264976522506</v>
      </c>
      <c r="AU185" s="5">
        <f t="shared" si="337"/>
        <v>0.362226104914356</v>
      </c>
      <c r="AW185" s="192">
        <f t="shared" si="275"/>
        <v>7.8125</v>
      </c>
      <c r="AX185" s="192"/>
      <c r="AY185" s="192">
        <f t="shared" si="276"/>
        <v>22.5</v>
      </c>
      <c r="AZ185" s="192"/>
      <c r="BA185" s="192">
        <f t="shared" si="277"/>
        <v>8.25331220653132</v>
      </c>
      <c r="BB185" s="192"/>
      <c r="BC185" s="192"/>
      <c r="BD185" s="5">
        <f t="shared" si="278"/>
        <v>0.521219319179333</v>
      </c>
      <c r="BE185" s="5">
        <f t="shared" si="279"/>
        <v>0.377432817813218</v>
      </c>
      <c r="BF185" s="5">
        <f t="shared" si="280"/>
        <v>0.285792750936757</v>
      </c>
      <c r="BG185" s="5"/>
      <c r="BH185" s="217">
        <f t="shared" si="281"/>
        <v>0.0950843525400186</v>
      </c>
      <c r="BI185" s="217">
        <f t="shared" si="282"/>
        <v>0.016135579179073</v>
      </c>
      <c r="BJ185" s="217">
        <f t="shared" si="283"/>
        <v>0.00120742034971452</v>
      </c>
      <c r="BK185" s="217">
        <f t="shared" si="284"/>
        <v>0.00239589685293104</v>
      </c>
      <c r="BL185">
        <f t="shared" si="285"/>
        <v>0.0029</v>
      </c>
      <c r="BM185">
        <f t="shared" si="329"/>
        <v>1.20742034971452e-6</v>
      </c>
      <c r="BN185">
        <f t="shared" si="330"/>
        <v>0.167322238319535</v>
      </c>
      <c r="BO185" s="220">
        <f t="shared" si="286"/>
        <v>117.723248921737</v>
      </c>
      <c r="BP185" s="5">
        <f t="shared" si="287"/>
        <v>0.28875</v>
      </c>
      <c r="BQ185" s="5">
        <f t="shared" si="288"/>
        <v>0.231</v>
      </c>
      <c r="BR185" s="217"/>
      <c r="BT185" s="220">
        <f t="shared" si="289"/>
        <v>519.75</v>
      </c>
      <c r="BU185" s="217">
        <f t="shared" si="290"/>
        <v>0.0111384527261165</v>
      </c>
      <c r="BV185" s="217">
        <f t="shared" si="291"/>
        <v>0.0142455531962426</v>
      </c>
      <c r="BW185" s="217">
        <f t="shared" si="292"/>
        <v>0.00571742475415995</v>
      </c>
      <c r="BX185" s="217">
        <f t="shared" si="293"/>
        <v>0</v>
      </c>
      <c r="BY185" s="217">
        <f t="shared" si="274"/>
        <v>0.0430270305101264</v>
      </c>
      <c r="BZ185" s="217">
        <f t="shared" si="250"/>
        <v>0.031101430676519</v>
      </c>
      <c r="CA185" s="225">
        <f t="shared" si="331"/>
        <v>0.00869342651794455</v>
      </c>
      <c r="CB185" s="220">
        <f t="shared" si="294"/>
        <v>113.923318381109</v>
      </c>
      <c r="CC185" s="5">
        <f t="shared" si="251"/>
        <v>0.738792695347605</v>
      </c>
      <c r="CD185" s="192">
        <f t="shared" si="295"/>
        <v>3.71939765094645</v>
      </c>
      <c r="CE185" s="5">
        <f t="shared" si="296"/>
        <v>0.834284174079346</v>
      </c>
      <c r="CF185" s="192">
        <f t="shared" si="297"/>
        <v>83.4284174079346</v>
      </c>
      <c r="CG185">
        <f t="shared" si="298"/>
        <v>75</v>
      </c>
      <c r="CI185" s="227">
        <f t="shared" si="332"/>
        <v>-50</v>
      </c>
      <c r="CJ185">
        <f t="shared" si="333"/>
        <v>-50</v>
      </c>
    </row>
    <row r="186" spans="5:88">
      <c r="E186" s="22">
        <v>76</v>
      </c>
      <c r="F186" s="25">
        <f t="shared" si="334"/>
        <v>0.38</v>
      </c>
      <c r="G186" s="25">
        <f t="shared" si="299"/>
        <v>0.304</v>
      </c>
      <c r="H186" s="25">
        <f t="shared" si="300"/>
        <v>6.84</v>
      </c>
      <c r="I186" s="25">
        <f t="shared" si="301"/>
        <v>1.52</v>
      </c>
      <c r="J186" s="212">
        <f t="shared" si="302"/>
        <v>10</v>
      </c>
      <c r="K186" s="131">
        <f t="shared" si="303"/>
        <v>5.60831772694534</v>
      </c>
      <c r="L186" s="131">
        <f t="shared" si="304"/>
        <v>22.2728</v>
      </c>
      <c r="M186" s="131"/>
      <c r="N186" s="25">
        <f t="shared" si="305"/>
        <v>0.551021874214288</v>
      </c>
      <c r="O186" s="27">
        <f t="shared" si="306"/>
        <v>3.04314353259255</v>
      </c>
      <c r="P186" s="27">
        <f t="shared" si="307"/>
        <v>0.676254118353899</v>
      </c>
      <c r="Q186" s="25">
        <f t="shared" si="308"/>
        <v>0.169063529588475</v>
      </c>
      <c r="R186" s="25">
        <f t="shared" si="309"/>
        <v>0.608628706518509</v>
      </c>
      <c r="S186" s="25">
        <f t="shared" si="310"/>
        <v>8.00827245419091</v>
      </c>
      <c r="T186" s="25">
        <f t="shared" si="311"/>
        <v>1.5</v>
      </c>
      <c r="U186" s="25">
        <f t="shared" si="312"/>
        <v>3.75</v>
      </c>
      <c r="V186" s="25">
        <f t="shared" si="313"/>
        <v>6.68649706128989</v>
      </c>
      <c r="W186" s="24">
        <f t="shared" si="314"/>
        <v>350</v>
      </c>
      <c r="X186" s="131">
        <f t="shared" si="315"/>
        <v>95.8175903396849</v>
      </c>
      <c r="Z186" s="25">
        <f t="shared" si="316"/>
        <v>0.410646815741507</v>
      </c>
      <c r="AA186" s="5">
        <f t="shared" si="317"/>
        <v>1.83052581778909</v>
      </c>
      <c r="AB186" s="5">
        <f t="shared" si="318"/>
        <v>0.0717890200370138</v>
      </c>
      <c r="AC186" s="5"/>
      <c r="AD186" s="5">
        <f t="shared" si="319"/>
        <v>1.33729941225798</v>
      </c>
      <c r="AE186" s="216">
        <f t="shared" si="320"/>
        <v>3471.26704775487</v>
      </c>
      <c r="AF186" s="217">
        <f t="shared" si="321"/>
        <v>0.0383145399562449</v>
      </c>
      <c r="AH186" s="5">
        <f t="shared" si="322"/>
        <v>1.38233756472764</v>
      </c>
      <c r="AI186" s="5">
        <f t="shared" si="323"/>
        <v>1.5</v>
      </c>
      <c r="AJ186" s="5">
        <f t="shared" si="324"/>
        <v>2.08888888888889</v>
      </c>
      <c r="AL186" s="216">
        <f t="shared" si="325"/>
        <v>380</v>
      </c>
      <c r="AM186" s="220">
        <f t="shared" si="326"/>
        <v>95.8175903396849</v>
      </c>
      <c r="AO186" t="str">
        <f t="shared" si="327"/>
        <v/>
      </c>
      <c r="AP186" t="str">
        <f t="shared" si="328"/>
        <v/>
      </c>
      <c r="AR186" s="192">
        <f t="shared" si="249"/>
        <v>10.4364970612899</v>
      </c>
      <c r="AS186" s="192">
        <f t="shared" si="335"/>
        <v>3.75</v>
      </c>
      <c r="AT186" s="192">
        <f t="shared" si="336"/>
        <v>6.68649706128989</v>
      </c>
      <c r="AU186" s="5">
        <f t="shared" si="337"/>
        <v>0.359315963773818</v>
      </c>
      <c r="AW186" s="192">
        <f t="shared" si="275"/>
        <v>7.91666666666667</v>
      </c>
      <c r="AX186" s="192"/>
      <c r="AY186" s="192">
        <f t="shared" si="276"/>
        <v>22.8</v>
      </c>
      <c r="AZ186" s="192"/>
      <c r="BA186" s="192">
        <f t="shared" si="277"/>
        <v>8.46956294430053</v>
      </c>
      <c r="BB186" s="192"/>
      <c r="BC186" s="192"/>
      <c r="BD186" s="5">
        <f t="shared" si="278"/>
        <v>0.519121346922243</v>
      </c>
      <c r="BE186" s="5">
        <f t="shared" si="279"/>
        <v>0.378292944465331</v>
      </c>
      <c r="BF186" s="5">
        <f t="shared" si="280"/>
        <v>0.286444040253584</v>
      </c>
      <c r="BG186" s="5"/>
      <c r="BH186" s="217">
        <f t="shared" si="281"/>
        <v>0.0943204404906273</v>
      </c>
      <c r="BI186" s="217">
        <f t="shared" si="282"/>
        <v>0.016005945195883</v>
      </c>
      <c r="BJ186" s="217">
        <f t="shared" si="283"/>
        <v>0.00119771987924606</v>
      </c>
      <c r="BK186" s="217">
        <f t="shared" si="284"/>
        <v>0.00237664810772575</v>
      </c>
      <c r="BL186">
        <f t="shared" si="285"/>
        <v>0.0029</v>
      </c>
      <c r="BM186">
        <f t="shared" si="329"/>
        <v>1.19771987924606e-6</v>
      </c>
      <c r="BN186">
        <f t="shared" si="330"/>
        <v>0.165927251124291</v>
      </c>
      <c r="BO186" s="220">
        <f t="shared" si="286"/>
        <v>116.800753673482</v>
      </c>
      <c r="BP186" s="5">
        <f t="shared" si="287"/>
        <v>0.2926</v>
      </c>
      <c r="BQ186" s="5">
        <f t="shared" si="288"/>
        <v>0.23408</v>
      </c>
      <c r="BR186" s="217"/>
      <c r="BT186" s="220">
        <f t="shared" si="289"/>
        <v>526.68</v>
      </c>
      <c r="BU186" s="217">
        <f t="shared" si="290"/>
        <v>0.0110489658860449</v>
      </c>
      <c r="BV186" s="217">
        <f t="shared" si="291"/>
        <v>0.014310555183225</v>
      </c>
      <c r="BW186" s="217">
        <f t="shared" si="292"/>
        <v>0.00574351317377578</v>
      </c>
      <c r="BX186" s="217">
        <f t="shared" si="293"/>
        <v>0</v>
      </c>
      <c r="BY186" s="217">
        <f t="shared" si="274"/>
        <v>0.0430292544854602</v>
      </c>
      <c r="BZ186" s="217">
        <f t="shared" si="250"/>
        <v>0.0311030342430457</v>
      </c>
      <c r="CA186" s="225">
        <f t="shared" si="331"/>
        <v>0.00862358313057164</v>
      </c>
      <c r="CB186" s="220">
        <f t="shared" si="294"/>
        <v>113.858906102123</v>
      </c>
      <c r="CC186" s="5">
        <f t="shared" si="251"/>
        <v>0.744260088740323</v>
      </c>
      <c r="CD186" s="192">
        <f t="shared" si="295"/>
        <v>3.71939765094645</v>
      </c>
      <c r="CE186" s="5">
        <f t="shared" si="296"/>
        <v>0.833262285743138</v>
      </c>
      <c r="CF186" s="192">
        <f t="shared" si="297"/>
        <v>83.3262285743138</v>
      </c>
      <c r="CG186">
        <f t="shared" si="298"/>
        <v>76</v>
      </c>
      <c r="CI186" s="227">
        <f t="shared" si="332"/>
        <v>-50</v>
      </c>
      <c r="CJ186">
        <f t="shared" si="333"/>
        <v>-50</v>
      </c>
    </row>
    <row r="187" spans="5:88">
      <c r="E187" s="22">
        <v>77</v>
      </c>
      <c r="F187" s="25">
        <f t="shared" si="334"/>
        <v>0.385</v>
      </c>
      <c r="G187" s="25">
        <f t="shared" si="299"/>
        <v>0.308</v>
      </c>
      <c r="H187" s="25">
        <f t="shared" si="300"/>
        <v>6.93</v>
      </c>
      <c r="I187" s="25">
        <f t="shared" si="301"/>
        <v>1.54</v>
      </c>
      <c r="J187" s="212">
        <f t="shared" si="302"/>
        <v>10</v>
      </c>
      <c r="K187" s="131">
        <f t="shared" si="303"/>
        <v>5.53894736685514</v>
      </c>
      <c r="L187" s="131">
        <f t="shared" si="304"/>
        <v>22.2728</v>
      </c>
      <c r="M187" s="131"/>
      <c r="N187" s="25">
        <f t="shared" si="305"/>
        <v>0.551021874214288</v>
      </c>
      <c r="O187" s="27">
        <f t="shared" si="306"/>
        <v>3.04314353259255</v>
      </c>
      <c r="P187" s="27">
        <f t="shared" si="307"/>
        <v>0.676254118353899</v>
      </c>
      <c r="Q187" s="25">
        <f t="shared" si="308"/>
        <v>0.169063529588475</v>
      </c>
      <c r="R187" s="25">
        <f t="shared" si="309"/>
        <v>0.608628706518509</v>
      </c>
      <c r="S187" s="25">
        <f t="shared" si="310"/>
        <v>7.9042689158248</v>
      </c>
      <c r="T187" s="25">
        <f t="shared" si="311"/>
        <v>1.5</v>
      </c>
      <c r="U187" s="25">
        <f t="shared" si="312"/>
        <v>3.75</v>
      </c>
      <c r="V187" s="25">
        <f t="shared" si="313"/>
        <v>6.7702394545936</v>
      </c>
      <c r="W187" s="24">
        <f t="shared" si="314"/>
        <v>350</v>
      </c>
      <c r="X187" s="131">
        <f t="shared" si="315"/>
        <v>95.0548705964441</v>
      </c>
      <c r="Z187" s="25">
        <f t="shared" si="316"/>
        <v>0.407378016841903</v>
      </c>
      <c r="AA187" s="5">
        <f t="shared" si="317"/>
        <v>1.8386978150381</v>
      </c>
      <c r="AB187" s="5">
        <f t="shared" si="318"/>
        <v>0.0715355065087561</v>
      </c>
      <c r="AC187" s="5"/>
      <c r="AD187" s="5">
        <f t="shared" si="319"/>
        <v>1.35404789091872</v>
      </c>
      <c r="AE187" s="216">
        <f t="shared" si="320"/>
        <v>3473.43988726104</v>
      </c>
      <c r="AF187" s="217">
        <f t="shared" si="321"/>
        <v>0.0387943952892924</v>
      </c>
      <c r="AH187" s="5">
        <f t="shared" si="322"/>
        <v>1.39140217047409</v>
      </c>
      <c r="AI187" s="5">
        <f t="shared" si="323"/>
        <v>1.5</v>
      </c>
      <c r="AJ187" s="5">
        <f t="shared" si="324"/>
        <v>2.08888888888889</v>
      </c>
      <c r="AL187" s="216">
        <f t="shared" si="325"/>
        <v>385</v>
      </c>
      <c r="AM187" s="220">
        <f t="shared" si="326"/>
        <v>95.0548705964441</v>
      </c>
      <c r="AO187" t="str">
        <f t="shared" si="327"/>
        <v/>
      </c>
      <c r="AP187" t="str">
        <f t="shared" si="328"/>
        <v/>
      </c>
      <c r="AR187" s="192">
        <f t="shared" si="249"/>
        <v>10.5202394545936</v>
      </c>
      <c r="AS187" s="192">
        <f t="shared" si="335"/>
        <v>3.75</v>
      </c>
      <c r="AT187" s="192">
        <f t="shared" si="336"/>
        <v>6.7702394545936</v>
      </c>
      <c r="AU187" s="5">
        <f t="shared" si="337"/>
        <v>0.356455764736665</v>
      </c>
      <c r="AW187" s="192">
        <f t="shared" si="275"/>
        <v>8.02083333333333</v>
      </c>
      <c r="AX187" s="192"/>
      <c r="AY187" s="192">
        <f t="shared" si="276"/>
        <v>23.1</v>
      </c>
      <c r="AZ187" s="192"/>
      <c r="BA187" s="192">
        <f t="shared" si="277"/>
        <v>8.68847396672845</v>
      </c>
      <c r="BB187" s="192"/>
      <c r="BC187" s="192"/>
      <c r="BD187" s="5">
        <f t="shared" si="278"/>
        <v>0.517051084084057</v>
      </c>
      <c r="BE187" s="5">
        <f t="shared" si="279"/>
        <v>0.379136408762689</v>
      </c>
      <c r="BF187" s="5">
        <f t="shared" si="280"/>
        <v>0.287082712807962</v>
      </c>
      <c r="BG187" s="5"/>
      <c r="BH187" s="217">
        <f t="shared" si="281"/>
        <v>0.0935696382433747</v>
      </c>
      <c r="BI187" s="217">
        <f t="shared" si="282"/>
        <v>0.0158785359136536</v>
      </c>
      <c r="BJ187" s="217">
        <f t="shared" si="283"/>
        <v>0.00118818588245555</v>
      </c>
      <c r="BK187" s="217">
        <f t="shared" si="284"/>
        <v>0.00235772969798416</v>
      </c>
      <c r="BL187">
        <f t="shared" si="285"/>
        <v>0.0029</v>
      </c>
      <c r="BM187">
        <f t="shared" si="329"/>
        <v>1.18818588245555e-6</v>
      </c>
      <c r="BN187">
        <f t="shared" si="330"/>
        <v>0.164557436934781</v>
      </c>
      <c r="BO187" s="220">
        <f t="shared" si="286"/>
        <v>115.894089737468</v>
      </c>
      <c r="BP187" s="5">
        <f t="shared" si="287"/>
        <v>0.29645</v>
      </c>
      <c r="BQ187" s="5">
        <f t="shared" si="288"/>
        <v>0.23716</v>
      </c>
      <c r="BR187" s="217"/>
      <c r="BT187" s="220">
        <f t="shared" si="289"/>
        <v>533.61</v>
      </c>
      <c r="BU187" s="217">
        <f t="shared" si="290"/>
        <v>0.0109610147656525</v>
      </c>
      <c r="BV187" s="217">
        <f t="shared" si="291"/>
        <v>0.0143744416449469</v>
      </c>
      <c r="BW187" s="217">
        <f t="shared" si="292"/>
        <v>0.00576915387952252</v>
      </c>
      <c r="BX187" s="217">
        <f t="shared" si="293"/>
        <v>0</v>
      </c>
      <c r="BY187" s="217">
        <f t="shared" si="274"/>
        <v>0.0430314402948156</v>
      </c>
      <c r="BZ187" s="217">
        <f t="shared" si="250"/>
        <v>0.0311046102901219</v>
      </c>
      <c r="CA187" s="225">
        <f t="shared" si="331"/>
        <v>0.00855493835367997</v>
      </c>
      <c r="CB187" s="220">
        <f t="shared" si="294"/>
        <v>113.795599228739</v>
      </c>
      <c r="CC187" s="5">
        <f t="shared" si="251"/>
        <v>0.749753815583276</v>
      </c>
      <c r="CD187" s="192">
        <f t="shared" si="295"/>
        <v>3.71939765094645</v>
      </c>
      <c r="CE187" s="5">
        <f t="shared" si="296"/>
        <v>0.832237993901456</v>
      </c>
      <c r="CF187" s="192">
        <f t="shared" si="297"/>
        <v>83.2237993901456</v>
      </c>
      <c r="CG187">
        <f t="shared" si="298"/>
        <v>77</v>
      </c>
      <c r="CI187" s="227">
        <f t="shared" si="332"/>
        <v>-50</v>
      </c>
      <c r="CJ187">
        <f t="shared" si="333"/>
        <v>-50</v>
      </c>
    </row>
    <row r="188" spans="5:88">
      <c r="E188" s="22">
        <v>78</v>
      </c>
      <c r="F188" s="25">
        <f t="shared" si="334"/>
        <v>0.39</v>
      </c>
      <c r="G188" s="25">
        <f t="shared" si="299"/>
        <v>0.312</v>
      </c>
      <c r="H188" s="25">
        <f t="shared" si="300"/>
        <v>7.02</v>
      </c>
      <c r="I188" s="25">
        <f t="shared" si="301"/>
        <v>1.56</v>
      </c>
      <c r="J188" s="212">
        <f t="shared" si="302"/>
        <v>10</v>
      </c>
      <c r="K188" s="131">
        <f t="shared" si="303"/>
        <v>5.47135573394674</v>
      </c>
      <c r="L188" s="131">
        <f t="shared" si="304"/>
        <v>22.2728</v>
      </c>
      <c r="M188" s="131"/>
      <c r="N188" s="25">
        <f t="shared" si="305"/>
        <v>0.551021874214288</v>
      </c>
      <c r="O188" s="27">
        <f t="shared" si="306"/>
        <v>3.04314353259255</v>
      </c>
      <c r="P188" s="27">
        <f t="shared" si="307"/>
        <v>0.676254118353899</v>
      </c>
      <c r="Q188" s="25">
        <f t="shared" si="308"/>
        <v>0.169063529588475</v>
      </c>
      <c r="R188" s="25">
        <f t="shared" si="309"/>
        <v>0.608628706518509</v>
      </c>
      <c r="S188" s="25">
        <f t="shared" si="310"/>
        <v>7.80293213485268</v>
      </c>
      <c r="T188" s="25">
        <f t="shared" si="311"/>
        <v>1.5</v>
      </c>
      <c r="U188" s="25">
        <f t="shared" si="312"/>
        <v>3.75</v>
      </c>
      <c r="V188" s="25">
        <f t="shared" si="313"/>
        <v>6.85387714188153</v>
      </c>
      <c r="W188" s="24">
        <f t="shared" si="314"/>
        <v>350</v>
      </c>
      <c r="X188" s="131">
        <f t="shared" si="315"/>
        <v>94.3051288335242</v>
      </c>
      <c r="Z188" s="25">
        <f t="shared" si="316"/>
        <v>0.404164837857961</v>
      </c>
      <c r="AA188" s="5">
        <f t="shared" si="317"/>
        <v>1.84673076249795</v>
      </c>
      <c r="AB188" s="5">
        <f t="shared" si="318"/>
        <v>0.0712813338693168</v>
      </c>
      <c r="AC188" s="5"/>
      <c r="AD188" s="5">
        <f t="shared" si="319"/>
        <v>1.37077542837631</v>
      </c>
      <c r="AE188" s="216">
        <f t="shared" si="320"/>
        <v>3475.61272676721</v>
      </c>
      <c r="AF188" s="217">
        <f t="shared" si="321"/>
        <v>0.0392736506425914</v>
      </c>
      <c r="AH188" s="5">
        <f t="shared" si="322"/>
        <v>1.40040810378363</v>
      </c>
      <c r="AI188" s="5">
        <f t="shared" si="323"/>
        <v>1.5</v>
      </c>
      <c r="AJ188" s="5">
        <f t="shared" si="324"/>
        <v>2.08888888888889</v>
      </c>
      <c r="AL188" s="216">
        <f t="shared" si="325"/>
        <v>390</v>
      </c>
      <c r="AM188" s="220">
        <f t="shared" si="326"/>
        <v>94.3051288335242</v>
      </c>
      <c r="AO188" t="str">
        <f t="shared" si="327"/>
        <v/>
      </c>
      <c r="AP188" t="str">
        <f t="shared" si="328"/>
        <v/>
      </c>
      <c r="AR188" s="192">
        <f t="shared" si="249"/>
        <v>10.6038771418815</v>
      </c>
      <c r="AS188" s="192">
        <f t="shared" si="335"/>
        <v>3.75</v>
      </c>
      <c r="AT188" s="192">
        <f t="shared" si="336"/>
        <v>6.85387714188153</v>
      </c>
      <c r="AU188" s="5">
        <f t="shared" si="337"/>
        <v>0.353644233125716</v>
      </c>
      <c r="AW188" s="192">
        <f t="shared" si="275"/>
        <v>8.125</v>
      </c>
      <c r="AX188" s="192"/>
      <c r="AY188" s="192">
        <f t="shared" si="276"/>
        <v>23.4</v>
      </c>
      <c r="AZ188" s="192"/>
      <c r="BA188" s="192">
        <f t="shared" si="277"/>
        <v>8.91004028444599</v>
      </c>
      <c r="BB188" s="192"/>
      <c r="BC188" s="192"/>
      <c r="BD188" s="5">
        <f t="shared" si="278"/>
        <v>0.51500793668087</v>
      </c>
      <c r="BE188" s="5">
        <f t="shared" si="279"/>
        <v>0.379963696332536</v>
      </c>
      <c r="BF188" s="5">
        <f t="shared" si="280"/>
        <v>0.28770913631764</v>
      </c>
      <c r="BG188" s="5"/>
      <c r="BH188" s="217">
        <f t="shared" si="281"/>
        <v>0.0928316111955004</v>
      </c>
      <c r="BI188" s="217">
        <f t="shared" si="282"/>
        <v>0.0157532945511249</v>
      </c>
      <c r="BJ188" s="217">
        <f t="shared" si="283"/>
        <v>0.00117881411041905</v>
      </c>
      <c r="BK188" s="217">
        <f t="shared" si="284"/>
        <v>0.00233913319252196</v>
      </c>
      <c r="BL188">
        <f t="shared" si="285"/>
        <v>0.0029</v>
      </c>
      <c r="BM188">
        <f t="shared" si="329"/>
        <v>1.17881411041905e-6</v>
      </c>
      <c r="BN188">
        <f t="shared" si="330"/>
        <v>0.163212120461086</v>
      </c>
      <c r="BO188" s="220">
        <f t="shared" si="286"/>
        <v>115.002853049566</v>
      </c>
      <c r="BP188" s="5">
        <f t="shared" si="287"/>
        <v>0.3003</v>
      </c>
      <c r="BQ188" s="5">
        <f t="shared" si="288"/>
        <v>0.24024</v>
      </c>
      <c r="BR188" s="217"/>
      <c r="BT188" s="220">
        <f t="shared" si="289"/>
        <v>540.54</v>
      </c>
      <c r="BU188" s="217">
        <f t="shared" si="290"/>
        <v>0.0108745601686158</v>
      </c>
      <c r="BV188" s="217">
        <f t="shared" si="291"/>
        <v>0.0144372410530684</v>
      </c>
      <c r="BW188" s="217">
        <f t="shared" si="292"/>
        <v>0.00579435829844497</v>
      </c>
      <c r="BX188" s="217">
        <f t="shared" si="293"/>
        <v>0</v>
      </c>
      <c r="BY188" s="217">
        <f t="shared" si="274"/>
        <v>0.0430335889122925</v>
      </c>
      <c r="BZ188" s="217">
        <f t="shared" si="250"/>
        <v>0.0311061595201291</v>
      </c>
      <c r="CA188" s="225">
        <f t="shared" si="331"/>
        <v>0.00848746159501718</v>
      </c>
      <c r="CB188" s="220">
        <f t="shared" si="294"/>
        <v>113.733369547568</v>
      </c>
      <c r="CC188" s="5">
        <f t="shared" si="251"/>
        <v>0.755273170968396</v>
      </c>
      <c r="CD188" s="192">
        <f t="shared" si="295"/>
        <v>3.71939765094645</v>
      </c>
      <c r="CE188" s="5">
        <f t="shared" si="296"/>
        <v>0.831211456433975</v>
      </c>
      <c r="CF188" s="192">
        <f t="shared" si="297"/>
        <v>83.1211456433975</v>
      </c>
      <c r="CG188">
        <f t="shared" si="298"/>
        <v>78</v>
      </c>
      <c r="CI188" s="227">
        <f t="shared" si="332"/>
        <v>-50</v>
      </c>
      <c r="CJ188">
        <f t="shared" si="333"/>
        <v>-50</v>
      </c>
    </row>
    <row r="189" spans="5:88">
      <c r="E189" s="22">
        <v>79</v>
      </c>
      <c r="F189" s="25">
        <f t="shared" si="334"/>
        <v>0.395</v>
      </c>
      <c r="G189" s="25">
        <f t="shared" si="299"/>
        <v>0.316</v>
      </c>
      <c r="H189" s="25">
        <f t="shared" si="300"/>
        <v>7.11</v>
      </c>
      <c r="I189" s="25">
        <f t="shared" si="301"/>
        <v>1.58</v>
      </c>
      <c r="J189" s="212">
        <f t="shared" si="302"/>
        <v>10</v>
      </c>
      <c r="K189" s="131">
        <f t="shared" si="303"/>
        <v>5.4054752816183</v>
      </c>
      <c r="L189" s="131">
        <f t="shared" si="304"/>
        <v>22.2728</v>
      </c>
      <c r="M189" s="131"/>
      <c r="N189" s="25">
        <f t="shared" si="305"/>
        <v>0.551021874214288</v>
      </c>
      <c r="O189" s="27">
        <f t="shared" si="306"/>
        <v>3.04314353259255</v>
      </c>
      <c r="P189" s="27">
        <f t="shared" si="307"/>
        <v>0.676254118353899</v>
      </c>
      <c r="Q189" s="25">
        <f t="shared" si="308"/>
        <v>0.169063529588475</v>
      </c>
      <c r="R189" s="25">
        <f t="shared" si="309"/>
        <v>0.608628706518509</v>
      </c>
      <c r="S189" s="25">
        <f t="shared" si="310"/>
        <v>7.70416084200645</v>
      </c>
      <c r="T189" s="25">
        <f t="shared" si="311"/>
        <v>1.5</v>
      </c>
      <c r="U189" s="25">
        <f t="shared" si="312"/>
        <v>3.75</v>
      </c>
      <c r="V189" s="25">
        <f t="shared" si="313"/>
        <v>6.93741031940732</v>
      </c>
      <c r="W189" s="24">
        <f t="shared" si="314"/>
        <v>350</v>
      </c>
      <c r="X189" s="131">
        <f t="shared" si="315"/>
        <v>93.5680366069687</v>
      </c>
      <c r="Z189" s="25">
        <f t="shared" si="316"/>
        <v>0.401005871172723</v>
      </c>
      <c r="AA189" s="5">
        <f t="shared" si="317"/>
        <v>1.85462817921105</v>
      </c>
      <c r="AB189" s="5">
        <f t="shared" si="318"/>
        <v>0.0710266435868526</v>
      </c>
      <c r="AC189" s="5"/>
      <c r="AD189" s="5">
        <f t="shared" si="319"/>
        <v>1.38748206388146</v>
      </c>
      <c r="AE189" s="216">
        <f t="shared" si="320"/>
        <v>3477.78556627338</v>
      </c>
      <c r="AF189" s="217">
        <f t="shared" si="321"/>
        <v>0.0397523071407021</v>
      </c>
      <c r="AH189" s="5">
        <f t="shared" si="322"/>
        <v>1.40935648942548</v>
      </c>
      <c r="AI189" s="5">
        <f t="shared" si="323"/>
        <v>1.5</v>
      </c>
      <c r="AJ189" s="5">
        <f t="shared" si="324"/>
        <v>2.08888888888889</v>
      </c>
      <c r="AL189" s="216">
        <f t="shared" si="325"/>
        <v>395</v>
      </c>
      <c r="AM189" s="220">
        <f t="shared" si="326"/>
        <v>93.5680366069687</v>
      </c>
      <c r="AO189" t="str">
        <f t="shared" si="327"/>
        <v/>
      </c>
      <c r="AP189" t="str">
        <f t="shared" si="328"/>
        <v/>
      </c>
      <c r="AR189" s="192">
        <f t="shared" si="249"/>
        <v>10.6874103194073</v>
      </c>
      <c r="AS189" s="192">
        <f t="shared" si="335"/>
        <v>3.75</v>
      </c>
      <c r="AT189" s="192">
        <f t="shared" si="336"/>
        <v>6.93741031940732</v>
      </c>
      <c r="AU189" s="5">
        <f t="shared" si="337"/>
        <v>0.350880137276133</v>
      </c>
      <c r="AW189" s="192">
        <f t="shared" si="275"/>
        <v>8.22916666666667</v>
      </c>
      <c r="AX189" s="192"/>
      <c r="AY189" s="192">
        <f t="shared" si="276"/>
        <v>23.7</v>
      </c>
      <c r="AZ189" s="192"/>
      <c r="BA189" s="192">
        <f t="shared" si="277"/>
        <v>9.13425692055298</v>
      </c>
      <c r="BB189" s="192"/>
      <c r="BC189" s="192"/>
      <c r="BD189" s="5">
        <f t="shared" si="278"/>
        <v>0.512991328344934</v>
      </c>
      <c r="BE189" s="5">
        <f t="shared" si="279"/>
        <v>0.380775273862549</v>
      </c>
      <c r="BF189" s="5">
        <f t="shared" si="280"/>
        <v>0.288323664159296</v>
      </c>
      <c r="BG189" s="5"/>
      <c r="BH189" s="217">
        <f t="shared" si="281"/>
        <v>0.0921060360349849</v>
      </c>
      <c r="BI189" s="217">
        <f t="shared" si="282"/>
        <v>0.0156301662430477</v>
      </c>
      <c r="BJ189" s="217">
        <f t="shared" si="283"/>
        <v>0.00116960045758711</v>
      </c>
      <c r="BK189" s="217">
        <f t="shared" si="284"/>
        <v>0.00232085044465435</v>
      </c>
      <c r="BL189">
        <f t="shared" si="285"/>
        <v>0.0029</v>
      </c>
      <c r="BM189">
        <f t="shared" si="329"/>
        <v>1.16960045758711e-6</v>
      </c>
      <c r="BN189">
        <f t="shared" si="330"/>
        <v>0.161890650352952</v>
      </c>
      <c r="BO189" s="220">
        <f t="shared" si="286"/>
        <v>114.126653180274</v>
      </c>
      <c r="BP189" s="5">
        <f t="shared" si="287"/>
        <v>0.30415</v>
      </c>
      <c r="BQ189" s="5">
        <f t="shared" si="288"/>
        <v>0.24332</v>
      </c>
      <c r="BR189" s="217"/>
      <c r="BT189" s="220">
        <f t="shared" si="289"/>
        <v>547.47</v>
      </c>
      <c r="BU189" s="217">
        <f t="shared" si="290"/>
        <v>0.0107895642212411</v>
      </c>
      <c r="BV189" s="217">
        <f t="shared" si="291"/>
        <v>0.01449898091851</v>
      </c>
      <c r="BW189" s="217">
        <f t="shared" si="292"/>
        <v>0.005819137471997</v>
      </c>
      <c r="BX189" s="217">
        <f t="shared" si="293"/>
        <v>0</v>
      </c>
      <c r="BY189" s="217">
        <f t="shared" si="274"/>
        <v>0.0430357012791215</v>
      </c>
      <c r="BZ189" s="217">
        <f t="shared" si="250"/>
        <v>0.031107682611748</v>
      </c>
      <c r="CA189" s="225">
        <f t="shared" si="331"/>
        <v>0.00842112329462719</v>
      </c>
      <c r="CB189" s="220">
        <f t="shared" si="294"/>
        <v>113.672189797245</v>
      </c>
      <c r="CC189" s="5">
        <f t="shared" si="251"/>
        <v>0.7608174749267</v>
      </c>
      <c r="CD189" s="192">
        <f t="shared" si="295"/>
        <v>3.71939765094645</v>
      </c>
      <c r="CE189" s="5">
        <f t="shared" si="296"/>
        <v>0.830182825254753</v>
      </c>
      <c r="CF189" s="192">
        <f t="shared" si="297"/>
        <v>83.0182825254753</v>
      </c>
      <c r="CG189">
        <f t="shared" si="298"/>
        <v>79</v>
      </c>
      <c r="CI189" s="227">
        <f t="shared" si="332"/>
        <v>-50</v>
      </c>
      <c r="CJ189">
        <f t="shared" si="333"/>
        <v>-50</v>
      </c>
    </row>
    <row r="190" spans="5:88">
      <c r="E190" s="22">
        <v>80</v>
      </c>
      <c r="F190" s="25">
        <f t="shared" si="334"/>
        <v>0.4</v>
      </c>
      <c r="G190" s="25">
        <f t="shared" si="299"/>
        <v>0.32</v>
      </c>
      <c r="H190" s="25">
        <f t="shared" si="300"/>
        <v>7.2</v>
      </c>
      <c r="I190" s="25">
        <f t="shared" si="301"/>
        <v>1.6</v>
      </c>
      <c r="J190" s="212">
        <f t="shared" si="302"/>
        <v>10</v>
      </c>
      <c r="K190" s="131">
        <f t="shared" si="303"/>
        <v>5.34124184059807</v>
      </c>
      <c r="L190" s="131">
        <f t="shared" si="304"/>
        <v>22.2728</v>
      </c>
      <c r="M190" s="131"/>
      <c r="N190" s="25">
        <f t="shared" si="305"/>
        <v>0.551021874214288</v>
      </c>
      <c r="O190" s="27">
        <f t="shared" si="306"/>
        <v>3.04314353259255</v>
      </c>
      <c r="P190" s="27">
        <f t="shared" si="307"/>
        <v>0.676254118353899</v>
      </c>
      <c r="Q190" s="25">
        <f t="shared" si="308"/>
        <v>0.169063529588475</v>
      </c>
      <c r="R190" s="25">
        <f t="shared" si="309"/>
        <v>0.608628706518509</v>
      </c>
      <c r="S190" s="25">
        <f t="shared" si="310"/>
        <v>7.60785883148136</v>
      </c>
      <c r="T190" s="25">
        <f t="shared" si="311"/>
        <v>1.5</v>
      </c>
      <c r="U190" s="25">
        <f t="shared" si="312"/>
        <v>3.75</v>
      </c>
      <c r="V190" s="25">
        <f t="shared" si="313"/>
        <v>7.02083918293448</v>
      </c>
      <c r="W190" s="24">
        <f t="shared" si="314"/>
        <v>350</v>
      </c>
      <c r="X190" s="131">
        <f t="shared" si="315"/>
        <v>92.843276463028</v>
      </c>
      <c r="Z190" s="25">
        <f t="shared" si="316"/>
        <v>0.39789975627012</v>
      </c>
      <c r="AA190" s="5">
        <f t="shared" si="317"/>
        <v>1.86239346646756</v>
      </c>
      <c r="AB190" s="5">
        <f t="shared" si="318"/>
        <v>0.070771568255153</v>
      </c>
      <c r="AC190" s="5"/>
      <c r="AD190" s="5">
        <f t="shared" si="319"/>
        <v>1.4041678365869</v>
      </c>
      <c r="AE190" s="216">
        <f t="shared" si="320"/>
        <v>3479.95840577956</v>
      </c>
      <c r="AF190" s="217">
        <f t="shared" si="321"/>
        <v>0.0402303659053759</v>
      </c>
      <c r="AH190" s="5">
        <f t="shared" si="322"/>
        <v>1.41824841668467</v>
      </c>
      <c r="AI190" s="5">
        <f t="shared" si="323"/>
        <v>1.5</v>
      </c>
      <c r="AJ190" s="5">
        <f t="shared" si="324"/>
        <v>2.08888888888889</v>
      </c>
      <c r="AL190" s="216">
        <f t="shared" si="325"/>
        <v>400</v>
      </c>
      <c r="AM190" s="220">
        <f t="shared" si="326"/>
        <v>92.843276463028</v>
      </c>
      <c r="AO190" t="str">
        <f t="shared" si="327"/>
        <v/>
      </c>
      <c r="AP190" t="str">
        <f t="shared" si="328"/>
        <v/>
      </c>
      <c r="AR190" s="192">
        <f t="shared" si="249"/>
        <v>10.7708391829345</v>
      </c>
      <c r="AS190" s="192">
        <f t="shared" si="335"/>
        <v>3.75</v>
      </c>
      <c r="AT190" s="192">
        <f t="shared" si="336"/>
        <v>7.02083918293448</v>
      </c>
      <c r="AU190" s="5">
        <f t="shared" si="337"/>
        <v>0.348162286736355</v>
      </c>
      <c r="AW190" s="192">
        <f t="shared" si="275"/>
        <v>8.33333333333334</v>
      </c>
      <c r="AX190" s="192"/>
      <c r="AY190" s="192">
        <f t="shared" si="276"/>
        <v>24</v>
      </c>
      <c r="AZ190" s="192"/>
      <c r="BA190" s="192">
        <f t="shared" si="277"/>
        <v>9.36111891057931</v>
      </c>
      <c r="BB190" s="192"/>
      <c r="BC190" s="192"/>
      <c r="BD190" s="5">
        <f t="shared" si="278"/>
        <v>0.511000699659273</v>
      </c>
      <c r="BE190" s="5">
        <f t="shared" si="279"/>
        <v>0.381571590027838</v>
      </c>
      <c r="BF190" s="5">
        <f t="shared" si="280"/>
        <v>0.288926636070462</v>
      </c>
      <c r="BG190" s="5"/>
      <c r="BH190" s="217">
        <f t="shared" si="281"/>
        <v>0.0913926002682932</v>
      </c>
      <c r="BI190" s="217">
        <f t="shared" si="282"/>
        <v>0.015509097960043</v>
      </c>
      <c r="BJ190" s="217">
        <f t="shared" si="283"/>
        <v>0.00116054095578785</v>
      </c>
      <c r="BK190" s="217">
        <f t="shared" si="284"/>
        <v>0.0023028735802963</v>
      </c>
      <c r="BL190">
        <f t="shared" si="285"/>
        <v>0.0029</v>
      </c>
      <c r="BM190">
        <f t="shared" si="329"/>
        <v>1.16054095578785e-6</v>
      </c>
      <c r="BN190">
        <f t="shared" si="330"/>
        <v>0.160592398148247</v>
      </c>
      <c r="BO190" s="220">
        <f t="shared" si="286"/>
        <v>113.26511276442</v>
      </c>
      <c r="BP190" s="5">
        <f t="shared" si="287"/>
        <v>0.308</v>
      </c>
      <c r="BQ190" s="5">
        <f t="shared" si="288"/>
        <v>0.2464</v>
      </c>
      <c r="BR190" s="217"/>
      <c r="BT190" s="220">
        <f t="shared" si="289"/>
        <v>554.4</v>
      </c>
      <c r="BU190" s="217">
        <f t="shared" si="290"/>
        <v>0.0107059903171429</v>
      </c>
      <c r="BV190" s="217">
        <f t="shared" si="291"/>
        <v>0.0145596878316373</v>
      </c>
      <c r="BW190" s="217">
        <f t="shared" si="292"/>
        <v>0.00584350207216952</v>
      </c>
      <c r="BX190" s="217">
        <f t="shared" si="293"/>
        <v>0</v>
      </c>
      <c r="BY190" s="217">
        <f t="shared" si="274"/>
        <v>0.0430377783050387</v>
      </c>
      <c r="BZ190" s="217">
        <f t="shared" si="250"/>
        <v>0.0311091802209497</v>
      </c>
      <c r="CA190" s="225">
        <f t="shared" si="331"/>
        <v>0.00835589488167252</v>
      </c>
      <c r="CB190" s="220">
        <f t="shared" si="294"/>
        <v>113.612033628611</v>
      </c>
      <c r="CC190" s="5">
        <f t="shared" si="251"/>
        <v>0.766386071334958</v>
      </c>
      <c r="CD190" s="192">
        <f t="shared" si="295"/>
        <v>3.71939765094645</v>
      </c>
      <c r="CE190" s="5">
        <f t="shared" si="296"/>
        <v>0.8291522465677</v>
      </c>
      <c r="CF190" s="192">
        <f t="shared" si="297"/>
        <v>82.91522465677</v>
      </c>
      <c r="CG190">
        <f t="shared" si="298"/>
        <v>80</v>
      </c>
      <c r="CI190" s="227">
        <f t="shared" si="332"/>
        <v>-50</v>
      </c>
      <c r="CJ190">
        <f t="shared" si="333"/>
        <v>-50</v>
      </c>
    </row>
    <row r="191" spans="5:88">
      <c r="E191" s="22">
        <v>81</v>
      </c>
      <c r="F191" s="25">
        <f t="shared" si="334"/>
        <v>0.405</v>
      </c>
      <c r="G191" s="25">
        <f t="shared" si="299"/>
        <v>0.324</v>
      </c>
      <c r="H191" s="25">
        <f t="shared" si="300"/>
        <v>7.29</v>
      </c>
      <c r="I191" s="25">
        <f t="shared" si="301"/>
        <v>1.62</v>
      </c>
      <c r="J191" s="212">
        <f t="shared" si="302"/>
        <v>10</v>
      </c>
      <c r="K191" s="131">
        <f t="shared" si="303"/>
        <v>5.27859441046723</v>
      </c>
      <c r="L191" s="131">
        <f t="shared" si="304"/>
        <v>22.2728</v>
      </c>
      <c r="M191" s="131"/>
      <c r="N191" s="25">
        <f t="shared" si="305"/>
        <v>0.551021874214288</v>
      </c>
      <c r="O191" s="27">
        <f t="shared" si="306"/>
        <v>3.04314353259255</v>
      </c>
      <c r="P191" s="27">
        <f t="shared" si="307"/>
        <v>0.676254118353899</v>
      </c>
      <c r="Q191" s="25">
        <f t="shared" si="308"/>
        <v>0.169063529588475</v>
      </c>
      <c r="R191" s="25">
        <f t="shared" si="309"/>
        <v>0.608628706518509</v>
      </c>
      <c r="S191" s="25">
        <f t="shared" si="310"/>
        <v>7.51393464837666</v>
      </c>
      <c r="T191" s="25">
        <f t="shared" si="311"/>
        <v>1.5</v>
      </c>
      <c r="U191" s="25">
        <f t="shared" si="312"/>
        <v>3.75</v>
      </c>
      <c r="V191" s="25">
        <f t="shared" si="313"/>
        <v>7.10416392773786</v>
      </c>
      <c r="W191" s="24">
        <f t="shared" si="314"/>
        <v>350</v>
      </c>
      <c r="X191" s="131">
        <f t="shared" si="315"/>
        <v>92.1305414822873</v>
      </c>
      <c r="Z191" s="25">
        <f t="shared" si="316"/>
        <v>0.394845177781231</v>
      </c>
      <c r="AA191" s="5">
        <f t="shared" si="317"/>
        <v>1.87002991268978</v>
      </c>
      <c r="AB191" s="5">
        <f t="shared" si="318"/>
        <v>0.0705162321320752</v>
      </c>
      <c r="AC191" s="5"/>
      <c r="AD191" s="5">
        <f t="shared" si="319"/>
        <v>1.42083278554757</v>
      </c>
      <c r="AE191" s="216">
        <f t="shared" si="320"/>
        <v>3482.13124528573</v>
      </c>
      <c r="AF191" s="217">
        <f t="shared" si="321"/>
        <v>0.0407078280555645</v>
      </c>
      <c r="AH191" s="5">
        <f t="shared" si="322"/>
        <v>1.42708494090977</v>
      </c>
      <c r="AI191" s="5">
        <f t="shared" si="323"/>
        <v>1.5</v>
      </c>
      <c r="AJ191" s="5">
        <f t="shared" si="324"/>
        <v>2.08888888888889</v>
      </c>
      <c r="AL191" s="216">
        <f t="shared" si="325"/>
        <v>405</v>
      </c>
      <c r="AM191" s="220">
        <f t="shared" si="326"/>
        <v>92.1305414822873</v>
      </c>
      <c r="AO191" t="str">
        <f t="shared" si="327"/>
        <v/>
      </c>
      <c r="AP191" t="str">
        <f t="shared" si="328"/>
        <v/>
      </c>
      <c r="AR191" s="192">
        <f t="shared" si="249"/>
        <v>10.8541639277379</v>
      </c>
      <c r="AS191" s="192">
        <f t="shared" si="335"/>
        <v>3.75</v>
      </c>
      <c r="AT191" s="192">
        <f t="shared" si="336"/>
        <v>7.10416392773786</v>
      </c>
      <c r="AU191" s="5">
        <f t="shared" si="337"/>
        <v>0.345489530558578</v>
      </c>
      <c r="AW191" s="192">
        <f t="shared" si="275"/>
        <v>8.4375</v>
      </c>
      <c r="AX191" s="192"/>
      <c r="AY191" s="192">
        <f t="shared" si="276"/>
        <v>24.3</v>
      </c>
      <c r="AZ191" s="192"/>
      <c r="BA191" s="192">
        <f t="shared" si="277"/>
        <v>9.59062130244611</v>
      </c>
      <c r="BB191" s="192"/>
      <c r="BC191" s="192"/>
      <c r="BD191" s="5">
        <f t="shared" si="278"/>
        <v>0.50903550752274</v>
      </c>
      <c r="BE191" s="5">
        <f t="shared" si="279"/>
        <v>0.382353076363267</v>
      </c>
      <c r="BF191" s="5">
        <f t="shared" si="280"/>
        <v>0.289518378810046</v>
      </c>
      <c r="BG191" s="5"/>
      <c r="BH191" s="217">
        <f t="shared" si="281"/>
        <v>0.0906910017716266</v>
      </c>
      <c r="BI191" s="217">
        <f t="shared" si="282"/>
        <v>0.0153900384324502</v>
      </c>
      <c r="BJ191" s="217">
        <f t="shared" si="283"/>
        <v>0.00115163176852859</v>
      </c>
      <c r="BK191" s="217">
        <f t="shared" si="284"/>
        <v>0.00228519498665517</v>
      </c>
      <c r="BL191">
        <f t="shared" si="285"/>
        <v>0.0029</v>
      </c>
      <c r="BM191">
        <f t="shared" si="329"/>
        <v>1.15163176852859e-6</v>
      </c>
      <c r="BN191">
        <f t="shared" si="330"/>
        <v>0.159316757276375</v>
      </c>
      <c r="BO191" s="220">
        <f t="shared" si="286"/>
        <v>112.417866959261</v>
      </c>
      <c r="BP191" s="5">
        <f t="shared" si="287"/>
        <v>0.31185</v>
      </c>
      <c r="BQ191" s="5">
        <f t="shared" si="288"/>
        <v>0.24948</v>
      </c>
      <c r="BR191" s="217"/>
      <c r="BT191" s="220">
        <f t="shared" si="289"/>
        <v>561.33</v>
      </c>
      <c r="BU191" s="217">
        <f t="shared" si="290"/>
        <v>0.0106238030646763</v>
      </c>
      <c r="BV191" s="217">
        <f t="shared" si="291"/>
        <v>0.0146193875004455</v>
      </c>
      <c r="BW191" s="217">
        <f t="shared" si="292"/>
        <v>0.00586746241681581</v>
      </c>
      <c r="BX191" s="217">
        <f t="shared" si="293"/>
        <v>0</v>
      </c>
      <c r="BY191" s="217">
        <f t="shared" si="274"/>
        <v>0.0430398208695921</v>
      </c>
      <c r="BZ191" s="217">
        <f t="shared" si="250"/>
        <v>0.0311106529819375</v>
      </c>
      <c r="CA191" s="225">
        <f t="shared" si="331"/>
        <v>0.00829174873340586</v>
      </c>
      <c r="CB191" s="220">
        <f t="shared" si="294"/>
        <v>113.552875566873</v>
      </c>
      <c r="CC191" s="5">
        <f t="shared" si="251"/>
        <v>0.771978326879373</v>
      </c>
      <c r="CD191" s="192">
        <f t="shared" si="295"/>
        <v>3.71939765094645</v>
      </c>
      <c r="CE191" s="5">
        <f t="shared" si="296"/>
        <v>0.828119861109229</v>
      </c>
      <c r="CF191" s="192">
        <f t="shared" si="297"/>
        <v>82.8119861109229</v>
      </c>
      <c r="CG191">
        <f t="shared" si="298"/>
        <v>81</v>
      </c>
      <c r="CI191" s="227">
        <f t="shared" si="332"/>
        <v>-50</v>
      </c>
      <c r="CJ191">
        <f t="shared" si="333"/>
        <v>-50</v>
      </c>
    </row>
    <row r="192" spans="5:88">
      <c r="E192" s="22">
        <v>82</v>
      </c>
      <c r="F192" s="25">
        <f t="shared" si="334"/>
        <v>0.41</v>
      </c>
      <c r="G192" s="25">
        <f t="shared" si="299"/>
        <v>0.328</v>
      </c>
      <c r="H192" s="25">
        <f t="shared" si="300"/>
        <v>7.38</v>
      </c>
      <c r="I192" s="25">
        <f t="shared" si="301"/>
        <v>1.64</v>
      </c>
      <c r="J192" s="212">
        <f t="shared" si="302"/>
        <v>10</v>
      </c>
      <c r="K192" s="131">
        <f t="shared" si="303"/>
        <v>5.21747496643714</v>
      </c>
      <c r="L192" s="131">
        <f t="shared" si="304"/>
        <v>22.2728</v>
      </c>
      <c r="M192" s="131"/>
      <c r="N192" s="25">
        <f t="shared" si="305"/>
        <v>0.551021874214288</v>
      </c>
      <c r="O192" s="27">
        <f t="shared" si="306"/>
        <v>3.04314353259255</v>
      </c>
      <c r="P192" s="27">
        <f t="shared" si="307"/>
        <v>0.676254118353899</v>
      </c>
      <c r="Q192" s="25">
        <f t="shared" si="308"/>
        <v>0.169063529588475</v>
      </c>
      <c r="R192" s="25">
        <f t="shared" si="309"/>
        <v>0.608628706518509</v>
      </c>
      <c r="S192" s="25">
        <f t="shared" si="310"/>
        <v>7.42230129900621</v>
      </c>
      <c r="T192" s="25">
        <f t="shared" si="311"/>
        <v>1.5</v>
      </c>
      <c r="U192" s="25">
        <f t="shared" si="312"/>
        <v>3.75</v>
      </c>
      <c r="V192" s="25">
        <f t="shared" si="313"/>
        <v>7.18738474860525</v>
      </c>
      <c r="W192" s="24">
        <f t="shared" si="314"/>
        <v>350</v>
      </c>
      <c r="X192" s="131">
        <f t="shared" si="315"/>
        <v>91.4295348463005</v>
      </c>
      <c r="Z192" s="25">
        <f t="shared" si="316"/>
        <v>0.391840863627002</v>
      </c>
      <c r="AA192" s="5">
        <f t="shared" si="317"/>
        <v>1.87754069807535</v>
      </c>
      <c r="AB192" s="5">
        <f t="shared" si="318"/>
        <v>0.0702607516430596</v>
      </c>
      <c r="AC192" s="5"/>
      <c r="AD192" s="5">
        <f t="shared" si="319"/>
        <v>1.43747694972105</v>
      </c>
      <c r="AE192" s="216">
        <f t="shared" si="320"/>
        <v>3484.3040847919</v>
      </c>
      <c r="AF192" s="217">
        <f t="shared" si="321"/>
        <v>0.0411846947074284</v>
      </c>
      <c r="AH192" s="5">
        <f t="shared" si="322"/>
        <v>1.43586708497489</v>
      </c>
      <c r="AI192" s="5">
        <f t="shared" si="323"/>
        <v>1.5</v>
      </c>
      <c r="AJ192" s="5">
        <f t="shared" si="324"/>
        <v>2.08888888888889</v>
      </c>
      <c r="AL192" s="216">
        <f t="shared" si="325"/>
        <v>410</v>
      </c>
      <c r="AM192" s="220">
        <f t="shared" si="326"/>
        <v>91.4295348463005</v>
      </c>
      <c r="AO192" t="str">
        <f t="shared" si="327"/>
        <v/>
      </c>
      <c r="AP192" t="str">
        <f t="shared" si="328"/>
        <v/>
      </c>
      <c r="AR192" s="192">
        <f t="shared" si="249"/>
        <v>10.9373847486053</v>
      </c>
      <c r="AS192" s="192">
        <f t="shared" si="335"/>
        <v>3.75</v>
      </c>
      <c r="AT192" s="192">
        <f t="shared" si="336"/>
        <v>7.18738474860525</v>
      </c>
      <c r="AU192" s="5">
        <f t="shared" si="337"/>
        <v>0.342860755673627</v>
      </c>
      <c r="AW192" s="192">
        <f t="shared" si="275"/>
        <v>8.54166666666667</v>
      </c>
      <c r="AX192" s="192"/>
      <c r="AY192" s="192">
        <f t="shared" si="276"/>
        <v>24.6</v>
      </c>
      <c r="AZ192" s="192"/>
      <c r="BA192" s="192">
        <f t="shared" si="277"/>
        <v>9.82275915642718</v>
      </c>
      <c r="BB192" s="192"/>
      <c r="BC192" s="192"/>
      <c r="BD192" s="5">
        <f t="shared" si="278"/>
        <v>0.507095224543892</v>
      </c>
      <c r="BE192" s="5">
        <f t="shared" si="279"/>
        <v>0.383120148084886</v>
      </c>
      <c r="BF192" s="5">
        <f t="shared" si="280"/>
        <v>0.290099206780325</v>
      </c>
      <c r="BG192" s="5"/>
      <c r="BH192" s="217">
        <f t="shared" si="281"/>
        <v>0.0900009483643271</v>
      </c>
      <c r="BI192" s="217">
        <f t="shared" si="282"/>
        <v>0.0152729380779351</v>
      </c>
      <c r="BJ192" s="217">
        <f t="shared" si="283"/>
        <v>0.00114286918557876</v>
      </c>
      <c r="BK192" s="217">
        <f t="shared" si="284"/>
        <v>0.00226780730148156</v>
      </c>
      <c r="BL192">
        <f t="shared" si="285"/>
        <v>0.0029</v>
      </c>
      <c r="BM192">
        <f t="shared" si="329"/>
        <v>1.14286918557876e-6</v>
      </c>
      <c r="BN192">
        <f t="shared" si="330"/>
        <v>0.158063142113307</v>
      </c>
      <c r="BO192" s="220">
        <f t="shared" si="286"/>
        <v>111.584562929323</v>
      </c>
      <c r="BP192" s="5">
        <f t="shared" si="287"/>
        <v>0.3157</v>
      </c>
      <c r="BQ192" s="5">
        <f t="shared" si="288"/>
        <v>0.25256</v>
      </c>
      <c r="BR192" s="217"/>
      <c r="BT192" s="220">
        <f t="shared" si="289"/>
        <v>568.26</v>
      </c>
      <c r="BU192" s="217">
        <f t="shared" si="290"/>
        <v>0.010542968236964</v>
      </c>
      <c r="BV192" s="217">
        <f t="shared" si="291"/>
        <v>0.0146781047868585</v>
      </c>
      <c r="BW192" s="217">
        <f t="shared" si="292"/>
        <v>0.00589102848422017</v>
      </c>
      <c r="BX192" s="217">
        <f t="shared" si="293"/>
        <v>0</v>
      </c>
      <c r="BY192" s="217">
        <f t="shared" si="274"/>
        <v>0.0430418298233835</v>
      </c>
      <c r="BZ192" s="217">
        <f t="shared" si="250"/>
        <v>0.0311121015080427</v>
      </c>
      <c r="CA192" s="225">
        <f t="shared" si="331"/>
        <v>0.00822865813616705</v>
      </c>
      <c r="CB192" s="220">
        <f t="shared" si="294"/>
        <v>113.494690975636</v>
      </c>
      <c r="CC192" s="5">
        <f t="shared" si="251"/>
        <v>0.777593630072858</v>
      </c>
      <c r="CD192" s="192">
        <f t="shared" si="295"/>
        <v>3.71939765094645</v>
      </c>
      <c r="CE192" s="5">
        <f t="shared" si="296"/>
        <v>0.827085804378832</v>
      </c>
      <c r="CF192" s="192">
        <f t="shared" si="297"/>
        <v>82.7085804378832</v>
      </c>
      <c r="CG192">
        <f t="shared" si="298"/>
        <v>82</v>
      </c>
      <c r="CI192" s="227">
        <f t="shared" si="332"/>
        <v>-50</v>
      </c>
      <c r="CJ192">
        <f t="shared" si="333"/>
        <v>-50</v>
      </c>
    </row>
    <row r="193" spans="5:88">
      <c r="E193" s="22">
        <v>83</v>
      </c>
      <c r="F193" s="25">
        <f t="shared" si="334"/>
        <v>0.415</v>
      </c>
      <c r="G193" s="25">
        <f t="shared" si="299"/>
        <v>0.332</v>
      </c>
      <c r="H193" s="25">
        <f t="shared" si="300"/>
        <v>7.47</v>
      </c>
      <c r="I193" s="25">
        <f t="shared" si="301"/>
        <v>1.66</v>
      </c>
      <c r="J193" s="212">
        <f t="shared" si="302"/>
        <v>10</v>
      </c>
      <c r="K193" s="131">
        <f t="shared" si="303"/>
        <v>5.15782828009453</v>
      </c>
      <c r="L193" s="131">
        <f t="shared" si="304"/>
        <v>22.2728</v>
      </c>
      <c r="M193" s="131"/>
      <c r="N193" s="25">
        <f t="shared" si="305"/>
        <v>0.551021874214288</v>
      </c>
      <c r="O193" s="27">
        <f t="shared" si="306"/>
        <v>3.04314353259255</v>
      </c>
      <c r="P193" s="27">
        <f t="shared" si="307"/>
        <v>0.676254118353899</v>
      </c>
      <c r="Q193" s="25">
        <f t="shared" si="308"/>
        <v>0.169063529588475</v>
      </c>
      <c r="R193" s="25">
        <f t="shared" si="309"/>
        <v>0.608628706518509</v>
      </c>
      <c r="S193" s="25">
        <f t="shared" si="310"/>
        <v>7.33287598215071</v>
      </c>
      <c r="T193" s="25">
        <f t="shared" si="311"/>
        <v>1.5</v>
      </c>
      <c r="U193" s="25">
        <f t="shared" si="312"/>
        <v>3.75</v>
      </c>
      <c r="V193" s="25">
        <f t="shared" si="313"/>
        <v>7.27050183983882</v>
      </c>
      <c r="W193" s="24">
        <f t="shared" si="314"/>
        <v>350</v>
      </c>
      <c r="X193" s="131">
        <f t="shared" si="315"/>
        <v>90.7399694254418</v>
      </c>
      <c r="Z193" s="25">
        <f t="shared" si="316"/>
        <v>0.388885583251893</v>
      </c>
      <c r="AA193" s="5">
        <f t="shared" si="317"/>
        <v>1.88492889901312</v>
      </c>
      <c r="AB193" s="5">
        <f t="shared" si="318"/>
        <v>0.0700052358521926</v>
      </c>
      <c r="AC193" s="5"/>
      <c r="AD193" s="5">
        <f t="shared" si="319"/>
        <v>1.45410036796776</v>
      </c>
      <c r="AE193" s="216">
        <f t="shared" si="320"/>
        <v>3486.47692429808</v>
      </c>
      <c r="AF193" s="217">
        <f t="shared" si="321"/>
        <v>0.0416609669743455</v>
      </c>
      <c r="AH193" s="5">
        <f t="shared" si="322"/>
        <v>1.44459584066172</v>
      </c>
      <c r="AI193" s="5">
        <f t="shared" si="323"/>
        <v>1.5</v>
      </c>
      <c r="AJ193" s="5">
        <f t="shared" si="324"/>
        <v>2.08888888888889</v>
      </c>
      <c r="AL193" s="216">
        <f t="shared" si="325"/>
        <v>415</v>
      </c>
      <c r="AM193" s="220">
        <f t="shared" si="326"/>
        <v>90.7399694254418</v>
      </c>
      <c r="AO193" t="str">
        <f t="shared" si="327"/>
        <v/>
      </c>
      <c r="AP193" t="str">
        <f t="shared" si="328"/>
        <v/>
      </c>
      <c r="AR193" s="192">
        <f t="shared" si="249"/>
        <v>11.0205018398388</v>
      </c>
      <c r="AS193" s="192">
        <f t="shared" si="335"/>
        <v>3.75</v>
      </c>
      <c r="AT193" s="192">
        <f t="shared" si="336"/>
        <v>7.27050183983883</v>
      </c>
      <c r="AU193" s="5">
        <f t="shared" si="337"/>
        <v>0.340274885345407</v>
      </c>
      <c r="AW193" s="192">
        <f t="shared" si="275"/>
        <v>8.64583333333333</v>
      </c>
      <c r="AX193" s="192"/>
      <c r="AY193" s="192">
        <f t="shared" si="276"/>
        <v>24.9</v>
      </c>
      <c r="AZ193" s="192"/>
      <c r="BA193" s="192">
        <f t="shared" si="277"/>
        <v>10.0575275451104</v>
      </c>
      <c r="BB193" s="192"/>
      <c r="BC193" s="192"/>
      <c r="BD193" s="5">
        <f t="shared" si="278"/>
        <v>0.505179338462149</v>
      </c>
      <c r="BE193" s="5">
        <f t="shared" si="279"/>
        <v>0.383873204863942</v>
      </c>
      <c r="BF193" s="5">
        <f t="shared" si="280"/>
        <v>0.290669422613026</v>
      </c>
      <c r="BG193" s="5"/>
      <c r="BH193" s="217">
        <f t="shared" si="281"/>
        <v>0.0893221574031692</v>
      </c>
      <c r="BI193" s="217">
        <f t="shared" si="282"/>
        <v>0.0151577489326423</v>
      </c>
      <c r="BJ193" s="217">
        <f t="shared" si="283"/>
        <v>0.00113424961781802</v>
      </c>
      <c r="BK193" s="217">
        <f t="shared" si="284"/>
        <v>0.00225070340284638</v>
      </c>
      <c r="BL193">
        <f t="shared" si="285"/>
        <v>0.0029</v>
      </c>
      <c r="BM193">
        <f t="shared" si="329"/>
        <v>1.13424961781802e-6</v>
      </c>
      <c r="BN193">
        <f t="shared" si="330"/>
        <v>0.156830987085137</v>
      </c>
      <c r="BO193" s="220">
        <f t="shared" si="286"/>
        <v>110.764859356476</v>
      </c>
      <c r="BP193" s="5">
        <f t="shared" si="287"/>
        <v>0.31955</v>
      </c>
      <c r="BQ193" s="5">
        <f t="shared" si="288"/>
        <v>0.25564</v>
      </c>
      <c r="BR193" s="217"/>
      <c r="BT193" s="220">
        <f t="shared" si="289"/>
        <v>575.19</v>
      </c>
      <c r="BU193" s="217">
        <f t="shared" si="290"/>
        <v>0.0104634527243713</v>
      </c>
      <c r="BV193" s="217">
        <f t="shared" si="291"/>
        <v>0.0147358637412514</v>
      </c>
      <c r="BW193" s="217">
        <f t="shared" si="292"/>
        <v>0.0059142099269533</v>
      </c>
      <c r="BX193" s="217">
        <f t="shared" si="293"/>
        <v>0</v>
      </c>
      <c r="BY193" s="217">
        <f t="shared" si="274"/>
        <v>0.0430438059892495</v>
      </c>
      <c r="BZ193" s="217">
        <f t="shared" si="250"/>
        <v>0.031113526392576</v>
      </c>
      <c r="CA193" s="225">
        <f t="shared" si="331"/>
        <v>0.00816659724828976</v>
      </c>
      <c r="CB193" s="220">
        <f t="shared" ref="CB193:CB210" si="338">SUM(BU193:CA193)*1000</f>
        <v>113.437456022691</v>
      </c>
      <c r="CC193" s="5">
        <f t="shared" si="251"/>
        <v>0.783231390322676</v>
      </c>
      <c r="CD193" s="192">
        <f t="shared" ref="CD193:CD210" si="339">MIN(H193+I193,O193+P193)</f>
        <v>3.71939765094645</v>
      </c>
      <c r="CE193" s="5">
        <f t="shared" ref="CE193:CE210" si="340">CD193/(CD193+CC193)</f>
        <v>0.826050206858278</v>
      </c>
      <c r="CF193" s="192">
        <f t="shared" ref="CF193:CF210" si="341">CE193*100</f>
        <v>82.6050206858278</v>
      </c>
      <c r="CG193">
        <f t="shared" ref="CG193:CG210" si="342">F193/Iout*100</f>
        <v>83</v>
      </c>
      <c r="CI193" s="227">
        <f t="shared" si="332"/>
        <v>-50</v>
      </c>
      <c r="CJ193">
        <f t="shared" si="333"/>
        <v>-50</v>
      </c>
    </row>
    <row r="194" spans="5:88">
      <c r="E194" s="22">
        <v>84</v>
      </c>
      <c r="F194" s="25">
        <f t="shared" si="334"/>
        <v>0.42</v>
      </c>
      <c r="G194" s="25">
        <f t="shared" si="299"/>
        <v>0.336</v>
      </c>
      <c r="H194" s="25">
        <f t="shared" si="300"/>
        <v>7.56</v>
      </c>
      <c r="I194" s="25">
        <f t="shared" si="301"/>
        <v>1.68</v>
      </c>
      <c r="J194" s="212">
        <f t="shared" si="302"/>
        <v>10</v>
      </c>
      <c r="K194" s="131">
        <f t="shared" si="303"/>
        <v>5.09960175295054</v>
      </c>
      <c r="L194" s="131">
        <f t="shared" si="304"/>
        <v>22.2728</v>
      </c>
      <c r="M194" s="131"/>
      <c r="N194" s="25">
        <f t="shared" si="305"/>
        <v>0.551021874214288</v>
      </c>
      <c r="O194" s="27">
        <f t="shared" si="306"/>
        <v>3.04314353259255</v>
      </c>
      <c r="P194" s="27">
        <f t="shared" si="307"/>
        <v>0.676254118353899</v>
      </c>
      <c r="Q194" s="25">
        <f t="shared" si="308"/>
        <v>0.169063529588475</v>
      </c>
      <c r="R194" s="25">
        <f t="shared" si="309"/>
        <v>0.608628706518509</v>
      </c>
      <c r="S194" s="25">
        <f t="shared" si="310"/>
        <v>7.24557983950606</v>
      </c>
      <c r="T194" s="25">
        <f t="shared" si="311"/>
        <v>1.5</v>
      </c>
      <c r="U194" s="25">
        <f t="shared" si="312"/>
        <v>3.75</v>
      </c>
      <c r="V194" s="25">
        <f t="shared" si="313"/>
        <v>7.35351539525673</v>
      </c>
      <c r="W194" s="24">
        <f t="shared" si="314"/>
        <v>350</v>
      </c>
      <c r="X194" s="131">
        <f t="shared" si="315"/>
        <v>90.0615673867743</v>
      </c>
      <c r="Z194" s="25">
        <f t="shared" si="316"/>
        <v>0.385978145943318</v>
      </c>
      <c r="AA194" s="5">
        <f t="shared" si="317"/>
        <v>1.89219749228456</v>
      </c>
      <c r="AB194" s="5">
        <f t="shared" si="318"/>
        <v>0.0697497869030938</v>
      </c>
      <c r="AC194" s="5"/>
      <c r="AD194" s="5">
        <f t="shared" si="319"/>
        <v>1.47070307905135</v>
      </c>
      <c r="AE194" s="216">
        <f t="shared" si="320"/>
        <v>3488.64976380424</v>
      </c>
      <c r="AF194" s="217">
        <f t="shared" si="321"/>
        <v>0.0421366459669204</v>
      </c>
      <c r="AH194" s="5">
        <f t="shared" si="322"/>
        <v>1.4532721699668</v>
      </c>
      <c r="AI194" s="5">
        <f t="shared" si="323"/>
        <v>1.5</v>
      </c>
      <c r="AJ194" s="5">
        <f t="shared" si="324"/>
        <v>2.08888888888889</v>
      </c>
      <c r="AL194" s="216">
        <f t="shared" si="325"/>
        <v>420</v>
      </c>
      <c r="AM194" s="220">
        <f t="shared" si="326"/>
        <v>90.0615673867743</v>
      </c>
      <c r="AO194" t="str">
        <f t="shared" si="327"/>
        <v/>
      </c>
      <c r="AP194" t="str">
        <f t="shared" si="328"/>
        <v/>
      </c>
      <c r="AR194" s="192">
        <f t="shared" si="249"/>
        <v>11.1035153952567</v>
      </c>
      <c r="AS194" s="192">
        <f t="shared" si="335"/>
        <v>3.75</v>
      </c>
      <c r="AT194" s="192">
        <f t="shared" si="336"/>
        <v>7.35351539525673</v>
      </c>
      <c r="AU194" s="5">
        <f t="shared" si="337"/>
        <v>0.337730877700404</v>
      </c>
      <c r="AW194" s="192">
        <f t="shared" si="275"/>
        <v>8.75</v>
      </c>
      <c r="AX194" s="192"/>
      <c r="AY194" s="192">
        <f t="shared" si="276"/>
        <v>25.2</v>
      </c>
      <c r="AZ194" s="192"/>
      <c r="BA194" s="192">
        <f t="shared" si="277"/>
        <v>10.2949215533594</v>
      </c>
      <c r="BB194" s="192"/>
      <c r="BC194" s="192"/>
      <c r="BD194" s="5">
        <f t="shared" si="278"/>
        <v>0.503287351594795</v>
      </c>
      <c r="BE194" s="5">
        <f t="shared" si="279"/>
        <v>0.384612631556683</v>
      </c>
      <c r="BF194" s="5">
        <f t="shared" si="280"/>
        <v>0.291229317721933</v>
      </c>
      <c r="BG194" s="5"/>
      <c r="BH194" s="217">
        <f t="shared" si="281"/>
        <v>0.088654355396356</v>
      </c>
      <c r="BI194" s="217">
        <f t="shared" si="282"/>
        <v>0.0150444245856911</v>
      </c>
      <c r="BJ194" s="217">
        <f t="shared" si="283"/>
        <v>0.00112576959233468</v>
      </c>
      <c r="BK194" s="217">
        <f t="shared" si="284"/>
        <v>0.00223387639941454</v>
      </c>
      <c r="BL194">
        <f t="shared" si="285"/>
        <v>0.0029</v>
      </c>
      <c r="BM194">
        <f t="shared" si="329"/>
        <v>1.12576959233468e-6</v>
      </c>
      <c r="BN194">
        <f t="shared" si="330"/>
        <v>0.155619745817293</v>
      </c>
      <c r="BO194" s="220">
        <f t="shared" si="286"/>
        <v>109.958425973796</v>
      </c>
      <c r="BP194" s="5">
        <f t="shared" si="287"/>
        <v>0.3234</v>
      </c>
      <c r="BQ194" s="5">
        <f t="shared" si="288"/>
        <v>0.25872</v>
      </c>
      <c r="BR194" s="217"/>
      <c r="BT194" s="220">
        <f t="shared" si="289"/>
        <v>582.12</v>
      </c>
      <c r="BU194" s="217">
        <f t="shared" si="290"/>
        <v>0.0103852244892874</v>
      </c>
      <c r="BV194" s="217">
        <f t="shared" si="291"/>
        <v>0.0147926876352957</v>
      </c>
      <c r="BW194" s="217">
        <f t="shared" si="292"/>
        <v>0.00593701608505477</v>
      </c>
      <c r="BX194" s="217">
        <f t="shared" si="293"/>
        <v>0</v>
      </c>
      <c r="BY194" s="217">
        <f t="shared" si="274"/>
        <v>0.0430457501633853</v>
      </c>
      <c r="BZ194" s="217">
        <f t="shared" si="250"/>
        <v>0.0311149282096379</v>
      </c>
      <c r="CA194" s="225">
        <f t="shared" si="331"/>
        <v>0.00810554106480969</v>
      </c>
      <c r="CB194" s="220">
        <f t="shared" si="338"/>
        <v>113.381147647471</v>
      </c>
      <c r="CC194" s="5">
        <f t="shared" si="251"/>
        <v>0.788891037045488</v>
      </c>
      <c r="CD194" s="192">
        <f t="shared" si="339"/>
        <v>3.71939765094645</v>
      </c>
      <c r="CE194" s="5">
        <f t="shared" si="340"/>
        <v>0.825013194220073</v>
      </c>
      <c r="CF194" s="192">
        <f t="shared" si="341"/>
        <v>82.5013194220073</v>
      </c>
      <c r="CG194">
        <f t="shared" si="342"/>
        <v>84</v>
      </c>
      <c r="CI194" s="227">
        <f t="shared" si="332"/>
        <v>-50</v>
      </c>
      <c r="CJ194">
        <f t="shared" si="333"/>
        <v>-50</v>
      </c>
    </row>
    <row r="195" spans="5:88">
      <c r="E195" s="22">
        <v>85</v>
      </c>
      <c r="F195" s="25">
        <f t="shared" si="334"/>
        <v>0.425</v>
      </c>
      <c r="G195" s="25">
        <f t="shared" si="299"/>
        <v>0.34</v>
      </c>
      <c r="H195" s="25">
        <f t="shared" si="300"/>
        <v>7.65</v>
      </c>
      <c r="I195" s="25">
        <f t="shared" si="301"/>
        <v>1.7</v>
      </c>
      <c r="J195" s="212">
        <f t="shared" si="302"/>
        <v>10</v>
      </c>
      <c r="K195" s="131">
        <f t="shared" si="303"/>
        <v>5.04274526173936</v>
      </c>
      <c r="L195" s="131">
        <f t="shared" si="304"/>
        <v>22.2728</v>
      </c>
      <c r="M195" s="131"/>
      <c r="N195" s="25">
        <f t="shared" si="305"/>
        <v>0.551021874214288</v>
      </c>
      <c r="O195" s="27">
        <f t="shared" si="306"/>
        <v>3.04314353259255</v>
      </c>
      <c r="P195" s="27">
        <f t="shared" si="307"/>
        <v>0.676254118353899</v>
      </c>
      <c r="Q195" s="25">
        <f t="shared" si="308"/>
        <v>0.169063529588475</v>
      </c>
      <c r="R195" s="25">
        <f t="shared" si="309"/>
        <v>0.608628706518509</v>
      </c>
      <c r="S195" s="25">
        <f t="shared" si="310"/>
        <v>7.16033772374717</v>
      </c>
      <c r="T195" s="25">
        <f t="shared" si="311"/>
        <v>1.5</v>
      </c>
      <c r="U195" s="25">
        <f t="shared" si="312"/>
        <v>3.75</v>
      </c>
      <c r="V195" s="25">
        <f t="shared" si="313"/>
        <v>7.43642560819449</v>
      </c>
      <c r="W195" s="24">
        <f t="shared" si="314"/>
        <v>350</v>
      </c>
      <c r="X195" s="131">
        <f t="shared" si="315"/>
        <v>89.3940598208119</v>
      </c>
      <c r="Z195" s="25">
        <f t="shared" si="316"/>
        <v>0.383117399232051</v>
      </c>
      <c r="AA195" s="5">
        <f t="shared" si="317"/>
        <v>1.89934935906273</v>
      </c>
      <c r="AB195" s="5">
        <f t="shared" si="318"/>
        <v>0.0694945004317309</v>
      </c>
      <c r="AC195" s="5"/>
      <c r="AD195" s="5">
        <f t="shared" si="319"/>
        <v>1.4872851216389</v>
      </c>
      <c r="AE195" s="216">
        <f t="shared" si="320"/>
        <v>3490.82260331042</v>
      </c>
      <c r="AF195" s="217">
        <f t="shared" si="321"/>
        <v>0.0426117327929919</v>
      </c>
      <c r="AH195" s="5">
        <f t="shared" si="322"/>
        <v>1.46189700633897</v>
      </c>
      <c r="AI195" s="5">
        <f t="shared" si="323"/>
        <v>1.5</v>
      </c>
      <c r="AJ195" s="5">
        <f t="shared" si="324"/>
        <v>2.08888888888889</v>
      </c>
      <c r="AL195" s="216">
        <f t="shared" si="325"/>
        <v>425</v>
      </c>
      <c r="AM195" s="220">
        <f t="shared" si="326"/>
        <v>89.3940598208119</v>
      </c>
      <c r="AO195" t="str">
        <f t="shared" si="327"/>
        <v/>
      </c>
      <c r="AP195" t="str">
        <f t="shared" si="328"/>
        <v/>
      </c>
      <c r="AR195" s="192">
        <f t="shared" si="249"/>
        <v>11.1864256081945</v>
      </c>
      <c r="AS195" s="192">
        <f t="shared" si="335"/>
        <v>3.75</v>
      </c>
      <c r="AT195" s="192">
        <f t="shared" si="336"/>
        <v>7.43642560819449</v>
      </c>
      <c r="AU195" s="5">
        <f t="shared" si="337"/>
        <v>0.335227724328044</v>
      </c>
      <c r="AW195" s="192">
        <f t="shared" si="275"/>
        <v>8.85416666666667</v>
      </c>
      <c r="AX195" s="192"/>
      <c r="AY195" s="192">
        <f t="shared" si="276"/>
        <v>25.5</v>
      </c>
      <c r="AZ195" s="192"/>
      <c r="BA195" s="192">
        <f t="shared" si="277"/>
        <v>10.5349362782755</v>
      </c>
      <c r="BB195" s="192"/>
      <c r="BC195" s="192"/>
      <c r="BD195" s="5">
        <f t="shared" si="278"/>
        <v>0.50141878030847</v>
      </c>
      <c r="BE195" s="5">
        <f t="shared" si="279"/>
        <v>0.385338798892898</v>
      </c>
      <c r="BF195" s="5">
        <f t="shared" si="280"/>
        <v>0.291779172824252</v>
      </c>
      <c r="BG195" s="5"/>
      <c r="BH195" s="217">
        <f t="shared" si="281"/>
        <v>0.0879972776361117</v>
      </c>
      <c r="BI195" s="217">
        <f t="shared" si="282"/>
        <v>0.0149329201168273</v>
      </c>
      <c r="BJ195" s="217">
        <f t="shared" si="283"/>
        <v>0.00111742574776015</v>
      </c>
      <c r="BK195" s="217">
        <f t="shared" si="284"/>
        <v>0.00221731962118715</v>
      </c>
      <c r="BL195">
        <f t="shared" si="285"/>
        <v>0.0029</v>
      </c>
      <c r="BM195">
        <f t="shared" si="329"/>
        <v>1.11742574776015e-6</v>
      </c>
      <c r="BN195">
        <f t="shared" si="330"/>
        <v>0.154428890326699</v>
      </c>
      <c r="BO195" s="220">
        <f t="shared" si="286"/>
        <v>109.164943121886</v>
      </c>
      <c r="BP195" s="5">
        <f t="shared" si="287"/>
        <v>0.32725</v>
      </c>
      <c r="BQ195" s="5">
        <f t="shared" si="288"/>
        <v>0.2618</v>
      </c>
      <c r="BR195" s="217"/>
      <c r="BT195" s="220">
        <f t="shared" si="289"/>
        <v>589.05</v>
      </c>
      <c r="BU195" s="217">
        <f t="shared" si="290"/>
        <v>0.0103082525230874</v>
      </c>
      <c r="BV195" s="217">
        <f t="shared" si="291"/>
        <v>0.0148485989932222</v>
      </c>
      <c r="BW195" s="217">
        <f t="shared" si="292"/>
        <v>0.00595945599858033</v>
      </c>
      <c r="BX195" s="217">
        <f t="shared" si="293"/>
        <v>0</v>
      </c>
      <c r="BY195" s="217">
        <f t="shared" si="274"/>
        <v>0.0430476631164142</v>
      </c>
      <c r="BZ195" s="217">
        <f t="shared" si="250"/>
        <v>0.0311163075148899</v>
      </c>
      <c r="CA195" s="225">
        <f t="shared" si="331"/>
        <v>0.00804546538387307</v>
      </c>
      <c r="CB195" s="220">
        <f t="shared" si="338"/>
        <v>113.325743530067</v>
      </c>
      <c r="CC195" s="5">
        <f t="shared" si="251"/>
        <v>0.794572018826986</v>
      </c>
      <c r="CD195" s="192">
        <f t="shared" si="339"/>
        <v>3.71939765094645</v>
      </c>
      <c r="CE195" s="5">
        <f t="shared" si="340"/>
        <v>0.823974887525802</v>
      </c>
      <c r="CF195" s="192">
        <f t="shared" si="341"/>
        <v>82.3974887525802</v>
      </c>
      <c r="CG195">
        <f t="shared" si="342"/>
        <v>85</v>
      </c>
      <c r="CI195" s="227">
        <f t="shared" si="332"/>
        <v>-50</v>
      </c>
      <c r="CJ195">
        <f t="shared" si="333"/>
        <v>-50</v>
      </c>
    </row>
    <row r="196" spans="5:88">
      <c r="E196" s="22">
        <v>86</v>
      </c>
      <c r="F196" s="25">
        <f t="shared" si="334"/>
        <v>0.43</v>
      </c>
      <c r="G196" s="25">
        <f t="shared" si="299"/>
        <v>0.344</v>
      </c>
      <c r="H196" s="25">
        <f t="shared" si="300"/>
        <v>7.74</v>
      </c>
      <c r="I196" s="25">
        <f t="shared" si="301"/>
        <v>1.72</v>
      </c>
      <c r="J196" s="212">
        <f t="shared" si="302"/>
        <v>10</v>
      </c>
      <c r="K196" s="131">
        <f t="shared" si="303"/>
        <v>4.98721101450983</v>
      </c>
      <c r="L196" s="131">
        <f t="shared" si="304"/>
        <v>22.2728</v>
      </c>
      <c r="M196" s="131"/>
      <c r="N196" s="25">
        <f t="shared" si="305"/>
        <v>0.551021874214288</v>
      </c>
      <c r="O196" s="27">
        <f t="shared" si="306"/>
        <v>3.04314353259255</v>
      </c>
      <c r="P196" s="27">
        <f t="shared" si="307"/>
        <v>0.676254118353899</v>
      </c>
      <c r="Q196" s="25">
        <f t="shared" si="308"/>
        <v>0.169063529588475</v>
      </c>
      <c r="R196" s="25">
        <f t="shared" si="309"/>
        <v>0.608628706518509</v>
      </c>
      <c r="S196" s="25">
        <f t="shared" si="310"/>
        <v>7.07707798277336</v>
      </c>
      <c r="T196" s="25">
        <f t="shared" si="311"/>
        <v>1.5</v>
      </c>
      <c r="U196" s="25">
        <f t="shared" si="312"/>
        <v>3.75</v>
      </c>
      <c r="V196" s="25">
        <f t="shared" si="313"/>
        <v>7.51923267150662</v>
      </c>
      <c r="W196" s="24">
        <f t="shared" si="314"/>
        <v>350</v>
      </c>
      <c r="X196" s="131">
        <f t="shared" si="315"/>
        <v>88.7371863861168</v>
      </c>
      <c r="Z196" s="25">
        <f t="shared" si="316"/>
        <v>0.380302227369072</v>
      </c>
      <c r="AA196" s="5">
        <f t="shared" si="317"/>
        <v>1.90638728872018</v>
      </c>
      <c r="AB196" s="5">
        <f t="shared" si="318"/>
        <v>0.0692394659531051</v>
      </c>
      <c r="AC196" s="5"/>
      <c r="AD196" s="5">
        <f t="shared" si="319"/>
        <v>1.50384653430132</v>
      </c>
      <c r="AE196" s="216">
        <f t="shared" si="320"/>
        <v>3492.99544281659</v>
      </c>
      <c r="AF196" s="217">
        <f t="shared" si="321"/>
        <v>0.0430862285576427</v>
      </c>
      <c r="AH196" s="5">
        <f t="shared" si="322"/>
        <v>1.47047125585158</v>
      </c>
      <c r="AI196" s="5">
        <f t="shared" si="323"/>
        <v>1.5</v>
      </c>
      <c r="AJ196" s="5">
        <f t="shared" si="324"/>
        <v>2.08888888888889</v>
      </c>
      <c r="AL196" s="216">
        <f t="shared" si="325"/>
        <v>430</v>
      </c>
      <c r="AM196" s="220">
        <f t="shared" si="326"/>
        <v>88.7371863861168</v>
      </c>
      <c r="AO196" t="str">
        <f t="shared" si="327"/>
        <v/>
      </c>
      <c r="AP196" t="str">
        <f t="shared" si="328"/>
        <v/>
      </c>
      <c r="AR196" s="192">
        <f t="shared" si="249"/>
        <v>11.2692326715066</v>
      </c>
      <c r="AS196" s="192">
        <f t="shared" si="335"/>
        <v>3.75</v>
      </c>
      <c r="AT196" s="192">
        <f t="shared" si="336"/>
        <v>7.51923267150662</v>
      </c>
      <c r="AU196" s="5">
        <f t="shared" si="337"/>
        <v>0.332764448947938</v>
      </c>
      <c r="AW196" s="192">
        <f t="shared" si="275"/>
        <v>8.95833333333334</v>
      </c>
      <c r="AX196" s="192"/>
      <c r="AY196" s="192">
        <f t="shared" si="276"/>
        <v>25.8</v>
      </c>
      <c r="AZ196" s="192"/>
      <c r="BA196" s="192">
        <f t="shared" si="277"/>
        <v>10.7775668291595</v>
      </c>
      <c r="BB196" s="192"/>
      <c r="BC196" s="192"/>
      <c r="BD196" s="5">
        <f t="shared" si="278"/>
        <v>0.499573154513885</v>
      </c>
      <c r="BE196" s="5">
        <f t="shared" si="279"/>
        <v>0.386052064125943</v>
      </c>
      <c r="BF196" s="5">
        <f t="shared" si="280"/>
        <v>0.292319258432813</v>
      </c>
      <c r="BG196" s="5"/>
      <c r="BH196" s="217">
        <f t="shared" si="281"/>
        <v>0.0873506678488337</v>
      </c>
      <c r="BI196" s="217">
        <f t="shared" si="282"/>
        <v>0.0148231920370553</v>
      </c>
      <c r="BJ196" s="217">
        <f t="shared" si="283"/>
        <v>0.00110921482982646</v>
      </c>
      <c r="BK196" s="217">
        <f t="shared" si="284"/>
        <v>0.00220102661068616</v>
      </c>
      <c r="BL196">
        <f t="shared" si="285"/>
        <v>0.0029</v>
      </c>
      <c r="BM196">
        <f t="shared" si="329"/>
        <v>1.10921482982646e-6</v>
      </c>
      <c r="BN196">
        <f t="shared" si="330"/>
        <v>0.153257910254392</v>
      </c>
      <c r="BO196" s="220">
        <f t="shared" si="286"/>
        <v>108.384101326402</v>
      </c>
      <c r="BP196" s="5">
        <f t="shared" si="287"/>
        <v>0.3311</v>
      </c>
      <c r="BQ196" s="5">
        <f t="shared" si="288"/>
        <v>0.26488</v>
      </c>
      <c r="BR196" s="217"/>
      <c r="BT196" s="220">
        <f t="shared" si="289"/>
        <v>595.98</v>
      </c>
      <c r="BU196" s="217">
        <f t="shared" si="290"/>
        <v>0.0102325068051491</v>
      </c>
      <c r="BV196" s="217">
        <f t="shared" si="291"/>
        <v>0.0149036196215901</v>
      </c>
      <c r="BW196" s="217">
        <f t="shared" si="292"/>
        <v>0.00598153841954967</v>
      </c>
      <c r="BX196" s="217">
        <f t="shared" si="293"/>
        <v>0</v>
      </c>
      <c r="BY196" s="217">
        <f t="shared" si="274"/>
        <v>0.043049545594406</v>
      </c>
      <c r="BZ196" s="217">
        <f t="shared" si="250"/>
        <v>0.0311176648462889</v>
      </c>
      <c r="CA196" s="225">
        <f t="shared" si="331"/>
        <v>0.00798634677475051</v>
      </c>
      <c r="CB196" s="220">
        <f t="shared" si="338"/>
        <v>113.271222061734</v>
      </c>
      <c r="CC196" s="5">
        <f t="shared" si="251"/>
        <v>0.800273802623548</v>
      </c>
      <c r="CD196" s="192">
        <f t="shared" si="339"/>
        <v>3.71939765094645</v>
      </c>
      <c r="CE196" s="5">
        <f t="shared" si="340"/>
        <v>0.822935403414904</v>
      </c>
      <c r="CF196" s="192">
        <f t="shared" si="341"/>
        <v>82.2935403414904</v>
      </c>
      <c r="CG196">
        <f t="shared" si="342"/>
        <v>86</v>
      </c>
      <c r="CI196" s="227">
        <f t="shared" si="332"/>
        <v>-50</v>
      </c>
      <c r="CJ196">
        <f t="shared" si="333"/>
        <v>-50</v>
      </c>
    </row>
    <row r="197" spans="5:88">
      <c r="E197" s="22">
        <v>87</v>
      </c>
      <c r="F197" s="25">
        <f t="shared" si="334"/>
        <v>0.435</v>
      </c>
      <c r="G197" s="25">
        <f t="shared" si="299"/>
        <v>0.348</v>
      </c>
      <c r="H197" s="25">
        <f t="shared" si="300"/>
        <v>7.83</v>
      </c>
      <c r="I197" s="25">
        <f t="shared" si="301"/>
        <v>1.74</v>
      </c>
      <c r="J197" s="212">
        <f t="shared" si="302"/>
        <v>10</v>
      </c>
      <c r="K197" s="131">
        <f t="shared" si="303"/>
        <v>4.9329534166419</v>
      </c>
      <c r="L197" s="131">
        <f t="shared" si="304"/>
        <v>22.2728</v>
      </c>
      <c r="M197" s="131"/>
      <c r="N197" s="25">
        <f t="shared" si="305"/>
        <v>0.551021874214288</v>
      </c>
      <c r="O197" s="27">
        <f t="shared" si="306"/>
        <v>3.04314353259255</v>
      </c>
      <c r="P197" s="27">
        <f t="shared" si="307"/>
        <v>0.676254118353899</v>
      </c>
      <c r="Q197" s="25">
        <f t="shared" si="308"/>
        <v>0.169063529588475</v>
      </c>
      <c r="R197" s="25">
        <f t="shared" si="309"/>
        <v>0.608628706518509</v>
      </c>
      <c r="S197" s="25">
        <f t="shared" si="310"/>
        <v>6.99573225883344</v>
      </c>
      <c r="T197" s="25">
        <f t="shared" si="311"/>
        <v>1.5</v>
      </c>
      <c r="U197" s="25">
        <f t="shared" si="312"/>
        <v>3.75</v>
      </c>
      <c r="V197" s="25">
        <f t="shared" si="313"/>
        <v>7.60193677756804</v>
      </c>
      <c r="W197" s="24">
        <f t="shared" si="314"/>
        <v>350</v>
      </c>
      <c r="X197" s="131">
        <f t="shared" si="315"/>
        <v>88.0906949707513</v>
      </c>
      <c r="Z197" s="25">
        <f t="shared" si="316"/>
        <v>0.377531549874648</v>
      </c>
      <c r="AA197" s="5">
        <f t="shared" si="317"/>
        <v>1.91331398245624</v>
      </c>
      <c r="AB197" s="5">
        <f t="shared" si="318"/>
        <v>0.0689847672236039</v>
      </c>
      <c r="AC197" s="5"/>
      <c r="AD197" s="5">
        <f t="shared" si="319"/>
        <v>1.52038735551361</v>
      </c>
      <c r="AE197" s="216">
        <f t="shared" si="320"/>
        <v>3495.16828232276</v>
      </c>
      <c r="AF197" s="217">
        <f t="shared" si="321"/>
        <v>0.0435601343632073</v>
      </c>
      <c r="AH197" s="5">
        <f t="shared" si="322"/>
        <v>1.47899579831336</v>
      </c>
      <c r="AI197" s="5">
        <f t="shared" si="323"/>
        <v>1.5</v>
      </c>
      <c r="AJ197" s="5">
        <f t="shared" si="324"/>
        <v>2.08888888888889</v>
      </c>
      <c r="AL197" s="216">
        <f t="shared" si="325"/>
        <v>435</v>
      </c>
      <c r="AM197" s="220">
        <f t="shared" si="326"/>
        <v>88.0906949707513</v>
      </c>
      <c r="AO197" t="str">
        <f t="shared" si="327"/>
        <v/>
      </c>
      <c r="AP197" t="str">
        <f t="shared" si="328"/>
        <v/>
      </c>
      <c r="AR197" s="192">
        <f t="shared" si="249"/>
        <v>11.351936777568</v>
      </c>
      <c r="AS197" s="192">
        <f t="shared" si="335"/>
        <v>3.75</v>
      </c>
      <c r="AT197" s="192">
        <f t="shared" si="336"/>
        <v>7.60193677756805</v>
      </c>
      <c r="AU197" s="5">
        <f t="shared" si="337"/>
        <v>0.330340106140317</v>
      </c>
      <c r="AW197" s="192">
        <f t="shared" si="275"/>
        <v>9.0625</v>
      </c>
      <c r="AX197" s="192"/>
      <c r="AY197" s="192">
        <f t="shared" si="276"/>
        <v>26.1</v>
      </c>
      <c r="AZ197" s="192"/>
      <c r="BA197" s="192">
        <f t="shared" si="277"/>
        <v>11.0228083274737</v>
      </c>
      <c r="BB197" s="192"/>
      <c r="BC197" s="192"/>
      <c r="BD197" s="5">
        <f t="shared" si="278"/>
        <v>0.497750017182559</v>
      </c>
      <c r="BE197" s="5">
        <f t="shared" si="279"/>
        <v>0.386752771646753</v>
      </c>
      <c r="BF197" s="5">
        <f t="shared" si="280"/>
        <v>0.292849835320998</v>
      </c>
      <c r="BG197" s="5"/>
      <c r="BH197" s="217">
        <f t="shared" si="281"/>
        <v>0.0867142778618333</v>
      </c>
      <c r="BI197" s="217">
        <f t="shared" si="282"/>
        <v>0.0147151982320841</v>
      </c>
      <c r="BJ197" s="217">
        <f t="shared" si="283"/>
        <v>0.00110113368713439</v>
      </c>
      <c r="BK197" s="217">
        <f t="shared" si="284"/>
        <v>0.00218499111455709</v>
      </c>
      <c r="BL197">
        <f t="shared" si="285"/>
        <v>0.0029</v>
      </c>
      <c r="BM197">
        <f t="shared" si="329"/>
        <v>1.10113368713439e-6</v>
      </c>
      <c r="BN197">
        <f t="shared" si="330"/>
        <v>0.152106312136235</v>
      </c>
      <c r="BO197" s="220">
        <f t="shared" si="286"/>
        <v>107.615600895609</v>
      </c>
      <c r="BP197" s="5">
        <f t="shared" si="287"/>
        <v>0.33495</v>
      </c>
      <c r="BQ197" s="5">
        <f t="shared" si="288"/>
        <v>0.26796</v>
      </c>
      <c r="BR197" s="217"/>
      <c r="BT197" s="220">
        <f t="shared" si="289"/>
        <v>602.91</v>
      </c>
      <c r="BU197" s="217">
        <f t="shared" si="290"/>
        <v>0.0101579582638148</v>
      </c>
      <c r="BV197" s="217">
        <f t="shared" si="291"/>
        <v>0.0149577706376446</v>
      </c>
      <c r="BW197" s="217">
        <f t="shared" si="292"/>
        <v>0.00600327182332751</v>
      </c>
      <c r="BX197" s="217">
        <f t="shared" si="293"/>
        <v>0</v>
      </c>
      <c r="BY197" s="217">
        <f t="shared" si="274"/>
        <v>0.0430513983198473</v>
      </c>
      <c r="BZ197" s="217">
        <f t="shared" si="250"/>
        <v>0.0311190007247868</v>
      </c>
      <c r="CA197" s="225">
        <f t="shared" si="331"/>
        <v>0.00792816254736762</v>
      </c>
      <c r="CB197" s="220">
        <f t="shared" si="338"/>
        <v>113.217562316789</v>
      </c>
      <c r="CC197" s="5">
        <f t="shared" si="251"/>
        <v>0.80599587300345</v>
      </c>
      <c r="CD197" s="192">
        <f t="shared" si="339"/>
        <v>3.71939765094645</v>
      </c>
      <c r="CE197" s="5">
        <f t="shared" si="340"/>
        <v>0.821894854284418</v>
      </c>
      <c r="CF197" s="192">
        <f t="shared" si="341"/>
        <v>82.1894854284418</v>
      </c>
      <c r="CG197">
        <f t="shared" si="342"/>
        <v>87</v>
      </c>
      <c r="CI197" s="227">
        <f t="shared" si="332"/>
        <v>-50</v>
      </c>
      <c r="CJ197">
        <f t="shared" si="333"/>
        <v>-50</v>
      </c>
    </row>
    <row r="198" spans="5:88">
      <c r="E198" s="22">
        <v>88</v>
      </c>
      <c r="F198" s="25">
        <f t="shared" si="334"/>
        <v>0.44</v>
      </c>
      <c r="G198" s="25">
        <f t="shared" si="299"/>
        <v>0.352</v>
      </c>
      <c r="H198" s="25">
        <f t="shared" si="300"/>
        <v>7.92</v>
      </c>
      <c r="I198" s="25">
        <f t="shared" si="301"/>
        <v>1.76</v>
      </c>
      <c r="J198" s="212">
        <f t="shared" si="302"/>
        <v>10</v>
      </c>
      <c r="K198" s="131">
        <f t="shared" si="303"/>
        <v>4.87992894599825</v>
      </c>
      <c r="L198" s="131">
        <f t="shared" si="304"/>
        <v>22.2728</v>
      </c>
      <c r="M198" s="131"/>
      <c r="N198" s="25">
        <f t="shared" si="305"/>
        <v>0.551021874214288</v>
      </c>
      <c r="O198" s="27">
        <f t="shared" si="306"/>
        <v>3.04314353259255</v>
      </c>
      <c r="P198" s="27">
        <f t="shared" si="307"/>
        <v>0.676254118353899</v>
      </c>
      <c r="Q198" s="25">
        <f t="shared" si="308"/>
        <v>0.169063529588475</v>
      </c>
      <c r="R198" s="25">
        <f t="shared" si="309"/>
        <v>0.608628706518509</v>
      </c>
      <c r="S198" s="25">
        <f t="shared" si="310"/>
        <v>6.9162353013467</v>
      </c>
      <c r="T198" s="25">
        <f t="shared" si="311"/>
        <v>1.5</v>
      </c>
      <c r="U198" s="25">
        <f t="shared" si="312"/>
        <v>3.75</v>
      </c>
      <c r="V198" s="25">
        <f t="shared" si="313"/>
        <v>7.6845381182756</v>
      </c>
      <c r="W198" s="24">
        <f t="shared" si="314"/>
        <v>350</v>
      </c>
      <c r="X198" s="131">
        <f t="shared" si="315"/>
        <v>87.4543413696544</v>
      </c>
      <c r="Z198" s="25">
        <f t="shared" si="316"/>
        <v>0.374804320155662</v>
      </c>
      <c r="AA198" s="5">
        <f t="shared" si="317"/>
        <v>1.9201320567537</v>
      </c>
      <c r="AB198" s="5">
        <f t="shared" si="318"/>
        <v>0.0687304825806838</v>
      </c>
      <c r="AC198" s="5"/>
      <c r="AD198" s="5">
        <f t="shared" si="319"/>
        <v>1.53690762365512</v>
      </c>
      <c r="AE198" s="216">
        <f t="shared" si="320"/>
        <v>3497.34112182894</v>
      </c>
      <c r="AF198" s="217">
        <f t="shared" si="321"/>
        <v>0.0440334513092807</v>
      </c>
      <c r="AH198" s="5">
        <f t="shared" si="322"/>
        <v>1.48747148832219</v>
      </c>
      <c r="AI198" s="5">
        <f t="shared" si="323"/>
        <v>1.5</v>
      </c>
      <c r="AJ198" s="5">
        <f t="shared" si="324"/>
        <v>2.08888888888889</v>
      </c>
      <c r="AL198" s="216">
        <f t="shared" si="325"/>
        <v>440</v>
      </c>
      <c r="AM198" s="220">
        <f t="shared" si="326"/>
        <v>87.4543413696544</v>
      </c>
      <c r="AO198" t="str">
        <f t="shared" si="327"/>
        <v/>
      </c>
      <c r="AP198" t="str">
        <f t="shared" si="328"/>
        <v/>
      </c>
      <c r="AR198" s="192">
        <f t="shared" ref="AR198:AR262" si="343">1/AM198*1000</f>
        <v>11.4345381182756</v>
      </c>
      <c r="AS198" s="192">
        <f t="shared" si="335"/>
        <v>3.75</v>
      </c>
      <c r="AT198" s="192">
        <f t="shared" si="336"/>
        <v>7.6845381182756</v>
      </c>
      <c r="AU198" s="5">
        <f t="shared" si="337"/>
        <v>0.327953780136204</v>
      </c>
      <c r="AW198" s="192">
        <f t="shared" si="275"/>
        <v>9.16666666666667</v>
      </c>
      <c r="AX198" s="192"/>
      <c r="AY198" s="192">
        <f t="shared" si="276"/>
        <v>26.4</v>
      </c>
      <c r="AZ198" s="192"/>
      <c r="BA198" s="192">
        <f t="shared" si="277"/>
        <v>11.2706559068042</v>
      </c>
      <c r="BB198" s="192"/>
      <c r="BC198" s="192"/>
      <c r="BD198" s="5">
        <f t="shared" si="278"/>
        <v>0.495948923884459</v>
      </c>
      <c r="BE198" s="5">
        <f t="shared" si="279"/>
        <v>0.387441253564195</v>
      </c>
      <c r="BF198" s="5">
        <f t="shared" si="280"/>
        <v>0.293371154962189</v>
      </c>
      <c r="BG198" s="5"/>
      <c r="BH198" s="217">
        <f t="shared" si="281"/>
        <v>0.0860878672857536</v>
      </c>
      <c r="BI198" s="217">
        <f t="shared" si="282"/>
        <v>0.0146088979084353</v>
      </c>
      <c r="BJ198" s="217">
        <f t="shared" si="283"/>
        <v>0.00109317926712068</v>
      </c>
      <c r="BK198" s="217">
        <f t="shared" si="284"/>
        <v>0.00216920707556665</v>
      </c>
      <c r="BL198">
        <f t="shared" si="285"/>
        <v>0.0029</v>
      </c>
      <c r="BM198">
        <f t="shared" si="329"/>
        <v>1.09317926712068e-6</v>
      </c>
      <c r="BN198">
        <f t="shared" si="330"/>
        <v>0.150973618709557</v>
      </c>
      <c r="BO198" s="220">
        <f t="shared" si="286"/>
        <v>106.859151536876</v>
      </c>
      <c r="BP198" s="5">
        <f t="shared" si="287"/>
        <v>0.3388</v>
      </c>
      <c r="BQ198" s="5">
        <f t="shared" si="288"/>
        <v>0.27104</v>
      </c>
      <c r="BR198" s="217"/>
      <c r="BT198" s="220">
        <f t="shared" si="289"/>
        <v>609.84</v>
      </c>
      <c r="BU198" s="217">
        <f t="shared" si="290"/>
        <v>0.0100845787391883</v>
      </c>
      <c r="BV198" s="217">
        <f t="shared" si="291"/>
        <v>0.0150110724963395</v>
      </c>
      <c r="BW198" s="217">
        <f t="shared" si="292"/>
        <v>0.0060246644194694</v>
      </c>
      <c r="BX198" s="217">
        <f t="shared" si="293"/>
        <v>0</v>
      </c>
      <c r="BY198" s="217">
        <f t="shared" si="274"/>
        <v>0.043053221992566</v>
      </c>
      <c r="BZ198" s="217">
        <f t="shared" ref="BZ198:BZ210" si="344">SUM(BU198:BX198)</f>
        <v>0.0311203156549972</v>
      </c>
      <c r="CA198" s="225">
        <f t="shared" si="331"/>
        <v>0.0078708907232689</v>
      </c>
      <c r="CB198" s="220">
        <f t="shared" si="338"/>
        <v>113.164744025829</v>
      </c>
      <c r="CC198" s="5">
        <f t="shared" ref="CC198:CC210" si="345">SUM(BN198,BP198:BS198,BY198,CA198)</f>
        <v>0.811737731425392</v>
      </c>
      <c r="CD198" s="192">
        <f t="shared" si="339"/>
        <v>3.71939765094645</v>
      </c>
      <c r="CE198" s="5">
        <f t="shared" si="340"/>
        <v>0.820853348460208</v>
      </c>
      <c r="CF198" s="192">
        <f t="shared" si="341"/>
        <v>82.0853348460208</v>
      </c>
      <c r="CG198">
        <f t="shared" si="342"/>
        <v>88</v>
      </c>
      <c r="CI198" s="227">
        <f t="shared" si="332"/>
        <v>-50</v>
      </c>
      <c r="CJ198">
        <f t="shared" si="333"/>
        <v>-50</v>
      </c>
    </row>
    <row r="199" spans="5:88">
      <c r="E199" s="22">
        <v>89</v>
      </c>
      <c r="F199" s="25">
        <f t="shared" si="334"/>
        <v>0.445</v>
      </c>
      <c r="G199" s="25">
        <f t="shared" si="299"/>
        <v>0.356</v>
      </c>
      <c r="H199" s="25">
        <f t="shared" si="300"/>
        <v>8.01</v>
      </c>
      <c r="I199" s="25">
        <f t="shared" si="301"/>
        <v>1.78</v>
      </c>
      <c r="J199" s="212">
        <f t="shared" si="302"/>
        <v>10</v>
      </c>
      <c r="K199" s="131">
        <f t="shared" si="303"/>
        <v>4.82809603649265</v>
      </c>
      <c r="L199" s="131">
        <f t="shared" si="304"/>
        <v>22.2728</v>
      </c>
      <c r="M199" s="131"/>
      <c r="N199" s="25">
        <f t="shared" si="305"/>
        <v>0.551021874214288</v>
      </c>
      <c r="O199" s="27">
        <f t="shared" si="306"/>
        <v>3.04314353259255</v>
      </c>
      <c r="P199" s="27">
        <f t="shared" si="307"/>
        <v>0.676254118353899</v>
      </c>
      <c r="Q199" s="25">
        <f t="shared" si="308"/>
        <v>0.169063529588475</v>
      </c>
      <c r="R199" s="25">
        <f t="shared" si="309"/>
        <v>0.608628706518509</v>
      </c>
      <c r="S199" s="25">
        <f t="shared" si="310"/>
        <v>6.8385247923428</v>
      </c>
      <c r="T199" s="25">
        <f t="shared" si="311"/>
        <v>1.5</v>
      </c>
      <c r="U199" s="25">
        <f t="shared" si="312"/>
        <v>3.75</v>
      </c>
      <c r="V199" s="25">
        <f t="shared" si="313"/>
        <v>7.76703688504956</v>
      </c>
      <c r="W199" s="24">
        <f t="shared" si="314"/>
        <v>350</v>
      </c>
      <c r="X199" s="131">
        <f t="shared" si="315"/>
        <v>86.8278889770784</v>
      </c>
      <c r="Z199" s="25">
        <f t="shared" si="316"/>
        <v>0.372119524187479</v>
      </c>
      <c r="AA199" s="5">
        <f t="shared" si="317"/>
        <v>1.92684404667416</v>
      </c>
      <c r="AB199" s="5">
        <f t="shared" si="318"/>
        <v>0.06847668526142</v>
      </c>
      <c r="AC199" s="5"/>
      <c r="AD199" s="5">
        <f t="shared" si="319"/>
        <v>1.55340737700991</v>
      </c>
      <c r="AE199" s="216">
        <f t="shared" si="320"/>
        <v>3499.51396133511</v>
      </c>
      <c r="AF199" s="217">
        <f t="shared" si="321"/>
        <v>0.0445061804927274</v>
      </c>
      <c r="AH199" s="5">
        <f t="shared" si="322"/>
        <v>1.49589915626498</v>
      </c>
      <c r="AI199" s="5">
        <f t="shared" si="323"/>
        <v>1.5</v>
      </c>
      <c r="AJ199" s="5">
        <f t="shared" si="324"/>
        <v>2.08888888888889</v>
      </c>
      <c r="AL199" s="216">
        <f t="shared" si="325"/>
        <v>445</v>
      </c>
      <c r="AM199" s="220">
        <f t="shared" si="326"/>
        <v>86.8278889770784</v>
      </c>
      <c r="AO199" t="str">
        <f t="shared" si="327"/>
        <v/>
      </c>
      <c r="AP199" t="str">
        <f t="shared" si="328"/>
        <v/>
      </c>
      <c r="AR199" s="192">
        <f t="shared" si="343"/>
        <v>11.5170368850496</v>
      </c>
      <c r="AS199" s="192">
        <f t="shared" si="335"/>
        <v>3.75</v>
      </c>
      <c r="AT199" s="192">
        <f t="shared" si="336"/>
        <v>7.76703688504956</v>
      </c>
      <c r="AU199" s="5">
        <f t="shared" si="337"/>
        <v>0.325604583664044</v>
      </c>
      <c r="AW199" s="192">
        <f t="shared" si="275"/>
        <v>9.27083333333333</v>
      </c>
      <c r="AX199" s="192"/>
      <c r="AY199" s="192">
        <f t="shared" si="276"/>
        <v>26.7</v>
      </c>
      <c r="AZ199" s="192"/>
      <c r="BA199" s="192">
        <f t="shared" si="277"/>
        <v>11.5211047128235</v>
      </c>
      <c r="BB199" s="192"/>
      <c r="BC199" s="192"/>
      <c r="BD199" s="5">
        <f t="shared" si="278"/>
        <v>0.49416944234547</v>
      </c>
      <c r="BE199" s="5">
        <f t="shared" si="279"/>
        <v>0.388117830253906</v>
      </c>
      <c r="BF199" s="5">
        <f t="shared" si="280"/>
        <v>0.293883459945344</v>
      </c>
      <c r="BG199" s="5"/>
      <c r="BH199" s="217">
        <f t="shared" si="281"/>
        <v>0.0854712032118116</v>
      </c>
      <c r="BI199" s="217">
        <f t="shared" si="282"/>
        <v>0.014504251542065</v>
      </c>
      <c r="BJ199" s="217">
        <f t="shared" si="283"/>
        <v>0.00108534861221348</v>
      </c>
      <c r="BK199" s="217">
        <f t="shared" si="284"/>
        <v>0.00215366862497404</v>
      </c>
      <c r="BL199">
        <f t="shared" si="285"/>
        <v>0.0029</v>
      </c>
      <c r="BM199">
        <f t="shared" si="329"/>
        <v>1.08534861221348e-6</v>
      </c>
      <c r="BN199">
        <f t="shared" si="330"/>
        <v>0.149859368253652</v>
      </c>
      <c r="BO199" s="220">
        <f t="shared" si="286"/>
        <v>106.114471991064</v>
      </c>
      <c r="BP199" s="5">
        <f t="shared" si="287"/>
        <v>0.34265</v>
      </c>
      <c r="BQ199" s="5">
        <f t="shared" si="288"/>
        <v>0.27412</v>
      </c>
      <c r="BR199" s="217"/>
      <c r="BT199" s="220">
        <f t="shared" si="289"/>
        <v>616.77</v>
      </c>
      <c r="BU199" s="217">
        <f t="shared" si="290"/>
        <v>0.0100123409476694</v>
      </c>
      <c r="BV199" s="217">
        <f t="shared" si="291"/>
        <v>0.0150635450161</v>
      </c>
      <c r="BW199" s="217">
        <f t="shared" si="292"/>
        <v>0.00604572416206127</v>
      </c>
      <c r="BX199" s="217">
        <f t="shared" si="293"/>
        <v>0</v>
      </c>
      <c r="BY199" s="217">
        <f t="shared" si="274"/>
        <v>0.0430550172906126</v>
      </c>
      <c r="BZ199" s="217">
        <f t="shared" si="344"/>
        <v>0.0311216101258306</v>
      </c>
      <c r="CA199" s="225">
        <f t="shared" si="331"/>
        <v>0.00781451000793706</v>
      </c>
      <c r="CB199" s="220">
        <f t="shared" si="338"/>
        <v>113.112747550211</v>
      </c>
      <c r="CC199" s="5">
        <f t="shared" si="345"/>
        <v>0.817498895552201</v>
      </c>
      <c r="CD199" s="192">
        <f t="shared" si="339"/>
        <v>3.71939765094645</v>
      </c>
      <c r="CE199" s="5">
        <f t="shared" si="340"/>
        <v>0.819810990360116</v>
      </c>
      <c r="CF199" s="192">
        <f t="shared" si="341"/>
        <v>81.9810990360116</v>
      </c>
      <c r="CG199">
        <f t="shared" si="342"/>
        <v>89</v>
      </c>
      <c r="CI199" s="227">
        <f t="shared" si="332"/>
        <v>-50</v>
      </c>
      <c r="CJ199">
        <f t="shared" si="333"/>
        <v>-50</v>
      </c>
    </row>
    <row r="200" spans="5:88">
      <c r="E200" s="22">
        <v>90</v>
      </c>
      <c r="F200" s="25">
        <f t="shared" si="334"/>
        <v>0.45</v>
      </c>
      <c r="G200" s="25">
        <f t="shared" si="299"/>
        <v>0.36</v>
      </c>
      <c r="H200" s="25">
        <f t="shared" si="300"/>
        <v>8.1</v>
      </c>
      <c r="I200" s="25">
        <f t="shared" si="301"/>
        <v>1.8</v>
      </c>
      <c r="J200" s="212">
        <f t="shared" si="302"/>
        <v>10</v>
      </c>
      <c r="K200" s="131">
        <f t="shared" si="303"/>
        <v>4.77741496942051</v>
      </c>
      <c r="L200" s="131">
        <f t="shared" si="304"/>
        <v>22.2728</v>
      </c>
      <c r="M200" s="131"/>
      <c r="N200" s="25">
        <f t="shared" si="305"/>
        <v>0.551021874214288</v>
      </c>
      <c r="O200" s="27">
        <f t="shared" si="306"/>
        <v>3.04314353259255</v>
      </c>
      <c r="P200" s="27">
        <f t="shared" si="307"/>
        <v>0.676254118353899</v>
      </c>
      <c r="Q200" s="25">
        <f t="shared" si="308"/>
        <v>0.169063529588475</v>
      </c>
      <c r="R200" s="25">
        <f t="shared" si="309"/>
        <v>0.608628706518509</v>
      </c>
      <c r="S200" s="25">
        <f t="shared" si="310"/>
        <v>6.76254118353899</v>
      </c>
      <c r="T200" s="25">
        <f t="shared" si="311"/>
        <v>1.5</v>
      </c>
      <c r="U200" s="25">
        <f t="shared" si="312"/>
        <v>3.75</v>
      </c>
      <c r="V200" s="25">
        <f t="shared" si="313"/>
        <v>7.84943326883506</v>
      </c>
      <c r="W200" s="24">
        <f t="shared" si="314"/>
        <v>350</v>
      </c>
      <c r="X200" s="131">
        <f t="shared" si="315"/>
        <v>86.2111084932713</v>
      </c>
      <c r="Z200" s="25">
        <f t="shared" si="316"/>
        <v>0.369476179256877</v>
      </c>
      <c r="AA200" s="5">
        <f t="shared" si="317"/>
        <v>1.93345240900066</v>
      </c>
      <c r="AB200" s="5">
        <f t="shared" si="318"/>
        <v>0.0682234437013497</v>
      </c>
      <c r="AC200" s="5"/>
      <c r="AD200" s="5">
        <f t="shared" si="319"/>
        <v>1.56988665376701</v>
      </c>
      <c r="AE200" s="216">
        <f t="shared" si="320"/>
        <v>3501.68680084129</v>
      </c>
      <c r="AF200" s="217">
        <f t="shared" si="321"/>
        <v>0.0449783230076888</v>
      </c>
      <c r="AH200" s="5">
        <f t="shared" si="322"/>
        <v>1.50427960926722</v>
      </c>
      <c r="AI200" s="5">
        <f t="shared" si="323"/>
        <v>1.5</v>
      </c>
      <c r="AJ200" s="5">
        <f t="shared" si="324"/>
        <v>2.08888888888889</v>
      </c>
      <c r="AL200" s="216">
        <f t="shared" si="325"/>
        <v>450</v>
      </c>
      <c r="AM200" s="220">
        <f t="shared" si="326"/>
        <v>86.2111084932713</v>
      </c>
      <c r="AO200" t="str">
        <f t="shared" si="327"/>
        <v/>
      </c>
      <c r="AP200" t="str">
        <f t="shared" si="328"/>
        <v/>
      </c>
      <c r="AR200" s="192">
        <f t="shared" si="343"/>
        <v>11.5994332688351</v>
      </c>
      <c r="AS200" s="192">
        <f t="shared" si="335"/>
        <v>3.75</v>
      </c>
      <c r="AT200" s="192">
        <f t="shared" si="336"/>
        <v>7.84943326883506</v>
      </c>
      <c r="AU200" s="5">
        <f t="shared" si="337"/>
        <v>0.323291656849767</v>
      </c>
      <c r="AW200" s="192">
        <f t="shared" si="275"/>
        <v>9.375</v>
      </c>
      <c r="AX200" s="192"/>
      <c r="AY200" s="192">
        <f t="shared" si="276"/>
        <v>27</v>
      </c>
      <c r="AZ200" s="192"/>
      <c r="BA200" s="192">
        <f t="shared" si="277"/>
        <v>11.7741499032526</v>
      </c>
      <c r="BB200" s="192"/>
      <c r="BC200" s="192"/>
      <c r="BD200" s="5">
        <f t="shared" si="278"/>
        <v>0.492411152023718</v>
      </c>
      <c r="BE200" s="5">
        <f t="shared" si="279"/>
        <v>0.388782810877624</v>
      </c>
      <c r="BF200" s="5">
        <f t="shared" si="280"/>
        <v>0.294386984368242</v>
      </c>
      <c r="BG200" s="5"/>
      <c r="BH200" s="217">
        <f t="shared" si="281"/>
        <v>0.0848640599230639</v>
      </c>
      <c r="BI200" s="217">
        <f t="shared" si="282"/>
        <v>0.014401220829367</v>
      </c>
      <c r="BJ200" s="217">
        <f t="shared" si="283"/>
        <v>0.00107763885616589</v>
      </c>
      <c r="BK200" s="217">
        <f t="shared" si="284"/>
        <v>0.0021383700752555</v>
      </c>
      <c r="BL200">
        <f t="shared" si="285"/>
        <v>0.0029</v>
      </c>
      <c r="BM200">
        <f t="shared" si="329"/>
        <v>1.07763885616589e-6</v>
      </c>
      <c r="BN200">
        <f t="shared" si="330"/>
        <v>0.148763113962237</v>
      </c>
      <c r="BO200" s="220">
        <f t="shared" si="286"/>
        <v>105.381289683852</v>
      </c>
      <c r="BP200" s="5">
        <f t="shared" si="287"/>
        <v>0.3465</v>
      </c>
      <c r="BQ200" s="5">
        <f t="shared" si="288"/>
        <v>0.2772</v>
      </c>
      <c r="BR200" s="217"/>
      <c r="BT200" s="220">
        <f t="shared" si="289"/>
        <v>623.7</v>
      </c>
      <c r="BU200" s="217">
        <f t="shared" si="290"/>
        <v>0.00994121844813035</v>
      </c>
      <c r="BV200" s="217">
        <f t="shared" si="291"/>
        <v>0.0151152074033906</v>
      </c>
      <c r="BW200" s="217">
        <f t="shared" si="292"/>
        <v>0.00606645875957992</v>
      </c>
      <c r="BX200" s="217">
        <f t="shared" si="293"/>
        <v>0</v>
      </c>
      <c r="BY200" s="217">
        <f t="shared" si="274"/>
        <v>0.0430567848711007</v>
      </c>
      <c r="BZ200" s="217">
        <f t="shared" si="344"/>
        <v>0.0311228846111009</v>
      </c>
      <c r="CA200" s="225">
        <f t="shared" si="331"/>
        <v>0.00775899976439442</v>
      </c>
      <c r="CB200" s="220">
        <f t="shared" si="338"/>
        <v>113.061553857697</v>
      </c>
      <c r="CC200" s="5">
        <f t="shared" si="345"/>
        <v>0.823278898597732</v>
      </c>
      <c r="CD200" s="192">
        <f t="shared" si="339"/>
        <v>3.71939765094645</v>
      </c>
      <c r="CE200" s="5">
        <f t="shared" si="340"/>
        <v>0.818767880649495</v>
      </c>
      <c r="CF200" s="192">
        <f t="shared" si="341"/>
        <v>81.8767880649495</v>
      </c>
      <c r="CG200">
        <f t="shared" si="342"/>
        <v>90</v>
      </c>
      <c r="CI200" s="227">
        <f t="shared" si="332"/>
        <v>-50</v>
      </c>
      <c r="CJ200">
        <f t="shared" si="333"/>
        <v>-50</v>
      </c>
    </row>
    <row r="201" spans="5:88">
      <c r="E201" s="22">
        <v>91</v>
      </c>
      <c r="F201" s="25">
        <f t="shared" si="334"/>
        <v>0.455</v>
      </c>
      <c r="G201" s="25">
        <f t="shared" si="299"/>
        <v>0.364</v>
      </c>
      <c r="H201" s="25">
        <f t="shared" si="300"/>
        <v>8.19</v>
      </c>
      <c r="I201" s="25">
        <f t="shared" si="301"/>
        <v>1.82</v>
      </c>
      <c r="J201" s="212">
        <f t="shared" si="302"/>
        <v>10</v>
      </c>
      <c r="K201" s="131">
        <f t="shared" si="303"/>
        <v>4.72784777195435</v>
      </c>
      <c r="L201" s="131">
        <f t="shared" si="304"/>
        <v>22.2728</v>
      </c>
      <c r="M201" s="131"/>
      <c r="N201" s="25">
        <f t="shared" si="305"/>
        <v>0.551021874214288</v>
      </c>
      <c r="O201" s="27">
        <f t="shared" si="306"/>
        <v>3.04314353259255</v>
      </c>
      <c r="P201" s="27">
        <f t="shared" si="307"/>
        <v>0.676254118353899</v>
      </c>
      <c r="Q201" s="25">
        <f t="shared" si="308"/>
        <v>0.169063529588475</v>
      </c>
      <c r="R201" s="25">
        <f t="shared" si="309"/>
        <v>0.608628706518509</v>
      </c>
      <c r="S201" s="25">
        <f t="shared" si="310"/>
        <v>6.68822754415944</v>
      </c>
      <c r="T201" s="25">
        <f t="shared" si="311"/>
        <v>1.5</v>
      </c>
      <c r="U201" s="25">
        <f t="shared" si="312"/>
        <v>3.75</v>
      </c>
      <c r="V201" s="25">
        <f t="shared" si="313"/>
        <v>7.93172746010361</v>
      </c>
      <c r="W201" s="24">
        <f t="shared" si="314"/>
        <v>350</v>
      </c>
      <c r="X201" s="131">
        <f t="shared" si="315"/>
        <v>85.6037776446404</v>
      </c>
      <c r="Z201" s="25">
        <f t="shared" si="316"/>
        <v>0.366873332762745</v>
      </c>
      <c r="AA201" s="5">
        <f t="shared" si="317"/>
        <v>1.939959525236</v>
      </c>
      <c r="AB201" s="5">
        <f t="shared" si="318"/>
        <v>0.0679708218149277</v>
      </c>
      <c r="AC201" s="5"/>
      <c r="AD201" s="5">
        <f t="shared" si="319"/>
        <v>1.58634549202072</v>
      </c>
      <c r="AE201" s="216">
        <f t="shared" si="320"/>
        <v>3503.85964034746</v>
      </c>
      <c r="AF201" s="217">
        <f t="shared" si="321"/>
        <v>0.0454498799455928</v>
      </c>
      <c r="AH201" s="5">
        <f t="shared" si="322"/>
        <v>1.51261363209512</v>
      </c>
      <c r="AI201" s="5">
        <f t="shared" si="323"/>
        <v>1.5</v>
      </c>
      <c r="AJ201" s="5">
        <f t="shared" si="324"/>
        <v>2.08888888888889</v>
      </c>
      <c r="AL201" s="216">
        <f t="shared" si="325"/>
        <v>455</v>
      </c>
      <c r="AM201" s="220">
        <f t="shared" si="326"/>
        <v>85.6037776446404</v>
      </c>
      <c r="AO201" t="str">
        <f t="shared" si="327"/>
        <v/>
      </c>
      <c r="AP201" t="str">
        <f t="shared" si="328"/>
        <v/>
      </c>
      <c r="AR201" s="192">
        <f t="shared" si="343"/>
        <v>11.6817274601036</v>
      </c>
      <c r="AS201" s="192">
        <f t="shared" si="335"/>
        <v>3.75</v>
      </c>
      <c r="AT201" s="192">
        <f t="shared" si="336"/>
        <v>7.93172746010361</v>
      </c>
      <c r="AU201" s="5">
        <f t="shared" si="337"/>
        <v>0.321014166167402</v>
      </c>
      <c r="AW201" s="192">
        <f t="shared" si="275"/>
        <v>9.47916666666667</v>
      </c>
      <c r="AX201" s="192"/>
      <c r="AY201" s="192">
        <f t="shared" si="276"/>
        <v>27.3</v>
      </c>
      <c r="AZ201" s="192"/>
      <c r="BA201" s="192">
        <f t="shared" si="277"/>
        <v>12.0297866478238</v>
      </c>
      <c r="BB201" s="192"/>
      <c r="BC201" s="192"/>
      <c r="BD201" s="5">
        <f t="shared" si="278"/>
        <v>0.490673643703787</v>
      </c>
      <c r="BE201" s="5">
        <f t="shared" si="279"/>
        <v>0.389436493874873</v>
      </c>
      <c r="BF201" s="5">
        <f t="shared" si="280"/>
        <v>0.29488195420978</v>
      </c>
      <c r="BG201" s="5"/>
      <c r="BH201" s="217">
        <f t="shared" si="281"/>
        <v>0.0842662186189429</v>
      </c>
      <c r="BI201" s="217">
        <f t="shared" si="282"/>
        <v>0.0142997686404266</v>
      </c>
      <c r="BJ201" s="217">
        <f t="shared" si="283"/>
        <v>0.00107004722055801</v>
      </c>
      <c r="BK201" s="217">
        <f t="shared" si="284"/>
        <v>0.00212330591316329</v>
      </c>
      <c r="BL201">
        <f t="shared" si="285"/>
        <v>0.0029</v>
      </c>
      <c r="BM201">
        <f t="shared" si="329"/>
        <v>1.07004722055801e-6</v>
      </c>
      <c r="BN201">
        <f t="shared" si="330"/>
        <v>0.147684423346074</v>
      </c>
      <c r="BO201" s="220">
        <f t="shared" si="286"/>
        <v>104.659340393091</v>
      </c>
      <c r="BP201" s="5">
        <f t="shared" si="287"/>
        <v>0.35035</v>
      </c>
      <c r="BQ201" s="5">
        <f t="shared" si="288"/>
        <v>0.28028</v>
      </c>
      <c r="BR201" s="217"/>
      <c r="BT201" s="220">
        <f t="shared" si="289"/>
        <v>630.63</v>
      </c>
      <c r="BU201" s="217">
        <f t="shared" si="290"/>
        <v>0.0098711856096476</v>
      </c>
      <c r="BV201" s="217">
        <f t="shared" si="291"/>
        <v>0.0151660782761554</v>
      </c>
      <c r="BW201" s="217">
        <f t="shared" si="292"/>
        <v>0.00608687568430052</v>
      </c>
      <c r="BX201" s="217">
        <f t="shared" si="293"/>
        <v>0</v>
      </c>
      <c r="BY201" s="217">
        <f t="shared" si="274"/>
        <v>0.0430585253710092</v>
      </c>
      <c r="BZ201" s="217">
        <f t="shared" si="344"/>
        <v>0.0311241395701035</v>
      </c>
      <c r="CA201" s="225">
        <f t="shared" si="331"/>
        <v>0.00770433998801764</v>
      </c>
      <c r="CB201" s="220">
        <f t="shared" si="338"/>
        <v>113.011144499234</v>
      </c>
      <c r="CC201" s="5">
        <f t="shared" si="345"/>
        <v>0.829077288705101</v>
      </c>
      <c r="CD201" s="192">
        <f t="shared" si="339"/>
        <v>3.71939765094645</v>
      </c>
      <c r="CE201" s="5">
        <f t="shared" si="340"/>
        <v>0.817724116389522</v>
      </c>
      <c r="CF201" s="192">
        <f t="shared" si="341"/>
        <v>81.7724116389522</v>
      </c>
      <c r="CG201">
        <f t="shared" si="342"/>
        <v>91</v>
      </c>
      <c r="CI201" s="227">
        <f t="shared" si="332"/>
        <v>-50</v>
      </c>
      <c r="CJ201">
        <f t="shared" si="333"/>
        <v>-50</v>
      </c>
    </row>
    <row r="202" spans="5:88">
      <c r="E202" s="22">
        <v>92</v>
      </c>
      <c r="F202" s="25">
        <f t="shared" si="334"/>
        <v>0.46</v>
      </c>
      <c r="G202" s="25">
        <f t="shared" si="299"/>
        <v>0.368</v>
      </c>
      <c r="H202" s="25">
        <f t="shared" si="300"/>
        <v>8.28</v>
      </c>
      <c r="I202" s="25">
        <f t="shared" si="301"/>
        <v>1.84</v>
      </c>
      <c r="J202" s="212">
        <f t="shared" si="302"/>
        <v>10</v>
      </c>
      <c r="K202" s="131">
        <f t="shared" si="303"/>
        <v>4.67935812225919</v>
      </c>
      <c r="L202" s="131">
        <f t="shared" si="304"/>
        <v>22.2728</v>
      </c>
      <c r="M202" s="131"/>
      <c r="N202" s="25">
        <f t="shared" si="305"/>
        <v>0.551021874214288</v>
      </c>
      <c r="O202" s="27">
        <f t="shared" si="306"/>
        <v>3.04314353259255</v>
      </c>
      <c r="P202" s="27">
        <f t="shared" si="307"/>
        <v>0.676254118353899</v>
      </c>
      <c r="Q202" s="25">
        <f t="shared" si="308"/>
        <v>0.169063529588475</v>
      </c>
      <c r="R202" s="25">
        <f t="shared" si="309"/>
        <v>0.608628706518509</v>
      </c>
      <c r="S202" s="25">
        <f t="shared" si="310"/>
        <v>6.61552941867945</v>
      </c>
      <c r="T202" s="25">
        <f t="shared" si="311"/>
        <v>1.5</v>
      </c>
      <c r="U202" s="25">
        <f t="shared" si="312"/>
        <v>3.75</v>
      </c>
      <c r="V202" s="25">
        <f t="shared" si="313"/>
        <v>8.01391964885454</v>
      </c>
      <c r="W202" s="24">
        <f t="shared" si="314"/>
        <v>350</v>
      </c>
      <c r="X202" s="131">
        <f t="shared" si="315"/>
        <v>85.0056809166807</v>
      </c>
      <c r="Z202" s="25">
        <f t="shared" si="316"/>
        <v>0.364310061071489</v>
      </c>
      <c r="AA202" s="5">
        <f t="shared" si="317"/>
        <v>1.94636770446413</v>
      </c>
      <c r="AB202" s="5">
        <f t="shared" si="318"/>
        <v>0.06771887925882</v>
      </c>
      <c r="AC202" s="5"/>
      <c r="AD202" s="5">
        <f t="shared" si="319"/>
        <v>1.60278392977091</v>
      </c>
      <c r="AE202" s="216">
        <f t="shared" si="320"/>
        <v>3506.03247985363</v>
      </c>
      <c r="AF202" s="217">
        <f t="shared" si="321"/>
        <v>0.0459208523951614</v>
      </c>
      <c r="AH202" s="5">
        <f t="shared" si="322"/>
        <v>1.52090198801332</v>
      </c>
      <c r="AI202" s="5">
        <f t="shared" si="323"/>
        <v>1.5</v>
      </c>
      <c r="AJ202" s="5">
        <f t="shared" si="324"/>
        <v>2.08888888888889</v>
      </c>
      <c r="AL202" s="216">
        <f t="shared" si="325"/>
        <v>460</v>
      </c>
      <c r="AM202" s="220">
        <f t="shared" si="326"/>
        <v>85.0056809166807</v>
      </c>
      <c r="AO202" t="str">
        <f t="shared" si="327"/>
        <v/>
      </c>
      <c r="AP202" t="str">
        <f t="shared" si="328"/>
        <v/>
      </c>
      <c r="AR202" s="192">
        <f t="shared" si="343"/>
        <v>11.7639196488545</v>
      </c>
      <c r="AS202" s="192">
        <f t="shared" si="335"/>
        <v>3.75</v>
      </c>
      <c r="AT202" s="192">
        <f t="shared" si="336"/>
        <v>8.01391964885454</v>
      </c>
      <c r="AU202" s="5">
        <f t="shared" si="337"/>
        <v>0.318771303437553</v>
      </c>
      <c r="AW202" s="192">
        <f t="shared" si="275"/>
        <v>9.58333333333333</v>
      </c>
      <c r="AX202" s="192"/>
      <c r="AY202" s="192">
        <f t="shared" si="276"/>
        <v>27.6</v>
      </c>
      <c r="AZ202" s="192"/>
      <c r="BA202" s="192">
        <f t="shared" si="277"/>
        <v>12.2880101282436</v>
      </c>
      <c r="BB202" s="192"/>
      <c r="BC202" s="192"/>
      <c r="BD202" s="5">
        <f t="shared" si="278"/>
        <v>0.488956519107952</v>
      </c>
      <c r="BE202" s="5">
        <f t="shared" si="279"/>
        <v>0.39007916742871</v>
      </c>
      <c r="BF202" s="5">
        <f t="shared" si="280"/>
        <v>0.295368587682645</v>
      </c>
      <c r="BG202" s="5"/>
      <c r="BH202" s="217">
        <f t="shared" si="281"/>
        <v>0.0836774671523576</v>
      </c>
      <c r="BI202" s="217">
        <f t="shared" si="282"/>
        <v>0.0141998589744079</v>
      </c>
      <c r="BJ202" s="217">
        <f t="shared" si="283"/>
        <v>0.00106257101145851</v>
      </c>
      <c r="BK202" s="217">
        <f t="shared" si="284"/>
        <v>0.00210847079310127</v>
      </c>
      <c r="BL202">
        <f t="shared" si="285"/>
        <v>0.0029</v>
      </c>
      <c r="BM202">
        <f t="shared" si="329"/>
        <v>1.06257101145851e-6</v>
      </c>
      <c r="BN202">
        <f t="shared" si="330"/>
        <v>0.146622877664074</v>
      </c>
      <c r="BO202" s="220">
        <f t="shared" si="286"/>
        <v>103.948367931325</v>
      </c>
      <c r="BP202" s="5">
        <f t="shared" si="287"/>
        <v>0.3542</v>
      </c>
      <c r="BQ202" s="5">
        <f t="shared" si="288"/>
        <v>0.28336</v>
      </c>
      <c r="BR202" s="217"/>
      <c r="BT202" s="220">
        <f t="shared" si="289"/>
        <v>637.56</v>
      </c>
      <c r="BU202" s="217">
        <f t="shared" si="290"/>
        <v>0.00980221758070475</v>
      </c>
      <c r="BV202" s="217">
        <f t="shared" si="291"/>
        <v>0.0152161756861876</v>
      </c>
      <c r="BW202" s="217">
        <f t="shared" si="292"/>
        <v>0.00610698218127481</v>
      </c>
      <c r="BX202" s="217">
        <f t="shared" si="293"/>
        <v>0</v>
      </c>
      <c r="BY202" s="217">
        <f t="shared" si="274"/>
        <v>0.0430602394079475</v>
      </c>
      <c r="BZ202" s="217">
        <f t="shared" si="344"/>
        <v>0.0311253754481671</v>
      </c>
      <c r="CA202" s="225">
        <f t="shared" si="331"/>
        <v>0.00765051128250127</v>
      </c>
      <c r="CB202" s="220">
        <f t="shared" si="338"/>
        <v>112.961501586783</v>
      </c>
      <c r="CC202" s="5">
        <f t="shared" si="345"/>
        <v>0.834893628354523</v>
      </c>
      <c r="CD202" s="192">
        <f t="shared" si="339"/>
        <v>3.71939765094645</v>
      </c>
      <c r="CE202" s="5">
        <f t="shared" si="340"/>
        <v>0.816679791178691</v>
      </c>
      <c r="CF202" s="192">
        <f t="shared" si="341"/>
        <v>81.6679791178691</v>
      </c>
      <c r="CG202">
        <f t="shared" si="342"/>
        <v>92</v>
      </c>
      <c r="CI202" s="227">
        <f t="shared" si="332"/>
        <v>-50</v>
      </c>
      <c r="CJ202">
        <f t="shared" si="333"/>
        <v>-50</v>
      </c>
    </row>
    <row r="203" spans="5:88">
      <c r="E203" s="22">
        <v>93</v>
      </c>
      <c r="F203" s="25">
        <f t="shared" si="334"/>
        <v>0.465</v>
      </c>
      <c r="G203" s="25">
        <f t="shared" si="299"/>
        <v>0.372</v>
      </c>
      <c r="H203" s="25">
        <f t="shared" si="300"/>
        <v>8.37</v>
      </c>
      <c r="I203" s="25">
        <f t="shared" si="301"/>
        <v>1.86</v>
      </c>
      <c r="J203" s="212">
        <f t="shared" si="302"/>
        <v>10</v>
      </c>
      <c r="K203" s="131">
        <f t="shared" si="303"/>
        <v>4.63191126072952</v>
      </c>
      <c r="L203" s="131">
        <f t="shared" si="304"/>
        <v>22.2728</v>
      </c>
      <c r="M203" s="131"/>
      <c r="N203" s="25">
        <f t="shared" si="305"/>
        <v>0.551021874214288</v>
      </c>
      <c r="O203" s="27">
        <f t="shared" si="306"/>
        <v>3.04314353259255</v>
      </c>
      <c r="P203" s="27">
        <f t="shared" si="307"/>
        <v>0.676254118353899</v>
      </c>
      <c r="Q203" s="25">
        <f t="shared" si="308"/>
        <v>0.169063529588475</v>
      </c>
      <c r="R203" s="25">
        <f t="shared" si="309"/>
        <v>0.608628706518509</v>
      </c>
      <c r="S203" s="25">
        <f t="shared" si="310"/>
        <v>6.54439469374741</v>
      </c>
      <c r="T203" s="25">
        <f t="shared" si="311"/>
        <v>1.5</v>
      </c>
      <c r="U203" s="25">
        <f t="shared" si="312"/>
        <v>3.75</v>
      </c>
      <c r="V203" s="25">
        <f t="shared" si="313"/>
        <v>8.09601002461645</v>
      </c>
      <c r="W203" s="24">
        <f t="shared" si="314"/>
        <v>350</v>
      </c>
      <c r="X203" s="131">
        <f t="shared" si="315"/>
        <v>84.4166092989929</v>
      </c>
      <c r="Z203" s="25">
        <f t="shared" si="316"/>
        <v>0.361785468424255</v>
      </c>
      <c r="AA203" s="5">
        <f t="shared" si="317"/>
        <v>1.95267918608222</v>
      </c>
      <c r="AB203" s="5">
        <f t="shared" si="318"/>
        <v>0.0674676716791692</v>
      </c>
      <c r="AC203" s="5"/>
      <c r="AD203" s="5">
        <f t="shared" si="319"/>
        <v>1.61920200492329</v>
      </c>
      <c r="AE203" s="216">
        <f t="shared" si="320"/>
        <v>3508.2053193598</v>
      </c>
      <c r="AF203" s="217">
        <f t="shared" si="321"/>
        <v>0.0463912414424192</v>
      </c>
      <c r="AH203" s="5">
        <f t="shared" si="322"/>
        <v>1.52914541960067</v>
      </c>
      <c r="AI203" s="5">
        <f t="shared" si="323"/>
        <v>1.5</v>
      </c>
      <c r="AJ203" s="5">
        <f t="shared" si="324"/>
        <v>2.08888888888889</v>
      </c>
      <c r="AL203" s="216">
        <f t="shared" si="325"/>
        <v>465</v>
      </c>
      <c r="AM203" s="220">
        <f t="shared" si="326"/>
        <v>84.4166092989929</v>
      </c>
      <c r="AO203" t="str">
        <f t="shared" si="327"/>
        <v/>
      </c>
      <c r="AP203" t="str">
        <f t="shared" si="328"/>
        <v/>
      </c>
      <c r="AR203" s="192">
        <f t="shared" si="343"/>
        <v>11.8460100246164</v>
      </c>
      <c r="AS203" s="192">
        <f t="shared" si="335"/>
        <v>3.75</v>
      </c>
      <c r="AT203" s="192">
        <f t="shared" si="336"/>
        <v>8.09601002461645</v>
      </c>
      <c r="AU203" s="5">
        <f t="shared" si="337"/>
        <v>0.316562284871223</v>
      </c>
      <c r="AW203" s="192">
        <f t="shared" si="275"/>
        <v>9.6875</v>
      </c>
      <c r="AX203" s="192"/>
      <c r="AY203" s="192">
        <f t="shared" si="276"/>
        <v>27.9</v>
      </c>
      <c r="AZ203" s="192"/>
      <c r="BA203" s="192">
        <f t="shared" si="277"/>
        <v>12.5488155381555</v>
      </c>
      <c r="BB203" s="192"/>
      <c r="BC203" s="192"/>
      <c r="BD203" s="5">
        <f t="shared" si="278"/>
        <v>0.487259390523587</v>
      </c>
      <c r="BE203" s="5">
        <f t="shared" si="279"/>
        <v>0.390711109907149</v>
      </c>
      <c r="BF203" s="5">
        <f t="shared" si="280"/>
        <v>0.295847095567553</v>
      </c>
      <c r="BG203" s="5"/>
      <c r="BH203" s="217">
        <f t="shared" si="281"/>
        <v>0.0830975997786962</v>
      </c>
      <c r="BI203" s="217">
        <f t="shared" si="282"/>
        <v>0.0141014569169596</v>
      </c>
      <c r="BJ203" s="217">
        <f t="shared" si="283"/>
        <v>0.00105520761623741</v>
      </c>
      <c r="BK203" s="217">
        <f t="shared" si="284"/>
        <v>0.00209385953080038</v>
      </c>
      <c r="BL203">
        <f t="shared" si="285"/>
        <v>0.0029</v>
      </c>
      <c r="BM203">
        <f t="shared" si="329"/>
        <v>1.05520761623741e-6</v>
      </c>
      <c r="BN203">
        <f t="shared" si="330"/>
        <v>0.145578071381314</v>
      </c>
      <c r="BO203" s="220">
        <f t="shared" si="286"/>
        <v>103.248123842694</v>
      </c>
      <c r="BP203" s="5">
        <f t="shared" si="287"/>
        <v>0.35805</v>
      </c>
      <c r="BQ203" s="5">
        <f t="shared" si="288"/>
        <v>0.28644</v>
      </c>
      <c r="BR203" s="217"/>
      <c r="BT203" s="220">
        <f t="shared" si="289"/>
        <v>644.49</v>
      </c>
      <c r="BU203" s="217">
        <f t="shared" si="290"/>
        <v>0.00973429025979012</v>
      </c>
      <c r="BV203" s="217">
        <f t="shared" si="291"/>
        <v>0.0152655171404876</v>
      </c>
      <c r="BW203" s="217">
        <f t="shared" si="292"/>
        <v>0.00612678527690298</v>
      </c>
      <c r="BX203" s="217">
        <f t="shared" si="293"/>
        <v>0</v>
      </c>
      <c r="BY203" s="217">
        <f t="shared" si="274"/>
        <v>0.0430619275808858</v>
      </c>
      <c r="BZ203" s="217">
        <f t="shared" si="344"/>
        <v>0.0311265926771807</v>
      </c>
      <c r="CA203" s="225">
        <f t="shared" si="331"/>
        <v>0.00759749483690936</v>
      </c>
      <c r="CB203" s="220">
        <f t="shared" si="338"/>
        <v>112.912607772157</v>
      </c>
      <c r="CC203" s="5">
        <f t="shared" si="345"/>
        <v>0.840727493799109</v>
      </c>
      <c r="CD203" s="192">
        <f t="shared" si="339"/>
        <v>3.71939765094645</v>
      </c>
      <c r="CE203" s="5">
        <f t="shared" si="340"/>
        <v>0.815634995287828</v>
      </c>
      <c r="CF203" s="192">
        <f t="shared" si="341"/>
        <v>81.5634995287828</v>
      </c>
      <c r="CG203">
        <f t="shared" si="342"/>
        <v>93</v>
      </c>
      <c r="CI203" s="227">
        <f t="shared" si="332"/>
        <v>-50</v>
      </c>
      <c r="CJ203">
        <f t="shared" si="333"/>
        <v>-50</v>
      </c>
    </row>
    <row r="204" spans="5:88">
      <c r="E204" s="22">
        <v>94</v>
      </c>
      <c r="F204" s="25">
        <f t="shared" si="334"/>
        <v>0.47</v>
      </c>
      <c r="G204" s="25">
        <f t="shared" si="299"/>
        <v>0.376</v>
      </c>
      <c r="H204" s="25">
        <f t="shared" si="300"/>
        <v>8.46</v>
      </c>
      <c r="I204" s="25">
        <f t="shared" si="301"/>
        <v>1.88</v>
      </c>
      <c r="J204" s="212">
        <f t="shared" si="302"/>
        <v>10</v>
      </c>
      <c r="K204" s="131">
        <f t="shared" si="303"/>
        <v>4.58547390689198</v>
      </c>
      <c r="L204" s="131">
        <f t="shared" si="304"/>
        <v>22.2728</v>
      </c>
      <c r="M204" s="131"/>
      <c r="N204" s="25">
        <f t="shared" si="305"/>
        <v>0.551021874214288</v>
      </c>
      <c r="O204" s="27">
        <f t="shared" si="306"/>
        <v>3.04314353259255</v>
      </c>
      <c r="P204" s="27">
        <f t="shared" si="307"/>
        <v>0.676254118353899</v>
      </c>
      <c r="Q204" s="25">
        <f t="shared" si="308"/>
        <v>0.169063529588475</v>
      </c>
      <c r="R204" s="25">
        <f t="shared" si="309"/>
        <v>0.608628706518509</v>
      </c>
      <c r="S204" s="25">
        <f t="shared" si="310"/>
        <v>6.47477347360116</v>
      </c>
      <c r="T204" s="25">
        <f t="shared" si="311"/>
        <v>1.5</v>
      </c>
      <c r="U204" s="25">
        <f t="shared" si="312"/>
        <v>3.75</v>
      </c>
      <c r="V204" s="25">
        <f t="shared" si="313"/>
        <v>8.17799877644869</v>
      </c>
      <c r="W204" s="24">
        <f t="shared" si="314"/>
        <v>350</v>
      </c>
      <c r="X204" s="131">
        <f t="shared" si="315"/>
        <v>83.8363600417579</v>
      </c>
      <c r="Z204" s="25">
        <f t="shared" si="316"/>
        <v>0.359298685893248</v>
      </c>
      <c r="AA204" s="5">
        <f t="shared" si="317"/>
        <v>1.95889614240974</v>
      </c>
      <c r="AB204" s="5">
        <f t="shared" si="318"/>
        <v>0.0672172509438872</v>
      </c>
      <c r="AC204" s="5"/>
      <c r="AD204" s="5">
        <f t="shared" si="319"/>
        <v>1.63559975528974</v>
      </c>
      <c r="AE204" s="216">
        <f t="shared" si="320"/>
        <v>3510.37815886598</v>
      </c>
      <c r="AF204" s="217">
        <f t="shared" si="321"/>
        <v>0.0468610481707023</v>
      </c>
      <c r="AH204" s="5">
        <f t="shared" si="322"/>
        <v>1.53734464952676</v>
      </c>
      <c r="AI204" s="5">
        <f t="shared" si="323"/>
        <v>1.5</v>
      </c>
      <c r="AJ204" s="5">
        <f t="shared" si="324"/>
        <v>2.08888888888889</v>
      </c>
      <c r="AL204" s="216">
        <f t="shared" si="325"/>
        <v>470</v>
      </c>
      <c r="AM204" s="220">
        <f t="shared" si="326"/>
        <v>83.8363600417579</v>
      </c>
      <c r="AO204" t="str">
        <f t="shared" si="327"/>
        <v/>
      </c>
      <c r="AP204" t="str">
        <f t="shared" si="328"/>
        <v/>
      </c>
      <c r="AR204" s="192">
        <f t="shared" si="343"/>
        <v>11.9279987764487</v>
      </c>
      <c r="AS204" s="192">
        <f t="shared" si="335"/>
        <v>3.75</v>
      </c>
      <c r="AT204" s="192">
        <f t="shared" si="336"/>
        <v>8.17799877644869</v>
      </c>
      <c r="AU204" s="5">
        <f t="shared" si="337"/>
        <v>0.314386350156592</v>
      </c>
      <c r="AW204" s="192">
        <f t="shared" si="275"/>
        <v>9.79166666666667</v>
      </c>
      <c r="AX204" s="192"/>
      <c r="AY204" s="192">
        <f t="shared" si="276"/>
        <v>28.2</v>
      </c>
      <c r="AZ204" s="192"/>
      <c r="BA204" s="192">
        <f t="shared" si="277"/>
        <v>12.812198083103</v>
      </c>
      <c r="BB204" s="192"/>
      <c r="BC204" s="192"/>
      <c r="BD204" s="5">
        <f t="shared" si="278"/>
        <v>0.48558188044597</v>
      </c>
      <c r="BE204" s="5">
        <f t="shared" si="279"/>
        <v>0.391332590281733</v>
      </c>
      <c r="BF204" s="5">
        <f t="shared" si="280"/>
        <v>0.296317681530201</v>
      </c>
      <c r="BG204" s="5"/>
      <c r="BH204" s="217">
        <f t="shared" si="281"/>
        <v>0.0825264169161054</v>
      </c>
      <c r="BI204" s="217">
        <f t="shared" si="282"/>
        <v>0.0140045285995355</v>
      </c>
      <c r="BJ204" s="217">
        <f t="shared" si="283"/>
        <v>0.00104795450052197</v>
      </c>
      <c r="BK204" s="217">
        <f t="shared" si="284"/>
        <v>0.00207946709727823</v>
      </c>
      <c r="BL204">
        <f t="shared" si="285"/>
        <v>0.0029</v>
      </c>
      <c r="BM204">
        <f t="shared" si="329"/>
        <v>1.04795450052197e-6</v>
      </c>
      <c r="BN204">
        <f t="shared" si="330"/>
        <v>0.144549611652492</v>
      </c>
      <c r="BO204" s="220">
        <f t="shared" si="286"/>
        <v>102.558367113441</v>
      </c>
      <c r="BP204" s="5">
        <f t="shared" si="287"/>
        <v>0.3619</v>
      </c>
      <c r="BQ204" s="5">
        <f t="shared" si="288"/>
        <v>0.28952</v>
      </c>
      <c r="BR204" s="217"/>
      <c r="BT204" s="220">
        <f t="shared" si="289"/>
        <v>651.42</v>
      </c>
      <c r="BU204" s="217">
        <f t="shared" si="290"/>
        <v>0.00966738026731521</v>
      </c>
      <c r="BV204" s="217">
        <f t="shared" si="291"/>
        <v>0.0153141196216611</v>
      </c>
      <c r="BW204" s="217">
        <f t="shared" si="292"/>
        <v>0.00614629178712037</v>
      </c>
      <c r="BX204" s="217">
        <f t="shared" si="293"/>
        <v>0</v>
      </c>
      <c r="BY204" s="217">
        <f t="shared" si="274"/>
        <v>0.0430635904708535</v>
      </c>
      <c r="BZ204" s="217">
        <f t="shared" si="344"/>
        <v>0.0311277916760967</v>
      </c>
      <c r="CA204" s="225">
        <f t="shared" si="331"/>
        <v>0.00754527240375821</v>
      </c>
      <c r="CB204" s="220">
        <f t="shared" si="338"/>
        <v>112.864446226805</v>
      </c>
      <c r="CC204" s="5">
        <f t="shared" si="345"/>
        <v>0.846578474527104</v>
      </c>
      <c r="CD204" s="192">
        <f t="shared" si="339"/>
        <v>3.71939765094645</v>
      </c>
      <c r="CE204" s="5">
        <f t="shared" si="340"/>
        <v>0.814589815788995</v>
      </c>
      <c r="CF204" s="192">
        <f t="shared" si="341"/>
        <v>81.4589815788995</v>
      </c>
      <c r="CG204">
        <f t="shared" si="342"/>
        <v>94</v>
      </c>
      <c r="CI204" s="227">
        <f t="shared" si="332"/>
        <v>-50</v>
      </c>
      <c r="CJ204">
        <f t="shared" si="333"/>
        <v>-50</v>
      </c>
    </row>
    <row r="205" spans="5:88">
      <c r="E205" s="22">
        <v>95</v>
      </c>
      <c r="F205" s="25">
        <f t="shared" si="334"/>
        <v>0.475</v>
      </c>
      <c r="G205" s="25">
        <f t="shared" si="299"/>
        <v>0.38</v>
      </c>
      <c r="H205" s="25">
        <f t="shared" si="300"/>
        <v>8.55</v>
      </c>
      <c r="I205" s="25">
        <f t="shared" si="301"/>
        <v>1.9</v>
      </c>
      <c r="J205" s="212">
        <f t="shared" si="302"/>
        <v>10</v>
      </c>
      <c r="K205" s="131">
        <f t="shared" si="303"/>
        <v>4.54001418155627</v>
      </c>
      <c r="L205" s="131">
        <f t="shared" si="304"/>
        <v>22.2728</v>
      </c>
      <c r="M205" s="131"/>
      <c r="N205" s="25">
        <f t="shared" si="305"/>
        <v>0.551021874214288</v>
      </c>
      <c r="O205" s="27">
        <f t="shared" si="306"/>
        <v>3.04314353259255</v>
      </c>
      <c r="P205" s="27">
        <f t="shared" si="307"/>
        <v>0.676254118353899</v>
      </c>
      <c r="Q205" s="25">
        <f t="shared" si="308"/>
        <v>0.169063529588475</v>
      </c>
      <c r="R205" s="25">
        <f t="shared" si="309"/>
        <v>0.608628706518509</v>
      </c>
      <c r="S205" s="25">
        <f t="shared" si="310"/>
        <v>6.40661796335273</v>
      </c>
      <c r="T205" s="25">
        <f t="shared" si="311"/>
        <v>1.5</v>
      </c>
      <c r="U205" s="25">
        <f t="shared" si="312"/>
        <v>3.75</v>
      </c>
      <c r="V205" s="25">
        <f t="shared" si="313"/>
        <v>8.25988609294286</v>
      </c>
      <c r="W205" s="24">
        <f t="shared" si="314"/>
        <v>350</v>
      </c>
      <c r="X205" s="131">
        <f t="shared" si="315"/>
        <v>83.2647364230716</v>
      </c>
      <c r="Z205" s="25">
        <f t="shared" si="316"/>
        <v>0.356848870384592</v>
      </c>
      <c r="AA205" s="5">
        <f t="shared" si="317"/>
        <v>1.96502068118138</v>
      </c>
      <c r="AB205" s="5">
        <f t="shared" si="318"/>
        <v>0.0669676653609521</v>
      </c>
      <c r="AC205" s="5"/>
      <c r="AD205" s="5">
        <f t="shared" si="319"/>
        <v>1.65197721858857</v>
      </c>
      <c r="AE205" s="216">
        <f t="shared" si="320"/>
        <v>3512.55099837215</v>
      </c>
      <c r="AF205" s="217">
        <f t="shared" si="321"/>
        <v>0.0473302736606662</v>
      </c>
      <c r="AH205" s="5">
        <f t="shared" si="322"/>
        <v>1.54550038129126</v>
      </c>
      <c r="AI205" s="5">
        <f t="shared" si="323"/>
        <v>1.5</v>
      </c>
      <c r="AJ205" s="5">
        <f t="shared" si="324"/>
        <v>2.08888888888889</v>
      </c>
      <c r="AL205" s="216">
        <f t="shared" si="325"/>
        <v>475</v>
      </c>
      <c r="AM205" s="220">
        <f t="shared" si="326"/>
        <v>83.2647364230716</v>
      </c>
      <c r="AO205" t="str">
        <f t="shared" si="327"/>
        <v/>
      </c>
      <c r="AP205" t="str">
        <f t="shared" si="328"/>
        <v/>
      </c>
      <c r="AR205" s="192">
        <f t="shared" si="343"/>
        <v>12.0098860929429</v>
      </c>
      <c r="AS205" s="192">
        <f t="shared" si="335"/>
        <v>3.75</v>
      </c>
      <c r="AT205" s="192">
        <f t="shared" si="336"/>
        <v>8.25988609294286</v>
      </c>
      <c r="AU205" s="5">
        <f t="shared" si="337"/>
        <v>0.312242761586518</v>
      </c>
      <c r="AW205" s="192">
        <f t="shared" si="275"/>
        <v>9.89583333333333</v>
      </c>
      <c r="AX205" s="192"/>
      <c r="AY205" s="192">
        <f t="shared" si="276"/>
        <v>28.5</v>
      </c>
      <c r="AZ205" s="192"/>
      <c r="BA205" s="192">
        <f t="shared" si="277"/>
        <v>13.0781529804929</v>
      </c>
      <c r="BB205" s="192"/>
      <c r="BC205" s="192"/>
      <c r="BD205" s="5">
        <f t="shared" si="278"/>
        <v>0.483923621235716</v>
      </c>
      <c r="BE205" s="5">
        <f t="shared" si="279"/>
        <v>0.391943868524653</v>
      </c>
      <c r="BF205" s="5">
        <f t="shared" si="280"/>
        <v>0.296780542421959</v>
      </c>
      <c r="BG205" s="5"/>
      <c r="BH205" s="217">
        <f t="shared" si="281"/>
        <v>0.0819637249164611</v>
      </c>
      <c r="BI205" s="217">
        <f t="shared" si="282"/>
        <v>0.0139090411605284</v>
      </c>
      <c r="BJ205" s="217">
        <f t="shared" si="283"/>
        <v>0.00104080920528839</v>
      </c>
      <c r="BK205" s="217">
        <f t="shared" si="284"/>
        <v>0.00206528861306811</v>
      </c>
      <c r="BL205">
        <f t="shared" si="285"/>
        <v>0.0029</v>
      </c>
      <c r="BM205">
        <f t="shared" si="329"/>
        <v>1.04080920528839e-6</v>
      </c>
      <c r="BN205">
        <f t="shared" si="330"/>
        <v>0.143537117829443</v>
      </c>
      <c r="BO205" s="220">
        <f t="shared" si="286"/>
        <v>101.878863895346</v>
      </c>
      <c r="BP205" s="5">
        <f t="shared" si="287"/>
        <v>0.36575</v>
      </c>
      <c r="BQ205" s="5">
        <f t="shared" si="288"/>
        <v>0.2926</v>
      </c>
      <c r="BR205" s="217"/>
      <c r="BT205" s="220">
        <f t="shared" si="289"/>
        <v>658.35</v>
      </c>
      <c r="BU205" s="217">
        <f t="shared" si="290"/>
        <v>0.00960146491878544</v>
      </c>
      <c r="BV205" s="217">
        <f t="shared" si="291"/>
        <v>0.0153619996074071</v>
      </c>
      <c r="BW205" s="217">
        <f t="shared" si="292"/>
        <v>0.00616550832521907</v>
      </c>
      <c r="BX205" s="217">
        <f t="shared" si="293"/>
        <v>0</v>
      </c>
      <c r="BY205" s="217">
        <f t="shared" si="274"/>
        <v>0.0430652286416059</v>
      </c>
      <c r="BZ205" s="217">
        <f t="shared" si="344"/>
        <v>0.0311289728514116</v>
      </c>
      <c r="CA205" s="225">
        <f t="shared" si="331"/>
        <v>0.00749382627807644</v>
      </c>
      <c r="CB205" s="220">
        <f t="shared" si="338"/>
        <v>112.817000622505</v>
      </c>
      <c r="CC205" s="5">
        <f t="shared" si="345"/>
        <v>0.852446172749125</v>
      </c>
      <c r="CD205" s="192">
        <f t="shared" si="339"/>
        <v>3.71939765094645</v>
      </c>
      <c r="CE205" s="5">
        <f t="shared" si="340"/>
        <v>0.813544336678574</v>
      </c>
      <c r="CF205" s="192">
        <f t="shared" si="341"/>
        <v>81.3544336678573</v>
      </c>
      <c r="CG205">
        <f t="shared" si="342"/>
        <v>95</v>
      </c>
      <c r="CI205" s="227">
        <f t="shared" si="332"/>
        <v>-50</v>
      </c>
      <c r="CJ205">
        <f t="shared" si="333"/>
        <v>-50</v>
      </c>
    </row>
    <row r="206" spans="5:88">
      <c r="E206" s="22">
        <v>96</v>
      </c>
      <c r="F206" s="25">
        <f t="shared" si="334"/>
        <v>0.48</v>
      </c>
      <c r="G206" s="25">
        <f t="shared" si="299"/>
        <v>0.384</v>
      </c>
      <c r="H206" s="25">
        <f t="shared" si="300"/>
        <v>8.64</v>
      </c>
      <c r="I206" s="25">
        <f t="shared" si="301"/>
        <v>1.92</v>
      </c>
      <c r="J206" s="212">
        <f t="shared" si="302"/>
        <v>10</v>
      </c>
      <c r="K206" s="131">
        <f t="shared" si="303"/>
        <v>4.49550153383173</v>
      </c>
      <c r="L206" s="131">
        <f t="shared" si="304"/>
        <v>22.2728</v>
      </c>
      <c r="M206" s="131"/>
      <c r="N206" s="25">
        <f t="shared" si="305"/>
        <v>0.551021874214288</v>
      </c>
      <c r="O206" s="27">
        <f t="shared" ref="O206:O210" si="346">N206*J206*Isw_max*0.5*Efficiency*Pout/(Pout+Pout2)</f>
        <v>3.04314353259255</v>
      </c>
      <c r="P206" s="27">
        <f t="shared" si="307"/>
        <v>0.676254118353899</v>
      </c>
      <c r="Q206" s="25">
        <f t="shared" si="308"/>
        <v>0.169063529588475</v>
      </c>
      <c r="R206" s="25">
        <f t="shared" si="309"/>
        <v>0.608628706518509</v>
      </c>
      <c r="S206" s="25">
        <f t="shared" si="310"/>
        <v>6.33988235956781</v>
      </c>
      <c r="T206" s="25">
        <f t="shared" si="311"/>
        <v>1.5</v>
      </c>
      <c r="U206" s="25">
        <f t="shared" si="312"/>
        <v>3.75</v>
      </c>
      <c r="V206" s="25">
        <f t="shared" si="313"/>
        <v>8.34167216222413</v>
      </c>
      <c r="W206" s="24">
        <f t="shared" si="314"/>
        <v>350</v>
      </c>
      <c r="X206" s="131">
        <f t="shared" si="315"/>
        <v>82.7015475265798</v>
      </c>
      <c r="Z206" s="25">
        <f t="shared" si="316"/>
        <v>0.354435203685342</v>
      </c>
      <c r="AA206" s="5">
        <f t="shared" si="317"/>
        <v>1.9710548479295</v>
      </c>
      <c r="AB206" s="5">
        <f t="shared" ref="AB206:AB210" si="347">0.5*AA206*Z206*Nps*W206/1000*(Pout/(Pout+Pout2))</f>
        <v>0.0667189598836209</v>
      </c>
      <c r="AC206" s="5"/>
      <c r="AD206" s="5">
        <f t="shared" si="319"/>
        <v>1.66833443244483</v>
      </c>
      <c r="AE206" s="216">
        <f t="shared" ref="AE206:AE210" si="348">MAX(10,F206/(0.5*AD206/1000000*Isw_min*Nps)/1000*Pout_total/Pout)</f>
        <v>3514.72383787832</v>
      </c>
      <c r="AF206" s="217">
        <f t="shared" si="321"/>
        <v>0.0477989189902936</v>
      </c>
      <c r="AH206" s="5">
        <f t="shared" si="322"/>
        <v>1.55361329992836</v>
      </c>
      <c r="AI206" s="5">
        <f t="shared" ref="AI206:AI210" si="349">MAX(IF(F206&gt;AB206,T206,AH206),Isw_min)</f>
        <v>1.5</v>
      </c>
      <c r="AJ206" s="5">
        <f t="shared" ref="AJ206:AJ210" si="350">IF(F206&gt;AF206,(AI206-Isw_min)/1.08*0.8+1.2,AE206*0.2/350+1)</f>
        <v>2.08888888888889</v>
      </c>
      <c r="AL206" s="216">
        <f t="shared" si="325"/>
        <v>480</v>
      </c>
      <c r="AM206" s="220">
        <f t="shared" si="326"/>
        <v>82.7015475265798</v>
      </c>
      <c r="AO206" t="str">
        <f t="shared" si="327"/>
        <v/>
      </c>
      <c r="AP206" t="str">
        <f t="shared" si="328"/>
        <v/>
      </c>
      <c r="AR206" s="192">
        <f t="shared" si="343"/>
        <v>12.0916721622241</v>
      </c>
      <c r="AS206" s="192">
        <f t="shared" si="335"/>
        <v>3.75</v>
      </c>
      <c r="AT206" s="192">
        <f t="shared" si="336"/>
        <v>8.34167216222413</v>
      </c>
      <c r="AU206" s="5">
        <f t="shared" si="337"/>
        <v>0.310130803224674</v>
      </c>
      <c r="AW206" s="192">
        <f t="shared" si="275"/>
        <v>10</v>
      </c>
      <c r="AX206" s="192"/>
      <c r="AY206" s="192">
        <f t="shared" si="276"/>
        <v>28.8</v>
      </c>
      <c r="AZ206" s="192"/>
      <c r="BA206" s="192">
        <f t="shared" si="277"/>
        <v>13.3466754595586</v>
      </c>
      <c r="BB206" s="192"/>
      <c r="BC206" s="192"/>
      <c r="BD206" s="5">
        <f t="shared" si="278"/>
        <v>0.482284254790166</v>
      </c>
      <c r="BE206" s="5">
        <f t="shared" si="279"/>
        <v>0.392545195985681</v>
      </c>
      <c r="BF206" s="5">
        <f t="shared" si="280"/>
        <v>0.297235868565289</v>
      </c>
      <c r="BG206" s="5"/>
      <c r="BH206" s="217">
        <f t="shared" si="281"/>
        <v>0.0814093358464769</v>
      </c>
      <c r="BI206" s="217">
        <f t="shared" si="282"/>
        <v>0.013814962708125</v>
      </c>
      <c r="BJ206" s="217">
        <f t="shared" si="283"/>
        <v>0.00103376934408225</v>
      </c>
      <c r="BK206" s="217">
        <f t="shared" si="284"/>
        <v>0.00205131934270352</v>
      </c>
      <c r="BL206">
        <f t="shared" si="285"/>
        <v>0.0029</v>
      </c>
      <c r="BM206">
        <f t="shared" si="329"/>
        <v>1.03376934408225e-6</v>
      </c>
      <c r="BN206">
        <f t="shared" ref="BN206:BN210" si="351">(BI206+BJ206+BK206+BL206+BM206+BH206*(1+RdsonTC*(Ta-25)))/(1-BH206*RdsonTC*ThetaJA)</f>
        <v>0.142540220991406</v>
      </c>
      <c r="BO206" s="220">
        <f t="shared" si="286"/>
        <v>101.209387241388</v>
      </c>
      <c r="BP206" s="5">
        <f t="shared" si="287"/>
        <v>0.3696</v>
      </c>
      <c r="BQ206" s="5">
        <f t="shared" si="288"/>
        <v>0.29568</v>
      </c>
      <c r="BR206" s="217"/>
      <c r="BT206" s="220">
        <f t="shared" si="289"/>
        <v>665.28</v>
      </c>
      <c r="BU206" s="217">
        <f t="shared" si="290"/>
        <v>0.00953652219915873</v>
      </c>
      <c r="BV206" s="217">
        <f t="shared" si="291"/>
        <v>0.0154091730891437</v>
      </c>
      <c r="BW206" s="217">
        <f t="shared" si="292"/>
        <v>0.00618444130932332</v>
      </c>
      <c r="BX206" s="217">
        <f t="shared" si="293"/>
        <v>0</v>
      </c>
      <c r="BY206" s="217">
        <f t="shared" si="274"/>
        <v>0.043066842640261</v>
      </c>
      <c r="BZ206" s="217">
        <f t="shared" si="344"/>
        <v>0.0311301365976257</v>
      </c>
      <c r="CA206" s="225">
        <f t="shared" si="331"/>
        <v>0.00744313927739218</v>
      </c>
      <c r="CB206" s="220">
        <f t="shared" si="338"/>
        <v>112.770255112905</v>
      </c>
      <c r="CC206" s="5">
        <f t="shared" si="345"/>
        <v>0.858330202909059</v>
      </c>
      <c r="CD206" s="192">
        <f t="shared" si="339"/>
        <v>3.71939765094645</v>
      </c>
      <c r="CE206" s="5">
        <f t="shared" si="340"/>
        <v>0.812498638994857</v>
      </c>
      <c r="CF206" s="192">
        <f t="shared" si="341"/>
        <v>81.2498638994857</v>
      </c>
      <c r="CG206">
        <f t="shared" si="342"/>
        <v>96</v>
      </c>
      <c r="CI206" s="227">
        <f t="shared" si="332"/>
        <v>-50</v>
      </c>
      <c r="CJ206">
        <f t="shared" si="333"/>
        <v>-50</v>
      </c>
    </row>
    <row r="207" spans="5:88">
      <c r="E207" s="22">
        <v>97</v>
      </c>
      <c r="F207" s="25">
        <f t="shared" ref="F207:F210" si="352">IF(PLOT_TYPE=1,E207/100*Iout_max,min_I*EXP(O207*rr/100))</f>
        <v>0.485</v>
      </c>
      <c r="G207" s="25">
        <f t="shared" si="299"/>
        <v>0.388</v>
      </c>
      <c r="H207" s="25">
        <f t="shared" si="300"/>
        <v>8.73</v>
      </c>
      <c r="I207" s="25">
        <f t="shared" si="301"/>
        <v>1.94</v>
      </c>
      <c r="J207" s="212">
        <f t="shared" si="302"/>
        <v>10</v>
      </c>
      <c r="K207" s="131">
        <f t="shared" si="303"/>
        <v>4.4519066726582</v>
      </c>
      <c r="L207" s="131">
        <f t="shared" si="304"/>
        <v>22.2728</v>
      </c>
      <c r="M207" s="131"/>
      <c r="N207" s="25">
        <f t="shared" si="305"/>
        <v>0.551021874214288</v>
      </c>
      <c r="O207" s="27">
        <f t="shared" si="346"/>
        <v>3.04314353259255</v>
      </c>
      <c r="P207" s="27">
        <f t="shared" si="307"/>
        <v>0.676254118353899</v>
      </c>
      <c r="Q207" s="25">
        <f t="shared" si="308"/>
        <v>0.169063529588475</v>
      </c>
      <c r="R207" s="25">
        <f t="shared" si="309"/>
        <v>0.608628706518509</v>
      </c>
      <c r="S207" s="25">
        <f t="shared" si="310"/>
        <v>6.2745227476135</v>
      </c>
      <c r="T207" s="25">
        <f t="shared" si="311"/>
        <v>1.5</v>
      </c>
      <c r="U207" s="25">
        <f t="shared" si="312"/>
        <v>3.75</v>
      </c>
      <c r="V207" s="25">
        <f t="shared" si="313"/>
        <v>8.42335717195281</v>
      </c>
      <c r="W207" s="24">
        <f t="shared" si="314"/>
        <v>350</v>
      </c>
      <c r="X207" s="131">
        <f t="shared" si="315"/>
        <v>82.1466080288831</v>
      </c>
      <c r="Z207" s="25">
        <f t="shared" si="316"/>
        <v>0.352056891552356</v>
      </c>
      <c r="AA207" s="5">
        <f t="shared" si="317"/>
        <v>1.97700062826197</v>
      </c>
      <c r="AB207" s="5">
        <f t="shared" si="347"/>
        <v>0.0664711763033998</v>
      </c>
      <c r="AC207" s="5"/>
      <c r="AD207" s="5">
        <f t="shared" si="319"/>
        <v>1.68467143439056</v>
      </c>
      <c r="AE207" s="216">
        <f t="shared" si="348"/>
        <v>3516.89667738449</v>
      </c>
      <c r="AF207" s="217">
        <f t="shared" si="321"/>
        <v>0.0482669852349039</v>
      </c>
      <c r="AH207" s="5">
        <f t="shared" si="322"/>
        <v>1.56168407267832</v>
      </c>
      <c r="AI207" s="5">
        <f t="shared" si="349"/>
        <v>1.5</v>
      </c>
      <c r="AJ207" s="5">
        <f t="shared" si="350"/>
        <v>2.08888888888889</v>
      </c>
      <c r="AL207" s="216">
        <f t="shared" si="325"/>
        <v>485</v>
      </c>
      <c r="AM207" s="220">
        <f t="shared" si="326"/>
        <v>82.1466080288831</v>
      </c>
      <c r="AO207" t="str">
        <f t="shared" si="327"/>
        <v/>
      </c>
      <c r="AP207" t="str">
        <f t="shared" si="328"/>
        <v/>
      </c>
      <c r="AR207" s="192">
        <f t="shared" si="343"/>
        <v>12.1733571719528</v>
      </c>
      <c r="AS207" s="192">
        <f t="shared" si="335"/>
        <v>3.75</v>
      </c>
      <c r="AT207" s="192">
        <f t="shared" si="336"/>
        <v>8.42335717195281</v>
      </c>
      <c r="AU207" s="5">
        <f t="shared" si="337"/>
        <v>0.308049780108312</v>
      </c>
      <c r="AW207" s="192">
        <f t="shared" si="275"/>
        <v>10.1041666666667</v>
      </c>
      <c r="AX207" s="192"/>
      <c r="AY207" s="192">
        <f t="shared" si="276"/>
        <v>29.1</v>
      </c>
      <c r="AZ207" s="192"/>
      <c r="BA207" s="192">
        <f t="shared" si="277"/>
        <v>13.6177607613237</v>
      </c>
      <c r="BB207" s="192"/>
      <c r="BC207" s="192"/>
      <c r="BD207" s="5">
        <f t="shared" si="278"/>
        <v>0.480663432228034</v>
      </c>
      <c r="BE207" s="5">
        <f t="shared" si="279"/>
        <v>0.393136815750133</v>
      </c>
      <c r="BF207" s="5">
        <f t="shared" si="280"/>
        <v>0.297683844024792</v>
      </c>
      <c r="BG207" s="5"/>
      <c r="BH207" s="217">
        <f t="shared" si="281"/>
        <v>0.0808630672784318</v>
      </c>
      <c r="BI207" s="217">
        <f t="shared" si="282"/>
        <v>0.0137222622847928</v>
      </c>
      <c r="BJ207" s="217">
        <f t="shared" si="283"/>
        <v>0.00102683260036104</v>
      </c>
      <c r="BK207" s="217">
        <f t="shared" si="284"/>
        <v>0.00203755468944489</v>
      </c>
      <c r="BL207">
        <f t="shared" si="285"/>
        <v>0.0029</v>
      </c>
      <c r="BM207">
        <f t="shared" si="329"/>
        <v>1.02683260036104e-6</v>
      </c>
      <c r="BN207">
        <f t="shared" si="351"/>
        <v>0.141558563496845</v>
      </c>
      <c r="BO207" s="220">
        <f t="shared" si="286"/>
        <v>100.549716853031</v>
      </c>
      <c r="BP207" s="5">
        <f t="shared" si="287"/>
        <v>0.37345</v>
      </c>
      <c r="BQ207" s="5">
        <f t="shared" si="288"/>
        <v>0.29876</v>
      </c>
      <c r="BR207" s="217"/>
      <c r="BT207" s="220">
        <f t="shared" si="289"/>
        <v>672.21</v>
      </c>
      <c r="BU207" s="217">
        <f t="shared" si="290"/>
        <v>0.00947253073833058</v>
      </c>
      <c r="BV207" s="217">
        <f t="shared" si="291"/>
        <v>0.0154556555898154</v>
      </c>
      <c r="BW207" s="217">
        <f t="shared" si="292"/>
        <v>0.00620309696953637</v>
      </c>
      <c r="BX207" s="217">
        <f t="shared" si="293"/>
        <v>0</v>
      </c>
      <c r="BY207" s="217">
        <f t="shared" si="274"/>
        <v>0.0430684329979093</v>
      </c>
      <c r="BZ207" s="217">
        <f t="shared" si="344"/>
        <v>0.0311312832976824</v>
      </c>
      <c r="CA207" s="225">
        <f t="shared" si="331"/>
        <v>0.00739319472259948</v>
      </c>
      <c r="CB207" s="220">
        <f t="shared" si="338"/>
        <v>112.724194315873</v>
      </c>
      <c r="CC207" s="5">
        <f t="shared" si="345"/>
        <v>0.864230191217354</v>
      </c>
      <c r="CD207" s="192">
        <f t="shared" si="339"/>
        <v>3.71939765094645</v>
      </c>
      <c r="CE207" s="5">
        <f t="shared" si="340"/>
        <v>0.811452800930414</v>
      </c>
      <c r="CF207" s="192">
        <f t="shared" si="341"/>
        <v>81.1452800930414</v>
      </c>
      <c r="CG207">
        <f t="shared" si="342"/>
        <v>97</v>
      </c>
      <c r="CI207" s="227">
        <f t="shared" si="332"/>
        <v>-50</v>
      </c>
      <c r="CJ207">
        <f t="shared" si="333"/>
        <v>-50</v>
      </c>
    </row>
    <row r="208" spans="5:88">
      <c r="E208" s="22">
        <v>98</v>
      </c>
      <c r="F208" s="25">
        <f t="shared" si="352"/>
        <v>0.49</v>
      </c>
      <c r="G208" s="25">
        <f t="shared" si="299"/>
        <v>0.392</v>
      </c>
      <c r="H208" s="25">
        <f t="shared" si="300"/>
        <v>8.82</v>
      </c>
      <c r="I208" s="25">
        <f t="shared" si="301"/>
        <v>1.96</v>
      </c>
      <c r="J208" s="212">
        <f t="shared" si="302"/>
        <v>10</v>
      </c>
      <c r="K208" s="131">
        <f t="shared" si="303"/>
        <v>4.40920150252904</v>
      </c>
      <c r="L208" s="131">
        <f t="shared" si="304"/>
        <v>22.2728</v>
      </c>
      <c r="M208" s="131"/>
      <c r="N208" s="25">
        <f t="shared" si="305"/>
        <v>0.551021874214288</v>
      </c>
      <c r="O208" s="27">
        <f t="shared" si="346"/>
        <v>3.04314353259255</v>
      </c>
      <c r="P208" s="27">
        <f t="shared" si="307"/>
        <v>0.676254118353899</v>
      </c>
      <c r="Q208" s="25">
        <f t="shared" si="308"/>
        <v>0.169063529588475</v>
      </c>
      <c r="R208" s="25">
        <f t="shared" si="309"/>
        <v>0.608628706518509</v>
      </c>
      <c r="S208" s="25">
        <f t="shared" si="310"/>
        <v>6.21049700529091</v>
      </c>
      <c r="T208" s="25">
        <f t="shared" si="311"/>
        <v>1.5</v>
      </c>
      <c r="U208" s="25">
        <f t="shared" si="312"/>
        <v>3.75</v>
      </c>
      <c r="V208" s="25">
        <f t="shared" si="313"/>
        <v>8.50494130932566</v>
      </c>
      <c r="W208" s="24">
        <f t="shared" si="314"/>
        <v>350</v>
      </c>
      <c r="X208" s="131">
        <f t="shared" si="315"/>
        <v>81.5997379962178</v>
      </c>
      <c r="Z208" s="25">
        <f t="shared" si="316"/>
        <v>0.349713162840933</v>
      </c>
      <c r="AA208" s="5">
        <f t="shared" si="317"/>
        <v>1.98285995004052</v>
      </c>
      <c r="AB208" s="5">
        <f t="shared" si="347"/>
        <v>0.0662243534315605</v>
      </c>
      <c r="AC208" s="5"/>
      <c r="AD208" s="5">
        <f t="shared" si="319"/>
        <v>1.70098826186513</v>
      </c>
      <c r="AE208" s="216">
        <f t="shared" si="348"/>
        <v>3519.06951689067</v>
      </c>
      <c r="AF208" s="217">
        <f t="shared" si="321"/>
        <v>0.04873447346716</v>
      </c>
      <c r="AH208" s="5">
        <f t="shared" si="322"/>
        <v>1.56971334962789</v>
      </c>
      <c r="AI208" s="5">
        <f t="shared" si="349"/>
        <v>1.5</v>
      </c>
      <c r="AJ208" s="5">
        <f t="shared" si="350"/>
        <v>2.08888888888889</v>
      </c>
      <c r="AL208" s="216">
        <f t="shared" si="325"/>
        <v>490</v>
      </c>
      <c r="AM208" s="220">
        <f t="shared" si="326"/>
        <v>81.5997379962178</v>
      </c>
      <c r="AO208" t="str">
        <f t="shared" si="327"/>
        <v/>
      </c>
      <c r="AP208" t="str">
        <f t="shared" si="328"/>
        <v/>
      </c>
      <c r="AR208" s="192">
        <f t="shared" si="343"/>
        <v>12.2549413093257</v>
      </c>
      <c r="AS208" s="192">
        <f t="shared" si="335"/>
        <v>3.75</v>
      </c>
      <c r="AT208" s="192">
        <f t="shared" si="336"/>
        <v>8.50494130932566</v>
      </c>
      <c r="AU208" s="5">
        <f t="shared" si="337"/>
        <v>0.305999017485817</v>
      </c>
      <c r="AW208" s="192">
        <f t="shared" si="275"/>
        <v>10.2083333333333</v>
      </c>
      <c r="AX208" s="192"/>
      <c r="AY208" s="192">
        <f t="shared" si="276"/>
        <v>29.4</v>
      </c>
      <c r="AZ208" s="192"/>
      <c r="BA208" s="192">
        <f t="shared" si="277"/>
        <v>13.8914041385652</v>
      </c>
      <c r="BB208" s="192"/>
      <c r="BC208" s="192"/>
      <c r="BD208" s="5">
        <f t="shared" si="278"/>
        <v>0.479060813586712</v>
      </c>
      <c r="BE208" s="5">
        <f t="shared" si="279"/>
        <v>0.39371896297897</v>
      </c>
      <c r="BF208" s="5">
        <f t="shared" si="280"/>
        <v>0.298124646864734</v>
      </c>
      <c r="BG208" s="5"/>
      <c r="BH208" s="217">
        <f t="shared" si="281"/>
        <v>0.0803247420900269</v>
      </c>
      <c r="BI208" s="217">
        <f t="shared" si="282"/>
        <v>0.0136309098333162</v>
      </c>
      <c r="BJ208" s="217">
        <f t="shared" si="283"/>
        <v>0.00101999672495272</v>
      </c>
      <c r="BK208" s="217">
        <f t="shared" si="284"/>
        <v>0.00202399019023657</v>
      </c>
      <c r="BL208">
        <f t="shared" si="285"/>
        <v>0.0029</v>
      </c>
      <c r="BM208">
        <f t="shared" si="329"/>
        <v>1.01999672495272e-6</v>
      </c>
      <c r="BN208">
        <f t="shared" si="351"/>
        <v>0.140591798555657</v>
      </c>
      <c r="BO208" s="220">
        <f t="shared" si="286"/>
        <v>99.8996388385324</v>
      </c>
      <c r="BP208" s="5">
        <f t="shared" si="287"/>
        <v>0.3773</v>
      </c>
      <c r="BQ208" s="5">
        <f t="shared" si="288"/>
        <v>0.30184</v>
      </c>
      <c r="BR208" s="217"/>
      <c r="BT208" s="220">
        <f t="shared" si="289"/>
        <v>679.14</v>
      </c>
      <c r="BU208" s="217">
        <f t="shared" si="290"/>
        <v>0.00940946978768886</v>
      </c>
      <c r="BV208" s="217">
        <f t="shared" si="291"/>
        <v>0.0155014621809235</v>
      </c>
      <c r="BW208" s="217">
        <f t="shared" si="292"/>
        <v>0.00622148135477557</v>
      </c>
      <c r="BX208" s="217">
        <f t="shared" si="293"/>
        <v>0</v>
      </c>
      <c r="BY208" s="217">
        <f t="shared" si="274"/>
        <v>0.0430700002301958</v>
      </c>
      <c r="BZ208" s="217">
        <f t="shared" si="344"/>
        <v>0.031132413323388</v>
      </c>
      <c r="CA208" s="225">
        <f t="shared" si="331"/>
        <v>0.0073439764196596</v>
      </c>
      <c r="CB208" s="220">
        <f t="shared" si="338"/>
        <v>112.678803296631</v>
      </c>
      <c r="CC208" s="5">
        <f t="shared" si="345"/>
        <v>0.870145775205512</v>
      </c>
      <c r="CD208" s="192">
        <f t="shared" si="339"/>
        <v>3.71939765094645</v>
      </c>
      <c r="CE208" s="5">
        <f t="shared" si="340"/>
        <v>0.810406897939503</v>
      </c>
      <c r="CF208" s="192">
        <f t="shared" si="341"/>
        <v>81.0406897939503</v>
      </c>
      <c r="CG208">
        <f t="shared" si="342"/>
        <v>98</v>
      </c>
      <c r="CI208" s="227">
        <f t="shared" si="332"/>
        <v>-50</v>
      </c>
      <c r="CJ208">
        <f t="shared" si="333"/>
        <v>-50</v>
      </c>
    </row>
    <row r="209" spans="5:88">
      <c r="E209" s="22">
        <v>99</v>
      </c>
      <c r="F209" s="25">
        <f t="shared" si="352"/>
        <v>0.495</v>
      </c>
      <c r="G209" s="25">
        <f t="shared" si="299"/>
        <v>0.396</v>
      </c>
      <c r="H209" s="25">
        <f t="shared" si="300"/>
        <v>8.91</v>
      </c>
      <c r="I209" s="25">
        <f t="shared" si="301"/>
        <v>1.98</v>
      </c>
      <c r="J209" s="212">
        <f t="shared" si="302"/>
        <v>10</v>
      </c>
      <c r="K209" s="131">
        <f t="shared" si="303"/>
        <v>4.36735906310955</v>
      </c>
      <c r="L209" s="131">
        <f t="shared" si="304"/>
        <v>22.2728</v>
      </c>
      <c r="M209" s="131"/>
      <c r="N209" s="25">
        <f t="shared" si="305"/>
        <v>0.551021874214288</v>
      </c>
      <c r="O209" s="27">
        <f t="shared" si="346"/>
        <v>3.04314353259255</v>
      </c>
      <c r="P209" s="27">
        <f t="shared" si="307"/>
        <v>0.676254118353899</v>
      </c>
      <c r="Q209" s="25">
        <f t="shared" si="308"/>
        <v>0.169063529588475</v>
      </c>
      <c r="R209" s="25">
        <f t="shared" si="309"/>
        <v>0.608628706518509</v>
      </c>
      <c r="S209" s="25">
        <f t="shared" si="310"/>
        <v>6.14776471230817</v>
      </c>
      <c r="T209" s="25">
        <f t="shared" si="311"/>
        <v>1.5</v>
      </c>
      <c r="U209" s="25">
        <f t="shared" si="312"/>
        <v>3.75</v>
      </c>
      <c r="V209" s="25">
        <f t="shared" si="313"/>
        <v>8.58642476107748</v>
      </c>
      <c r="W209" s="24">
        <f t="shared" si="314"/>
        <v>350</v>
      </c>
      <c r="X209" s="131">
        <f t="shared" si="315"/>
        <v>81.0607626899399</v>
      </c>
      <c r="Z209" s="25">
        <f t="shared" si="316"/>
        <v>0.347403268671171</v>
      </c>
      <c r="AA209" s="5">
        <f t="shared" si="317"/>
        <v>1.98863468546493</v>
      </c>
      <c r="AB209" s="5">
        <f t="shared" si="347"/>
        <v>0.0659785272699329</v>
      </c>
      <c r="AC209" s="5"/>
      <c r="AD209" s="5">
        <f t="shared" si="319"/>
        <v>1.7172849522155</v>
      </c>
      <c r="AE209" s="216">
        <f t="shared" si="348"/>
        <v>3521.24235639684</v>
      </c>
      <c r="AF209" s="217">
        <f t="shared" si="321"/>
        <v>0.0492013847570778</v>
      </c>
      <c r="AH209" s="5">
        <f t="shared" si="322"/>
        <v>1.5777017643214</v>
      </c>
      <c r="AI209" s="5">
        <f t="shared" si="349"/>
        <v>1.5</v>
      </c>
      <c r="AJ209" s="5">
        <f t="shared" si="350"/>
        <v>2.08888888888889</v>
      </c>
      <c r="AL209" s="216">
        <f t="shared" si="325"/>
        <v>495</v>
      </c>
      <c r="AM209" s="220">
        <f t="shared" si="326"/>
        <v>81.0607626899399</v>
      </c>
      <c r="AO209" t="str">
        <f t="shared" si="327"/>
        <v/>
      </c>
      <c r="AP209" t="str">
        <f t="shared" si="328"/>
        <v/>
      </c>
      <c r="AR209" s="192">
        <f t="shared" si="343"/>
        <v>12.3364247610775</v>
      </c>
      <c r="AS209" s="192">
        <f t="shared" si="335"/>
        <v>3.75</v>
      </c>
      <c r="AT209" s="192">
        <f t="shared" si="336"/>
        <v>8.58642476107748</v>
      </c>
      <c r="AU209" s="5">
        <f t="shared" si="337"/>
        <v>0.303977860087275</v>
      </c>
      <c r="AW209" s="192">
        <f t="shared" si="275"/>
        <v>10.3125</v>
      </c>
      <c r="AX209" s="192"/>
      <c r="AY209" s="192">
        <f t="shared" si="276"/>
        <v>29.7</v>
      </c>
      <c r="AZ209" s="192"/>
      <c r="BA209" s="192">
        <f t="shared" si="277"/>
        <v>14.1676008557778</v>
      </c>
      <c r="BB209" s="192"/>
      <c r="BC209" s="192"/>
      <c r="BD209" s="5">
        <f t="shared" si="278"/>
        <v>0.477476067531616</v>
      </c>
      <c r="BE209" s="5">
        <f t="shared" si="279"/>
        <v>0.394291865232073</v>
      </c>
      <c r="BF209" s="5">
        <f t="shared" si="280"/>
        <v>0.298558449393833</v>
      </c>
      <c r="BG209" s="5"/>
      <c r="BH209" s="217">
        <f t="shared" si="281"/>
        <v>0.0797941882729095</v>
      </c>
      <c r="BI209" s="217">
        <f t="shared" si="282"/>
        <v>0.0135408761643037</v>
      </c>
      <c r="BJ209" s="217">
        <f t="shared" si="283"/>
        <v>0.00101325953362425</v>
      </c>
      <c r="BK209" s="217">
        <f t="shared" si="284"/>
        <v>0.00201062151088202</v>
      </c>
      <c r="BL209">
        <f t="shared" si="285"/>
        <v>0.0029</v>
      </c>
      <c r="BM209">
        <f t="shared" si="329"/>
        <v>1.01325953362425e-6</v>
      </c>
      <c r="BN209">
        <f t="shared" si="351"/>
        <v>0.139639589820706</v>
      </c>
      <c r="BO209" s="220">
        <f t="shared" si="286"/>
        <v>99.2589454817195</v>
      </c>
      <c r="BP209" s="5">
        <f t="shared" si="287"/>
        <v>0.38115</v>
      </c>
      <c r="BQ209" s="5">
        <f t="shared" si="288"/>
        <v>0.30492</v>
      </c>
      <c r="BR209" s="217"/>
      <c r="BT209" s="220">
        <f t="shared" si="289"/>
        <v>686.07</v>
      </c>
      <c r="BU209" s="217">
        <f t="shared" si="290"/>
        <v>0.00934731919768369</v>
      </c>
      <c r="BV209" s="217">
        <f t="shared" si="291"/>
        <v>0.0155466074988187</v>
      </c>
      <c r="BW209" s="217">
        <f t="shared" si="292"/>
        <v>0.0062396003393115</v>
      </c>
      <c r="BX209" s="217">
        <f t="shared" si="293"/>
        <v>0</v>
      </c>
      <c r="BY209" s="217">
        <f t="shared" si="274"/>
        <v>0.043071544837878</v>
      </c>
      <c r="BZ209" s="217">
        <f t="shared" si="344"/>
        <v>0.0311335270358139</v>
      </c>
      <c r="CA209" s="225">
        <f t="shared" si="331"/>
        <v>0.00729546864209459</v>
      </c>
      <c r="CB209" s="220">
        <f t="shared" si="338"/>
        <v>112.6340675516</v>
      </c>
      <c r="CC209" s="5">
        <f t="shared" si="345"/>
        <v>0.876076603300679</v>
      </c>
      <c r="CD209" s="192">
        <f t="shared" si="339"/>
        <v>3.71939765094645</v>
      </c>
      <c r="CE209" s="5">
        <f t="shared" si="340"/>
        <v>0.809361002840782</v>
      </c>
      <c r="CF209" s="192">
        <f t="shared" si="341"/>
        <v>80.9361002840782</v>
      </c>
      <c r="CG209">
        <f t="shared" si="342"/>
        <v>99</v>
      </c>
      <c r="CI209" s="227">
        <f t="shared" si="332"/>
        <v>-50</v>
      </c>
      <c r="CJ209">
        <f t="shared" si="333"/>
        <v>-50</v>
      </c>
    </row>
    <row r="210" spans="5:88">
      <c r="E210" s="22">
        <v>100</v>
      </c>
      <c r="F210" s="25">
        <f t="shared" si="352"/>
        <v>0.5</v>
      </c>
      <c r="G210" s="25">
        <f t="shared" si="299"/>
        <v>0.4</v>
      </c>
      <c r="H210" s="25">
        <f t="shared" si="300"/>
        <v>9</v>
      </c>
      <c r="I210" s="25">
        <f t="shared" si="301"/>
        <v>2</v>
      </c>
      <c r="J210" s="212">
        <f t="shared" si="302"/>
        <v>10</v>
      </c>
      <c r="K210" s="131">
        <f t="shared" si="303"/>
        <v>4.32635347247846</v>
      </c>
      <c r="L210" s="131">
        <f t="shared" si="304"/>
        <v>22.2728</v>
      </c>
      <c r="M210" s="131"/>
      <c r="N210" s="25">
        <f t="shared" si="305"/>
        <v>0.551021874214288</v>
      </c>
      <c r="O210" s="27">
        <f t="shared" si="346"/>
        <v>3.04314353259255</v>
      </c>
      <c r="P210" s="27">
        <f t="shared" si="307"/>
        <v>0.676254118353899</v>
      </c>
      <c r="Q210" s="25">
        <f t="shared" si="308"/>
        <v>0.169063529588475</v>
      </c>
      <c r="R210" s="25">
        <f t="shared" si="309"/>
        <v>0.608628706518509</v>
      </c>
      <c r="S210" s="25">
        <f t="shared" si="310"/>
        <v>6.08628706518509</v>
      </c>
      <c r="T210" s="25">
        <f t="shared" si="311"/>
        <v>1.5</v>
      </c>
      <c r="U210" s="25">
        <f t="shared" si="312"/>
        <v>3.75</v>
      </c>
      <c r="V210" s="25">
        <f t="shared" si="313"/>
        <v>8.66780771348236</v>
      </c>
      <c r="W210" s="24">
        <f t="shared" si="314"/>
        <v>350</v>
      </c>
      <c r="X210" s="131">
        <f t="shared" si="315"/>
        <v>80.5295123803755</v>
      </c>
      <c r="Z210" s="25">
        <f t="shared" si="316"/>
        <v>0.345126481630181</v>
      </c>
      <c r="AA210" s="5">
        <f t="shared" si="317"/>
        <v>1.99432665306741</v>
      </c>
      <c r="AB210" s="5">
        <f t="shared" si="347"/>
        <v>0.0657337311716538</v>
      </c>
      <c r="AC210" s="5"/>
      <c r="AD210" s="5">
        <f t="shared" si="319"/>
        <v>1.73356154269647</v>
      </c>
      <c r="AE210" s="216">
        <f t="shared" si="348"/>
        <v>3523.41519590302</v>
      </c>
      <c r="AF210" s="217">
        <f t="shared" si="321"/>
        <v>0.0496677201720331</v>
      </c>
      <c r="AH210" s="5">
        <f t="shared" si="322"/>
        <v>1.58564993434418</v>
      </c>
      <c r="AI210" s="5">
        <f t="shared" si="349"/>
        <v>1.5</v>
      </c>
      <c r="AJ210" s="5">
        <f t="shared" si="350"/>
        <v>2.08888888888889</v>
      </c>
      <c r="AL210" s="216">
        <f t="shared" si="325"/>
        <v>500</v>
      </c>
      <c r="AM210" s="220">
        <f t="shared" si="326"/>
        <v>80.5295123803755</v>
      </c>
      <c r="AO210" t="str">
        <f t="shared" si="327"/>
        <v/>
      </c>
      <c r="AP210" t="str">
        <f t="shared" si="328"/>
        <v/>
      </c>
      <c r="AR210" s="192">
        <f t="shared" si="343"/>
        <v>12.4178077134824</v>
      </c>
      <c r="AS210" s="192">
        <f t="shared" si="335"/>
        <v>3.75</v>
      </c>
      <c r="AT210" s="192">
        <f t="shared" si="336"/>
        <v>8.66780771348236</v>
      </c>
      <c r="AU210" s="5">
        <f t="shared" si="337"/>
        <v>0.301985671426408</v>
      </c>
      <c r="AW210" s="192">
        <f t="shared" si="275"/>
        <v>10.4166666666667</v>
      </c>
      <c r="AX210" s="192"/>
      <c r="AY210" s="192">
        <f t="shared" si="276"/>
        <v>30</v>
      </c>
      <c r="AZ210" s="192"/>
      <c r="BA210" s="192">
        <f t="shared" si="277"/>
        <v>14.4463461891373</v>
      </c>
      <c r="BB210" s="192"/>
      <c r="BC210" s="192"/>
      <c r="BD210" s="5">
        <f t="shared" si="278"/>
        <v>0.475908871077023</v>
      </c>
      <c r="BE210" s="5">
        <f t="shared" si="279"/>
        <v>0.394855742775682</v>
      </c>
      <c r="BF210" s="5">
        <f t="shared" si="280"/>
        <v>0.298985418398047</v>
      </c>
      <c r="BG210" s="5"/>
      <c r="BH210" s="217">
        <f t="shared" si="281"/>
        <v>0.0792712387494321</v>
      </c>
      <c r="BI210" s="217">
        <f t="shared" si="282"/>
        <v>0.0134521329250922</v>
      </c>
      <c r="BJ210" s="217">
        <f t="shared" si="283"/>
        <v>0.00100661890475469</v>
      </c>
      <c r="BK210" s="217">
        <f t="shared" si="284"/>
        <v>0.00199744444142662</v>
      </c>
      <c r="BL210">
        <f t="shared" si="285"/>
        <v>0.0029</v>
      </c>
      <c r="BM210">
        <f t="shared" si="329"/>
        <v>1.00661890475469e-6</v>
      </c>
      <c r="BN210">
        <f t="shared" si="351"/>
        <v>0.138701610997677</v>
      </c>
      <c r="BO210" s="220">
        <f t="shared" si="286"/>
        <v>98.6274350207056</v>
      </c>
      <c r="BP210" s="5">
        <f t="shared" si="287"/>
        <v>0.385</v>
      </c>
      <c r="BQ210" s="5">
        <f t="shared" si="288"/>
        <v>0.308</v>
      </c>
      <c r="BR210" s="217"/>
      <c r="BT210" s="220">
        <f t="shared" si="289"/>
        <v>693</v>
      </c>
      <c r="BU210" s="217">
        <f t="shared" si="290"/>
        <v>0.00928605939636205</v>
      </c>
      <c r="BV210" s="217">
        <f t="shared" si="291"/>
        <v>0.0155911057602935</v>
      </c>
      <c r="BW210" s="217">
        <f t="shared" si="292"/>
        <v>0.00625745962902587</v>
      </c>
      <c r="BX210" s="217">
        <f t="shared" si="293"/>
        <v>0</v>
      </c>
      <c r="BY210" s="217">
        <f t="shared" si="274"/>
        <v>0.0430730673073591</v>
      </c>
      <c r="BZ210" s="217">
        <f t="shared" si="344"/>
        <v>0.0311346247856815</v>
      </c>
      <c r="CA210" s="225">
        <f t="shared" si="331"/>
        <v>0.00724765611423379</v>
      </c>
      <c r="CB210" s="220">
        <f t="shared" si="338"/>
        <v>112.589972992956</v>
      </c>
      <c r="CC210" s="5">
        <f t="shared" si="345"/>
        <v>0.88202233441927</v>
      </c>
      <c r="CD210" s="192">
        <f t="shared" si="339"/>
        <v>3.71939765094645</v>
      </c>
      <c r="CE210" s="5">
        <f t="shared" si="340"/>
        <v>0.808315185915557</v>
      </c>
      <c r="CF210" s="192">
        <f t="shared" si="341"/>
        <v>80.8315185915557</v>
      </c>
      <c r="CG210">
        <f t="shared" si="342"/>
        <v>100</v>
      </c>
      <c r="CI210" s="227">
        <f t="shared" si="332"/>
        <v>-50</v>
      </c>
      <c r="CJ210">
        <f t="shared" si="333"/>
        <v>-50</v>
      </c>
    </row>
    <row r="211" ht="13" spans="5:88">
      <c r="E211" s="22"/>
      <c r="F211" s="25"/>
      <c r="G211" s="25"/>
      <c r="H211" s="25"/>
      <c r="I211" s="25"/>
      <c r="J211" s="212"/>
      <c r="K211" s="131"/>
      <c r="L211" s="131"/>
      <c r="M211" s="131"/>
      <c r="N211" s="25"/>
      <c r="O211" s="27"/>
      <c r="P211" s="27"/>
      <c r="Q211" s="25"/>
      <c r="R211" s="25"/>
      <c r="S211" s="25"/>
      <c r="T211" s="25"/>
      <c r="U211" s="25"/>
      <c r="V211" s="25"/>
      <c r="W211" s="24"/>
      <c r="X211" s="131"/>
      <c r="Z211" s="25"/>
      <c r="AA211" s="5"/>
      <c r="AB211" s="5"/>
      <c r="AC211" s="5"/>
      <c r="AD211" s="5"/>
      <c r="AE211" s="216"/>
      <c r="AF211" s="217"/>
      <c r="AH211" s="5"/>
      <c r="AI211" s="5"/>
      <c r="AJ211" s="5"/>
      <c r="AL211" s="216"/>
      <c r="AM211" s="220"/>
      <c r="AR211" s="192"/>
      <c r="AS211" s="192"/>
      <c r="AT211" s="192"/>
      <c r="AU211" s="5"/>
      <c r="CI211" s="227"/>
      <c r="CJ211" s="203">
        <f>MAX(CJ110:CJ210)</f>
        <v>3.23901684330306</v>
      </c>
    </row>
    <row r="212" spans="7:87">
      <c r="G212" s="25"/>
      <c r="H212" s="25"/>
      <c r="I212" s="25"/>
      <c r="J212" s="212"/>
      <c r="K212" s="131"/>
      <c r="L212" s="131"/>
      <c r="M212" s="131"/>
      <c r="N212" s="25"/>
      <c r="O212" s="27"/>
      <c r="P212" s="27"/>
      <c r="Q212" s="25"/>
      <c r="R212" s="25"/>
      <c r="S212" s="25"/>
      <c r="T212" s="25"/>
      <c r="U212" s="25"/>
      <c r="V212" s="25"/>
      <c r="W212" s="24"/>
      <c r="X212" s="131"/>
      <c r="Z212" s="25"/>
      <c r="AA212" s="5"/>
      <c r="AB212" s="5"/>
      <c r="AC212" s="5"/>
      <c r="AD212" s="5"/>
      <c r="AE212" s="216"/>
      <c r="AF212" s="217"/>
      <c r="AH212" s="5"/>
      <c r="AI212" s="5"/>
      <c r="AJ212" s="5"/>
      <c r="AL212" s="216"/>
      <c r="AM212" s="220"/>
      <c r="AR212" s="192"/>
      <c r="AS212" s="192"/>
      <c r="AT212" s="192"/>
      <c r="AU212" s="5"/>
      <c r="CI212" s="227"/>
    </row>
    <row r="213" spans="7:87">
      <c r="G213" s="25"/>
      <c r="H213" s="25"/>
      <c r="I213" s="25"/>
      <c r="J213" s="212"/>
      <c r="K213" s="131"/>
      <c r="L213" s="131"/>
      <c r="M213" s="131"/>
      <c r="N213" s="25"/>
      <c r="O213" s="27"/>
      <c r="P213" s="27"/>
      <c r="Q213" s="25"/>
      <c r="R213" s="25"/>
      <c r="S213" s="25"/>
      <c r="T213" s="25"/>
      <c r="U213" s="25"/>
      <c r="V213" s="25"/>
      <c r="W213" s="24"/>
      <c r="X213" s="131"/>
      <c r="Z213" s="25"/>
      <c r="AA213" s="5"/>
      <c r="AB213" s="5"/>
      <c r="AC213" s="5"/>
      <c r="AD213" s="5"/>
      <c r="AE213" s="216"/>
      <c r="AF213" s="217"/>
      <c r="AH213" s="5"/>
      <c r="AI213" s="5"/>
      <c r="AJ213" s="5"/>
      <c r="AL213" s="216"/>
      <c r="AM213" s="220"/>
      <c r="AR213" s="192"/>
      <c r="AS213" s="192"/>
      <c r="AT213" s="192"/>
      <c r="AU213" s="5"/>
      <c r="CI213" s="227"/>
    </row>
    <row r="214" ht="13" spans="5:87">
      <c r="E214" s="204" t="s">
        <v>635</v>
      </c>
      <c r="G214" s="25"/>
      <c r="H214" s="25"/>
      <c r="I214" s="25"/>
      <c r="J214" s="212"/>
      <c r="K214" s="131"/>
      <c r="L214" s="131"/>
      <c r="M214" s="131"/>
      <c r="N214" s="25"/>
      <c r="O214" s="27"/>
      <c r="P214" s="27"/>
      <c r="Q214" s="25"/>
      <c r="R214" s="25"/>
      <c r="S214" s="25"/>
      <c r="T214" s="25"/>
      <c r="U214" s="25"/>
      <c r="V214" s="25"/>
      <c r="W214" s="24"/>
      <c r="X214" s="131"/>
      <c r="Z214" s="25"/>
      <c r="AA214" s="5"/>
      <c r="AB214" s="5"/>
      <c r="AC214" s="5"/>
      <c r="AD214" s="5"/>
      <c r="AE214" s="216"/>
      <c r="AF214" s="217"/>
      <c r="AH214" s="5"/>
      <c r="AI214" s="5"/>
      <c r="AJ214" s="5"/>
      <c r="AL214" s="216"/>
      <c r="AM214" s="220"/>
      <c r="AR214" s="192"/>
      <c r="AS214" s="192"/>
      <c r="AT214" s="192"/>
      <c r="AU214" s="5"/>
      <c r="CI214" s="227"/>
    </row>
    <row r="215" ht="45" customHeight="1" spans="5:87">
      <c r="E215" s="38" t="s">
        <v>566</v>
      </c>
      <c r="F215" s="206" t="s">
        <v>650</v>
      </c>
      <c r="G215" s="121" t="s">
        <v>651</v>
      </c>
      <c r="H215" s="207" t="s">
        <v>652</v>
      </c>
      <c r="I215" s="209" t="s">
        <v>653</v>
      </c>
      <c r="J215" s="117" t="s">
        <v>569</v>
      </c>
      <c r="K215" s="118" t="s">
        <v>570</v>
      </c>
      <c r="L215" s="190" t="s">
        <v>571</v>
      </c>
      <c r="M215" s="190"/>
      <c r="N215" s="120" t="s">
        <v>572</v>
      </c>
      <c r="O215" s="211" t="s">
        <v>655</v>
      </c>
      <c r="P215" s="27"/>
      <c r="Q215" s="190" t="s">
        <v>575</v>
      </c>
      <c r="R215" s="211" t="s">
        <v>658</v>
      </c>
      <c r="S215" s="190" t="s">
        <v>576</v>
      </c>
      <c r="T215" s="211" t="s">
        <v>580</v>
      </c>
      <c r="U215" s="190" t="s">
        <v>581</v>
      </c>
      <c r="V215" s="190" t="s">
        <v>582</v>
      </c>
      <c r="W215" s="228" t="s">
        <v>583</v>
      </c>
      <c r="X215" s="229" t="s">
        <v>584</v>
      </c>
      <c r="Z215" s="128" t="s">
        <v>585</v>
      </c>
      <c r="AA215" s="128" t="s">
        <v>586</v>
      </c>
      <c r="AB215" s="5"/>
      <c r="AC215" s="215"/>
      <c r="AD215" s="128" t="s">
        <v>588</v>
      </c>
      <c r="AE215" s="216"/>
      <c r="AF215" s="217"/>
      <c r="AG215" s="215"/>
      <c r="AH215" s="5"/>
      <c r="AI215" s="218" t="s">
        <v>592</v>
      </c>
      <c r="AJ215" s="218" t="s">
        <v>593</v>
      </c>
      <c r="AL215" s="219" t="s">
        <v>594</v>
      </c>
      <c r="AM215" s="219" t="s">
        <v>595</v>
      </c>
      <c r="AO215" s="128" t="s">
        <v>594</v>
      </c>
      <c r="AP215" s="128" t="s">
        <v>595</v>
      </c>
      <c r="AQ215" s="221"/>
      <c r="AR215" s="128" t="s">
        <v>596</v>
      </c>
      <c r="AS215" s="128" t="s">
        <v>597</v>
      </c>
      <c r="AT215" s="128" t="s">
        <v>598</v>
      </c>
      <c r="AU215" s="128" t="s">
        <v>572</v>
      </c>
      <c r="AV215" s="215"/>
      <c r="AW215" s="128" t="s">
        <v>603</v>
      </c>
      <c r="AX215" s="128"/>
      <c r="AY215" s="128"/>
      <c r="AZ215" s="128"/>
      <c r="BA215" s="128" t="s">
        <v>676</v>
      </c>
      <c r="BB215" s="128"/>
      <c r="BC215" s="215"/>
      <c r="BD215" s="223" t="s">
        <v>607</v>
      </c>
      <c r="BE215" s="128" t="s">
        <v>608</v>
      </c>
      <c r="BF215" s="128"/>
      <c r="BG215" s="215"/>
      <c r="BH215" s="223" t="s">
        <v>609</v>
      </c>
      <c r="BI215" s="128" t="s">
        <v>610</v>
      </c>
      <c r="BJ215" s="128" t="s">
        <v>611</v>
      </c>
      <c r="BK215" s="128" t="s">
        <v>612</v>
      </c>
      <c r="BL215" s="128" t="s">
        <v>613</v>
      </c>
      <c r="BM215" s="128"/>
      <c r="BN215" s="128"/>
      <c r="BO215" s="128" t="s">
        <v>616</v>
      </c>
      <c r="BP215" s="223" t="s">
        <v>617</v>
      </c>
      <c r="BQ215" s="128"/>
      <c r="BR215" s="128" t="s">
        <v>618</v>
      </c>
      <c r="BS215" s="128" t="s">
        <v>619</v>
      </c>
      <c r="BT215" s="128" t="s">
        <v>633</v>
      </c>
      <c r="BU215" s="223" t="s">
        <v>621</v>
      </c>
      <c r="BV215" s="128" t="s">
        <v>622</v>
      </c>
      <c r="BW215" s="128"/>
      <c r="BX215" s="128" t="s">
        <v>623</v>
      </c>
      <c r="BY215" s="128"/>
      <c r="BZ215" s="128"/>
      <c r="CA215" s="128" t="s">
        <v>625</v>
      </c>
      <c r="CB215" s="128" t="s">
        <v>634</v>
      </c>
      <c r="CC215" s="223" t="s">
        <v>627</v>
      </c>
      <c r="CD215" s="128" t="s">
        <v>568</v>
      </c>
      <c r="CE215" s="128" t="s">
        <v>183</v>
      </c>
      <c r="CF215" s="128" t="s">
        <v>628</v>
      </c>
      <c r="CG215" s="128"/>
      <c r="CI215" s="227"/>
    </row>
    <row r="216" spans="5:87">
      <c r="E216" s="22">
        <v>0.1</v>
      </c>
      <c r="F216" s="25">
        <v>1e-9</v>
      </c>
      <c r="G216" s="25">
        <f t="shared" ref="G216:G247" si="353">IF(PLOT_TYPE=1,E216/100*Iout2,min_I*EXP(Q216*rr/100))</f>
        <v>0.0004</v>
      </c>
      <c r="H216" s="25">
        <f t="shared" ref="H216:H247" si="354">F216*Vout</f>
        <v>1.8e-8</v>
      </c>
      <c r="I216" s="25">
        <f t="shared" ref="I216:I247" si="355">Vout2*G216</f>
        <v>0.002</v>
      </c>
      <c r="J216" s="212">
        <f t="shared" ref="J216:J279" si="356">VIN_max</f>
        <v>14</v>
      </c>
      <c r="K216" s="131">
        <f t="shared" ref="K216:K279" si="357">(S216+Vfwd1)*Nps</f>
        <v>12.2728</v>
      </c>
      <c r="L216" s="131">
        <f t="shared" ref="L216:L279" si="358">(Vout+Vfwd1)*Nps+J216</f>
        <v>26.2728</v>
      </c>
      <c r="M216" s="131"/>
      <c r="N216" s="25">
        <f t="shared" ref="N216:N279" si="359">(Vout+Vfwd1)*Nps/((Vout+Vfwd1)*Nps+J216)</f>
        <v>0.467129502755702</v>
      </c>
      <c r="O216" s="27">
        <f t="shared" ref="O216:O247" si="360">N216*J216*Isw_max*0.5*Efficiency*Pout/(Pout+Pout2)</f>
        <v>3.61176038267022</v>
      </c>
      <c r="P216" s="27">
        <f t="shared" ref="P216:P247" si="361">N216*J216*Isw_max*0.5*Efficiency*(Pout2/Pout_total)</f>
        <v>0.80261341837116</v>
      </c>
      <c r="Q216" s="25">
        <f t="shared" ref="Q216:Q279" si="362">O216/Vout</f>
        <v>0.20065335459279</v>
      </c>
      <c r="R216" s="25">
        <f t="shared" ref="R216:R247" si="363">O216/Vout2</f>
        <v>0.722352076534044</v>
      </c>
      <c r="S216" s="25">
        <f t="shared" ref="S216:S247" si="364">MIN(Vout,O216/F216)</f>
        <v>18</v>
      </c>
      <c r="T216" s="25">
        <f t="shared" ref="T216:T247" si="365">MIN(2*(Vout*F216+Vout2*G216)/(Efficiency*J216*N216),Isw_max)</f>
        <v>0.000679604205536983</v>
      </c>
      <c r="U216" s="25">
        <f t="shared" ref="U216:U279" si="366">L*T216/J216*1000000</f>
        <v>0.0012135789384589</v>
      </c>
      <c r="V216" s="25">
        <f t="shared" ref="V216:V279" si="367">L*T216/K216*1000000</f>
        <v>0.00138437073352654</v>
      </c>
      <c r="W216" s="24">
        <f t="shared" ref="W216:W279" si="368">IF(1/((350000*L)*(1/J216+1/K216))&gt;Isw_min,350,0.001/((Isw_min*L)*(1/J216+1/K216)))</f>
        <v>350</v>
      </c>
      <c r="X216" s="131">
        <f t="shared" ref="X216:X279" si="369">MIN(1/(U216+V216)*1000,350)</f>
        <v>350</v>
      </c>
      <c r="Z216" s="25">
        <f t="shared" ref="Z216:Z279" si="370">1/((W216*1000*L)*(1/J216+1/K216))</f>
        <v>0.747407204409123</v>
      </c>
      <c r="AA216" s="5">
        <f t="shared" ref="AA216:AA279" si="371">L*Z216/K216*1000000</f>
        <v>1.52248713498371</v>
      </c>
      <c r="AB216" s="5">
        <f t="shared" ref="AB216:AB247" si="372">0.5*AA216*Z216*Nps*W216/1000*(Pout/(Pout+Pout2))</f>
        <v>0.108673741167761</v>
      </c>
      <c r="AC216" s="5"/>
      <c r="AD216" s="5">
        <f t="shared" ref="AD216:AD279" si="373">L*Isw_min/K216*1000000</f>
        <v>0.611107489733394</v>
      </c>
      <c r="AE216" s="216">
        <f t="shared" ref="AE216:AE247" si="374">MAX(10,F216/(0.5*AD216/1000000*Isw_min*Nps)/1000*Pout_total/Pout)</f>
        <v>10</v>
      </c>
      <c r="AF216" s="217">
        <f t="shared" ref="AF216:AF247" si="375">0.5*AD216/1000000*Isw_min*Nps*W216*1000*(Pout/Pout_total)</f>
        <v>0.0175086462450593</v>
      </c>
      <c r="AH216" s="5">
        <f t="shared" ref="AH216:AH247" si="376">SQRT((H216+I216)/(0.5*L*Fsw_DCM))</f>
        <v>0.0213809955668246</v>
      </c>
      <c r="AI216" s="5">
        <f t="shared" ref="AI216:AI247" si="377">MAX(IF(F216&gt;AB216,T216,AH216),Isw_min)</f>
        <v>0.3</v>
      </c>
      <c r="AJ216" s="5">
        <f t="shared" ref="AJ216:AJ247" si="378">IF(F216&gt;AF216,(AI216-Isw_min)/1.08*0.8+1.2,AE216*0.2/350+1)</f>
        <v>1.00571428571429</v>
      </c>
      <c r="AL216" s="216">
        <f t="shared" ref="AL216:AL247" si="379">F216*1000</f>
        <v>1e-6</v>
      </c>
      <c r="AM216" s="220">
        <f t="shared" ref="AM216:AM247" si="380">IF(F216&gt;AF216,X216,AE216)</f>
        <v>10</v>
      </c>
      <c r="AO216">
        <f t="shared" ref="AO216:AO279" si="381">IF(H216&gt;O216,"",AL216)</f>
        <v>1e-6</v>
      </c>
      <c r="AP216">
        <f t="shared" ref="AP216:AP279" si="382">IF(H216&gt;O216,"",AM216)</f>
        <v>10</v>
      </c>
      <c r="AR216" s="192">
        <f t="shared" si="343"/>
        <v>100</v>
      </c>
      <c r="AS216" s="192">
        <f t="shared" si="335"/>
        <v>0.535714285714286</v>
      </c>
      <c r="AT216" s="192">
        <f t="shared" si="336"/>
        <v>99.4642857142857</v>
      </c>
      <c r="AU216" s="5">
        <f t="shared" si="337"/>
        <v>0.00535714285714286</v>
      </c>
      <c r="CI216" s="227">
        <f t="shared" ref="CI216:CI247" si="383">IF(ABS(F216-Ioutmax_Vinmax)&lt;Iout/200,AM216,-50)</f>
        <v>-50</v>
      </c>
    </row>
    <row r="217" spans="5:87">
      <c r="E217" s="22">
        <v>1</v>
      </c>
      <c r="F217" s="25">
        <f t="shared" ref="F217:F248" si="384">IF(PLOT_TYPE=1,E217/100*Iout_max,min_I*EXP(O217*rr/100))</f>
        <v>0.005</v>
      </c>
      <c r="G217" s="25">
        <f t="shared" si="353"/>
        <v>0.004</v>
      </c>
      <c r="H217" s="25">
        <f t="shared" si="354"/>
        <v>0.09</v>
      </c>
      <c r="I217" s="25">
        <f t="shared" si="355"/>
        <v>0.02</v>
      </c>
      <c r="J217" s="212">
        <f t="shared" si="356"/>
        <v>14</v>
      </c>
      <c r="K217" s="131">
        <f t="shared" si="357"/>
        <v>12.2728</v>
      </c>
      <c r="L217" s="131">
        <f t="shared" si="358"/>
        <v>26.2728</v>
      </c>
      <c r="M217" s="131"/>
      <c r="N217" s="25">
        <f t="shared" si="359"/>
        <v>0.467129502755702</v>
      </c>
      <c r="O217" s="27">
        <f t="shared" si="360"/>
        <v>3.61176038267022</v>
      </c>
      <c r="P217" s="27">
        <f t="shared" si="361"/>
        <v>0.80261341837116</v>
      </c>
      <c r="Q217" s="25">
        <f t="shared" si="362"/>
        <v>0.20065335459279</v>
      </c>
      <c r="R217" s="25">
        <f t="shared" si="363"/>
        <v>0.722352076534044</v>
      </c>
      <c r="S217" s="25">
        <f t="shared" si="364"/>
        <v>18</v>
      </c>
      <c r="T217" s="25">
        <f t="shared" si="365"/>
        <v>0.0373778949034799</v>
      </c>
      <c r="U217" s="25">
        <f t="shared" si="366"/>
        <v>0.0667462408990712</v>
      </c>
      <c r="V217" s="25">
        <f t="shared" si="367"/>
        <v>0.0761397050866141</v>
      </c>
      <c r="W217" s="24">
        <f t="shared" si="368"/>
        <v>350</v>
      </c>
      <c r="X217" s="131">
        <f t="shared" si="369"/>
        <v>350</v>
      </c>
      <c r="Z217" s="25">
        <f t="shared" si="370"/>
        <v>0.747407204409123</v>
      </c>
      <c r="AA217" s="5">
        <f t="shared" si="371"/>
        <v>1.52248713498371</v>
      </c>
      <c r="AB217" s="5">
        <f t="shared" si="372"/>
        <v>0.108673741167761</v>
      </c>
      <c r="AC217" s="5"/>
      <c r="AD217" s="5">
        <f t="shared" si="373"/>
        <v>0.611107489733394</v>
      </c>
      <c r="AE217" s="216">
        <f t="shared" si="374"/>
        <v>99.9506172839506</v>
      </c>
      <c r="AF217" s="217">
        <f t="shared" si="375"/>
        <v>0.0175086462450593</v>
      </c>
      <c r="AH217" s="5">
        <f t="shared" si="376"/>
        <v>0.158564993434418</v>
      </c>
      <c r="AI217" s="5">
        <f t="shared" si="377"/>
        <v>0.3</v>
      </c>
      <c r="AJ217" s="5">
        <f t="shared" si="378"/>
        <v>1.05711463844797</v>
      </c>
      <c r="AL217" s="216">
        <f t="shared" si="379"/>
        <v>5</v>
      </c>
      <c r="AM217" s="220">
        <f t="shared" si="380"/>
        <v>99.9506172839506</v>
      </c>
      <c r="AO217">
        <f t="shared" si="381"/>
        <v>5</v>
      </c>
      <c r="AP217">
        <f t="shared" si="382"/>
        <v>99.9506172839506</v>
      </c>
      <c r="AR217" s="192">
        <f t="shared" si="343"/>
        <v>10.0049407114624</v>
      </c>
      <c r="AS217" s="192">
        <f t="shared" si="335"/>
        <v>0.535714285714286</v>
      </c>
      <c r="AT217" s="192">
        <f t="shared" si="336"/>
        <v>9.46922642574816</v>
      </c>
      <c r="AU217" s="5">
        <f t="shared" si="337"/>
        <v>0.0535449735449736</v>
      </c>
      <c r="CI217" s="227">
        <f t="shared" si="383"/>
        <v>-50</v>
      </c>
    </row>
    <row r="218" spans="5:87">
      <c r="E218" s="22">
        <v>2</v>
      </c>
      <c r="F218" s="25">
        <f t="shared" si="384"/>
        <v>0.01</v>
      </c>
      <c r="G218" s="25">
        <f t="shared" si="353"/>
        <v>0.008</v>
      </c>
      <c r="H218" s="25">
        <f t="shared" si="354"/>
        <v>0.18</v>
      </c>
      <c r="I218" s="25">
        <f t="shared" si="355"/>
        <v>0.04</v>
      </c>
      <c r="J218" s="212">
        <f t="shared" si="356"/>
        <v>14</v>
      </c>
      <c r="K218" s="131">
        <f t="shared" si="357"/>
        <v>12.2728</v>
      </c>
      <c r="L218" s="131">
        <f t="shared" si="358"/>
        <v>26.2728</v>
      </c>
      <c r="M218" s="131"/>
      <c r="N218" s="25">
        <f t="shared" si="359"/>
        <v>0.467129502755702</v>
      </c>
      <c r="O218" s="27">
        <f t="shared" si="360"/>
        <v>3.61176038267022</v>
      </c>
      <c r="P218" s="27">
        <f t="shared" si="361"/>
        <v>0.80261341837116</v>
      </c>
      <c r="Q218" s="25">
        <f t="shared" si="362"/>
        <v>0.20065335459279</v>
      </c>
      <c r="R218" s="25">
        <f t="shared" si="363"/>
        <v>0.722352076534044</v>
      </c>
      <c r="S218" s="25">
        <f t="shared" si="364"/>
        <v>18</v>
      </c>
      <c r="T218" s="25">
        <f t="shared" si="365"/>
        <v>0.0747557898069599</v>
      </c>
      <c r="U218" s="25">
        <f t="shared" si="366"/>
        <v>0.133492481798143</v>
      </c>
      <c r="V218" s="25">
        <f t="shared" si="367"/>
        <v>0.152279410173228</v>
      </c>
      <c r="W218" s="24">
        <f t="shared" si="368"/>
        <v>350</v>
      </c>
      <c r="X218" s="131">
        <f t="shared" si="369"/>
        <v>350</v>
      </c>
      <c r="Z218" s="25">
        <f t="shared" si="370"/>
        <v>0.747407204409123</v>
      </c>
      <c r="AA218" s="5">
        <f t="shared" si="371"/>
        <v>1.52248713498371</v>
      </c>
      <c r="AB218" s="5">
        <f t="shared" si="372"/>
        <v>0.108673741167761</v>
      </c>
      <c r="AC218" s="5"/>
      <c r="AD218" s="5">
        <f t="shared" si="373"/>
        <v>0.611107489733394</v>
      </c>
      <c r="AE218" s="216">
        <f t="shared" si="374"/>
        <v>199.901234567901</v>
      </c>
      <c r="AF218" s="217">
        <f t="shared" si="375"/>
        <v>0.0175086462450593</v>
      </c>
      <c r="AH218" s="5">
        <f t="shared" si="376"/>
        <v>0.224244764232555</v>
      </c>
      <c r="AI218" s="5">
        <f t="shared" si="377"/>
        <v>0.3</v>
      </c>
      <c r="AJ218" s="5">
        <f t="shared" si="378"/>
        <v>1.11422927689594</v>
      </c>
      <c r="AL218" s="216">
        <f t="shared" si="379"/>
        <v>10</v>
      </c>
      <c r="AM218" s="220">
        <f t="shared" si="380"/>
        <v>199.901234567901</v>
      </c>
      <c r="AO218">
        <f t="shared" si="381"/>
        <v>10</v>
      </c>
      <c r="AP218">
        <f t="shared" si="382"/>
        <v>199.901234567901</v>
      </c>
      <c r="AR218" s="192">
        <f t="shared" si="343"/>
        <v>5.00247035573122</v>
      </c>
      <c r="AS218" s="192">
        <f t="shared" si="335"/>
        <v>0.535714285714286</v>
      </c>
      <c r="AT218" s="192">
        <f t="shared" si="336"/>
        <v>4.46675607001694</v>
      </c>
      <c r="AU218" s="5">
        <f t="shared" si="337"/>
        <v>0.107089947089947</v>
      </c>
      <c r="CI218" s="227">
        <f t="shared" si="383"/>
        <v>-50</v>
      </c>
    </row>
    <row r="219" spans="5:87">
      <c r="E219" s="22">
        <v>3</v>
      </c>
      <c r="F219" s="25">
        <f t="shared" si="384"/>
        <v>0.015</v>
      </c>
      <c r="G219" s="25">
        <f t="shared" si="353"/>
        <v>0.012</v>
      </c>
      <c r="H219" s="25">
        <f t="shared" si="354"/>
        <v>0.27</v>
      </c>
      <c r="I219" s="25">
        <f t="shared" si="355"/>
        <v>0.06</v>
      </c>
      <c r="J219" s="212">
        <f t="shared" si="356"/>
        <v>14</v>
      </c>
      <c r="K219" s="131">
        <f t="shared" si="357"/>
        <v>12.2728</v>
      </c>
      <c r="L219" s="131">
        <f t="shared" si="358"/>
        <v>26.2728</v>
      </c>
      <c r="M219" s="131"/>
      <c r="N219" s="25">
        <f t="shared" si="359"/>
        <v>0.467129502755702</v>
      </c>
      <c r="O219" s="27">
        <f t="shared" si="360"/>
        <v>3.61176038267022</v>
      </c>
      <c r="P219" s="27">
        <f t="shared" si="361"/>
        <v>0.80261341837116</v>
      </c>
      <c r="Q219" s="25">
        <f t="shared" si="362"/>
        <v>0.20065335459279</v>
      </c>
      <c r="R219" s="25">
        <f t="shared" si="363"/>
        <v>0.722352076534044</v>
      </c>
      <c r="S219" s="25">
        <f t="shared" si="364"/>
        <v>18</v>
      </c>
      <c r="T219" s="25">
        <f t="shared" si="365"/>
        <v>0.11213368471044</v>
      </c>
      <c r="U219" s="25">
        <f t="shared" si="366"/>
        <v>0.200238722697214</v>
      </c>
      <c r="V219" s="25">
        <f t="shared" si="367"/>
        <v>0.228419115259843</v>
      </c>
      <c r="W219" s="24">
        <f t="shared" si="368"/>
        <v>350</v>
      </c>
      <c r="X219" s="131">
        <f t="shared" si="369"/>
        <v>350</v>
      </c>
      <c r="Z219" s="25">
        <f t="shared" si="370"/>
        <v>0.747407204409123</v>
      </c>
      <c r="AA219" s="5">
        <f t="shared" si="371"/>
        <v>1.52248713498371</v>
      </c>
      <c r="AB219" s="5">
        <f t="shared" si="372"/>
        <v>0.108673741167761</v>
      </c>
      <c r="AC219" s="5"/>
      <c r="AD219" s="5">
        <f t="shared" si="373"/>
        <v>0.611107489733394</v>
      </c>
      <c r="AE219" s="216">
        <f t="shared" si="374"/>
        <v>299.851851851852</v>
      </c>
      <c r="AF219" s="217">
        <f t="shared" si="375"/>
        <v>0.0175086462450593</v>
      </c>
      <c r="AH219" s="5">
        <f t="shared" si="376"/>
        <v>0.274642624930238</v>
      </c>
      <c r="AI219" s="5">
        <f t="shared" si="377"/>
        <v>0.3</v>
      </c>
      <c r="AJ219" s="5">
        <f t="shared" si="378"/>
        <v>1.17134391534392</v>
      </c>
      <c r="AL219" s="216">
        <f t="shared" si="379"/>
        <v>15</v>
      </c>
      <c r="AM219" s="220">
        <f t="shared" si="380"/>
        <v>299.851851851852</v>
      </c>
      <c r="AO219">
        <f t="shared" si="381"/>
        <v>15</v>
      </c>
      <c r="AP219">
        <f t="shared" si="382"/>
        <v>299.851851851852</v>
      </c>
      <c r="AR219" s="192">
        <f t="shared" si="343"/>
        <v>3.33498023715415</v>
      </c>
      <c r="AS219" s="192">
        <f t="shared" si="335"/>
        <v>0.535714285714286</v>
      </c>
      <c r="AT219" s="192">
        <f t="shared" si="336"/>
        <v>2.79926595143986</v>
      </c>
      <c r="AU219" s="5">
        <f t="shared" si="337"/>
        <v>0.160634920634921</v>
      </c>
      <c r="CI219" s="227">
        <f t="shared" si="383"/>
        <v>-50</v>
      </c>
    </row>
    <row r="220" spans="5:87">
      <c r="E220" s="22">
        <v>4</v>
      </c>
      <c r="F220" s="25">
        <f t="shared" si="384"/>
        <v>0.02</v>
      </c>
      <c r="G220" s="25">
        <f t="shared" si="353"/>
        <v>0.016</v>
      </c>
      <c r="H220" s="25">
        <f t="shared" si="354"/>
        <v>0.36</v>
      </c>
      <c r="I220" s="25">
        <f t="shared" si="355"/>
        <v>0.08</v>
      </c>
      <c r="J220" s="212">
        <f t="shared" si="356"/>
        <v>14</v>
      </c>
      <c r="K220" s="131">
        <f t="shared" si="357"/>
        <v>12.2728</v>
      </c>
      <c r="L220" s="131">
        <f t="shared" si="358"/>
        <v>26.2728</v>
      </c>
      <c r="M220" s="131"/>
      <c r="N220" s="25">
        <f t="shared" si="359"/>
        <v>0.467129502755702</v>
      </c>
      <c r="O220" s="27">
        <f t="shared" si="360"/>
        <v>3.61176038267022</v>
      </c>
      <c r="P220" s="27">
        <f t="shared" si="361"/>
        <v>0.80261341837116</v>
      </c>
      <c r="Q220" s="25">
        <f t="shared" si="362"/>
        <v>0.20065335459279</v>
      </c>
      <c r="R220" s="25">
        <f t="shared" si="363"/>
        <v>0.722352076534044</v>
      </c>
      <c r="S220" s="25">
        <f t="shared" si="364"/>
        <v>18</v>
      </c>
      <c r="T220" s="25">
        <f t="shared" si="365"/>
        <v>0.14951157961392</v>
      </c>
      <c r="U220" s="25">
        <f t="shared" si="366"/>
        <v>0.266984963596286</v>
      </c>
      <c r="V220" s="25">
        <f t="shared" si="367"/>
        <v>0.304558820346457</v>
      </c>
      <c r="W220" s="24">
        <f t="shared" si="368"/>
        <v>350</v>
      </c>
      <c r="X220" s="131">
        <f t="shared" si="369"/>
        <v>350</v>
      </c>
      <c r="Z220" s="25">
        <f t="shared" si="370"/>
        <v>0.747407204409123</v>
      </c>
      <c r="AA220" s="5">
        <f t="shared" si="371"/>
        <v>1.52248713498371</v>
      </c>
      <c r="AB220" s="5">
        <f t="shared" si="372"/>
        <v>0.108673741167761</v>
      </c>
      <c r="AC220" s="5"/>
      <c r="AD220" s="5">
        <f t="shared" si="373"/>
        <v>0.611107489733394</v>
      </c>
      <c r="AE220" s="216">
        <f t="shared" si="374"/>
        <v>399.802469135803</v>
      </c>
      <c r="AF220" s="217">
        <f t="shared" si="375"/>
        <v>0.0175086462450593</v>
      </c>
      <c r="AH220" s="5">
        <f t="shared" si="376"/>
        <v>0.317129986868837</v>
      </c>
      <c r="AI220" s="5">
        <f t="shared" si="377"/>
        <v>0.317129986868837</v>
      </c>
      <c r="AJ220" s="5">
        <f t="shared" si="378"/>
        <v>1.2126888791621</v>
      </c>
      <c r="AL220" s="216">
        <f t="shared" si="379"/>
        <v>20</v>
      </c>
      <c r="AM220" s="220">
        <f t="shared" si="380"/>
        <v>350</v>
      </c>
      <c r="AO220">
        <f t="shared" si="381"/>
        <v>20</v>
      </c>
      <c r="AP220">
        <f t="shared" si="382"/>
        <v>350</v>
      </c>
      <c r="AR220" s="192">
        <f t="shared" si="343"/>
        <v>2.85714285714286</v>
      </c>
      <c r="AS220" s="192">
        <f t="shared" si="335"/>
        <v>0.566303547980066</v>
      </c>
      <c r="AT220" s="192">
        <f t="shared" si="336"/>
        <v>2.29083930916279</v>
      </c>
      <c r="AU220" s="5">
        <f t="shared" si="337"/>
        <v>0.198206241793023</v>
      </c>
      <c r="CI220" s="227">
        <f t="shared" si="383"/>
        <v>-50</v>
      </c>
    </row>
    <row r="221" spans="5:87">
      <c r="E221" s="22">
        <v>5</v>
      </c>
      <c r="F221" s="25">
        <f t="shared" si="384"/>
        <v>0.025</v>
      </c>
      <c r="G221" s="25">
        <f t="shared" si="353"/>
        <v>0.02</v>
      </c>
      <c r="H221" s="25">
        <f t="shared" si="354"/>
        <v>0.45</v>
      </c>
      <c r="I221" s="25">
        <f t="shared" si="355"/>
        <v>0.1</v>
      </c>
      <c r="J221" s="212">
        <f t="shared" si="356"/>
        <v>14</v>
      </c>
      <c r="K221" s="131">
        <f t="shared" si="357"/>
        <v>12.2728</v>
      </c>
      <c r="L221" s="131">
        <f t="shared" si="358"/>
        <v>26.2728</v>
      </c>
      <c r="M221" s="131"/>
      <c r="N221" s="25">
        <f t="shared" si="359"/>
        <v>0.467129502755702</v>
      </c>
      <c r="O221" s="27">
        <f t="shared" si="360"/>
        <v>3.61176038267022</v>
      </c>
      <c r="P221" s="27">
        <f t="shared" si="361"/>
        <v>0.80261341837116</v>
      </c>
      <c r="Q221" s="25">
        <f t="shared" si="362"/>
        <v>0.20065335459279</v>
      </c>
      <c r="R221" s="25">
        <f t="shared" si="363"/>
        <v>0.722352076534044</v>
      </c>
      <c r="S221" s="25">
        <f t="shared" si="364"/>
        <v>18</v>
      </c>
      <c r="T221" s="25">
        <f t="shared" si="365"/>
        <v>0.1868894745174</v>
      </c>
      <c r="U221" s="25">
        <f t="shared" si="366"/>
        <v>0.333731204495357</v>
      </c>
      <c r="V221" s="25">
        <f t="shared" si="367"/>
        <v>0.380698525433072</v>
      </c>
      <c r="W221" s="24">
        <f t="shared" si="368"/>
        <v>350</v>
      </c>
      <c r="X221" s="131">
        <f t="shared" si="369"/>
        <v>350</v>
      </c>
      <c r="Z221" s="25">
        <f t="shared" si="370"/>
        <v>0.747407204409123</v>
      </c>
      <c r="AA221" s="5">
        <f t="shared" si="371"/>
        <v>1.52248713498371</v>
      </c>
      <c r="AB221" s="5">
        <f t="shared" si="372"/>
        <v>0.108673741167761</v>
      </c>
      <c r="AC221" s="5"/>
      <c r="AD221" s="5">
        <f t="shared" si="373"/>
        <v>0.611107489733394</v>
      </c>
      <c r="AE221" s="216">
        <f t="shared" si="374"/>
        <v>499.753086419753</v>
      </c>
      <c r="AF221" s="217">
        <f t="shared" si="375"/>
        <v>0.0175086462450593</v>
      </c>
      <c r="AH221" s="5">
        <f t="shared" si="376"/>
        <v>0.354562104171167</v>
      </c>
      <c r="AI221" s="5">
        <f t="shared" si="377"/>
        <v>0.354562104171167</v>
      </c>
      <c r="AJ221" s="5">
        <f t="shared" si="378"/>
        <v>1.24041637346012</v>
      </c>
      <c r="AL221" s="216">
        <f t="shared" si="379"/>
        <v>25</v>
      </c>
      <c r="AM221" s="220">
        <f t="shared" si="380"/>
        <v>350</v>
      </c>
      <c r="AO221">
        <f t="shared" si="381"/>
        <v>25</v>
      </c>
      <c r="AP221">
        <f t="shared" si="382"/>
        <v>350</v>
      </c>
      <c r="AR221" s="192">
        <f t="shared" si="343"/>
        <v>2.85714285714286</v>
      </c>
      <c r="AS221" s="192">
        <f t="shared" si="335"/>
        <v>0.63314661459137</v>
      </c>
      <c r="AT221" s="192">
        <f t="shared" si="336"/>
        <v>2.22399624255149</v>
      </c>
      <c r="AU221" s="5">
        <f t="shared" si="337"/>
        <v>0.22160131510698</v>
      </c>
      <c r="CI221" s="227">
        <f t="shared" si="383"/>
        <v>-50</v>
      </c>
    </row>
    <row r="222" spans="5:87">
      <c r="E222" s="22">
        <v>6</v>
      </c>
      <c r="F222" s="25">
        <f t="shared" si="384"/>
        <v>0.03</v>
      </c>
      <c r="G222" s="25">
        <f t="shared" si="353"/>
        <v>0.024</v>
      </c>
      <c r="H222" s="25">
        <f t="shared" si="354"/>
        <v>0.54</v>
      </c>
      <c r="I222" s="25">
        <f t="shared" si="355"/>
        <v>0.12</v>
      </c>
      <c r="J222" s="212">
        <f t="shared" si="356"/>
        <v>14</v>
      </c>
      <c r="K222" s="131">
        <f t="shared" si="357"/>
        <v>12.2728</v>
      </c>
      <c r="L222" s="131">
        <f t="shared" si="358"/>
        <v>26.2728</v>
      </c>
      <c r="M222" s="131"/>
      <c r="N222" s="25">
        <f t="shared" si="359"/>
        <v>0.467129502755702</v>
      </c>
      <c r="O222" s="27">
        <f t="shared" si="360"/>
        <v>3.61176038267022</v>
      </c>
      <c r="P222" s="27">
        <f t="shared" si="361"/>
        <v>0.80261341837116</v>
      </c>
      <c r="Q222" s="25">
        <f t="shared" si="362"/>
        <v>0.20065335459279</v>
      </c>
      <c r="R222" s="25">
        <f t="shared" si="363"/>
        <v>0.722352076534044</v>
      </c>
      <c r="S222" s="25">
        <f t="shared" si="364"/>
        <v>18</v>
      </c>
      <c r="T222" s="25">
        <f t="shared" si="365"/>
        <v>0.22426736942088</v>
      </c>
      <c r="U222" s="25">
        <f t="shared" si="366"/>
        <v>0.400477445394429</v>
      </c>
      <c r="V222" s="25">
        <f t="shared" si="367"/>
        <v>0.456838230519686</v>
      </c>
      <c r="W222" s="24">
        <f t="shared" si="368"/>
        <v>350</v>
      </c>
      <c r="X222" s="131">
        <f t="shared" si="369"/>
        <v>350</v>
      </c>
      <c r="Z222" s="25">
        <f t="shared" si="370"/>
        <v>0.747407204409123</v>
      </c>
      <c r="AA222" s="5">
        <f t="shared" si="371"/>
        <v>1.52248713498371</v>
      </c>
      <c r="AB222" s="5">
        <f t="shared" si="372"/>
        <v>0.108673741167761</v>
      </c>
      <c r="AC222" s="5"/>
      <c r="AD222" s="5">
        <f t="shared" si="373"/>
        <v>0.611107489733394</v>
      </c>
      <c r="AE222" s="216">
        <f t="shared" si="374"/>
        <v>599.703703703704</v>
      </c>
      <c r="AF222" s="217">
        <f t="shared" si="375"/>
        <v>0.0175086462450593</v>
      </c>
      <c r="AH222" s="5">
        <f t="shared" si="376"/>
        <v>0.38840332498209</v>
      </c>
      <c r="AI222" s="5">
        <f t="shared" si="377"/>
        <v>0.38840332498209</v>
      </c>
      <c r="AJ222" s="5">
        <f t="shared" si="378"/>
        <v>1.26548394443118</v>
      </c>
      <c r="AL222" s="216">
        <f t="shared" si="379"/>
        <v>30</v>
      </c>
      <c r="AM222" s="220">
        <f t="shared" si="380"/>
        <v>350</v>
      </c>
      <c r="AO222">
        <f t="shared" si="381"/>
        <v>30</v>
      </c>
      <c r="AP222">
        <f t="shared" si="382"/>
        <v>350</v>
      </c>
      <c r="AR222" s="192">
        <f t="shared" si="343"/>
        <v>2.85714285714286</v>
      </c>
      <c r="AS222" s="192">
        <f t="shared" si="335"/>
        <v>0.693577366039446</v>
      </c>
      <c r="AT222" s="192">
        <f t="shared" si="336"/>
        <v>2.16356549110341</v>
      </c>
      <c r="AU222" s="5">
        <f t="shared" si="337"/>
        <v>0.242752078113806</v>
      </c>
      <c r="CI222" s="227">
        <f t="shared" si="383"/>
        <v>-50</v>
      </c>
    </row>
    <row r="223" spans="5:87">
      <c r="E223" s="22">
        <v>7</v>
      </c>
      <c r="F223" s="25">
        <f t="shared" si="384"/>
        <v>0.035</v>
      </c>
      <c r="G223" s="25">
        <f t="shared" si="353"/>
        <v>0.028</v>
      </c>
      <c r="H223" s="25">
        <f t="shared" si="354"/>
        <v>0.63</v>
      </c>
      <c r="I223" s="25">
        <f t="shared" si="355"/>
        <v>0.14</v>
      </c>
      <c r="J223" s="212">
        <f t="shared" si="356"/>
        <v>14</v>
      </c>
      <c r="K223" s="131">
        <f t="shared" si="357"/>
        <v>12.2728</v>
      </c>
      <c r="L223" s="131">
        <f t="shared" si="358"/>
        <v>26.2728</v>
      </c>
      <c r="M223" s="131"/>
      <c r="N223" s="25">
        <f t="shared" si="359"/>
        <v>0.467129502755702</v>
      </c>
      <c r="O223" s="27">
        <f t="shared" si="360"/>
        <v>3.61176038267022</v>
      </c>
      <c r="P223" s="27">
        <f t="shared" si="361"/>
        <v>0.80261341837116</v>
      </c>
      <c r="Q223" s="25">
        <f t="shared" si="362"/>
        <v>0.20065335459279</v>
      </c>
      <c r="R223" s="25">
        <f t="shared" si="363"/>
        <v>0.722352076534044</v>
      </c>
      <c r="S223" s="25">
        <f t="shared" si="364"/>
        <v>18</v>
      </c>
      <c r="T223" s="25">
        <f t="shared" si="365"/>
        <v>0.26164526432436</v>
      </c>
      <c r="U223" s="25">
        <f t="shared" si="366"/>
        <v>0.4672236862935</v>
      </c>
      <c r="V223" s="25">
        <f t="shared" si="367"/>
        <v>0.5329779356063</v>
      </c>
      <c r="W223" s="24">
        <f t="shared" si="368"/>
        <v>350</v>
      </c>
      <c r="X223" s="131">
        <f t="shared" si="369"/>
        <v>350</v>
      </c>
      <c r="Z223" s="25">
        <f t="shared" si="370"/>
        <v>0.747407204409123</v>
      </c>
      <c r="AA223" s="5">
        <f t="shared" si="371"/>
        <v>1.52248713498371</v>
      </c>
      <c r="AB223" s="5">
        <f t="shared" si="372"/>
        <v>0.108673741167761</v>
      </c>
      <c r="AC223" s="5"/>
      <c r="AD223" s="5">
        <f t="shared" si="373"/>
        <v>0.611107489733394</v>
      </c>
      <c r="AE223" s="216">
        <f t="shared" si="374"/>
        <v>699.654320987654</v>
      </c>
      <c r="AF223" s="217">
        <f t="shared" si="375"/>
        <v>0.0175086462450593</v>
      </c>
      <c r="AH223" s="5">
        <f t="shared" si="376"/>
        <v>0.419523539268061</v>
      </c>
      <c r="AI223" s="5">
        <f t="shared" si="377"/>
        <v>0.419523539268061</v>
      </c>
      <c r="AJ223" s="5">
        <f t="shared" si="378"/>
        <v>1.28853595501338</v>
      </c>
      <c r="AL223" s="216">
        <f t="shared" si="379"/>
        <v>35</v>
      </c>
      <c r="AM223" s="220">
        <f t="shared" si="380"/>
        <v>350</v>
      </c>
      <c r="AO223">
        <f t="shared" si="381"/>
        <v>35</v>
      </c>
      <c r="AP223">
        <f t="shared" si="382"/>
        <v>350</v>
      </c>
      <c r="AR223" s="192">
        <f t="shared" si="343"/>
        <v>2.85714285714286</v>
      </c>
      <c r="AS223" s="192">
        <f t="shared" si="335"/>
        <v>0.749149177264394</v>
      </c>
      <c r="AT223" s="192">
        <f t="shared" si="336"/>
        <v>2.10799367987846</v>
      </c>
      <c r="AU223" s="5">
        <f t="shared" si="337"/>
        <v>0.262202212042538</v>
      </c>
      <c r="CI223" s="227">
        <f t="shared" si="383"/>
        <v>-50</v>
      </c>
    </row>
    <row r="224" spans="5:87">
      <c r="E224" s="22">
        <v>8</v>
      </c>
      <c r="F224" s="25">
        <f t="shared" si="384"/>
        <v>0.04</v>
      </c>
      <c r="G224" s="25">
        <f t="shared" si="353"/>
        <v>0.032</v>
      </c>
      <c r="H224" s="25">
        <f t="shared" si="354"/>
        <v>0.72</v>
      </c>
      <c r="I224" s="25">
        <f t="shared" si="355"/>
        <v>0.16</v>
      </c>
      <c r="J224" s="212">
        <f t="shared" si="356"/>
        <v>14</v>
      </c>
      <c r="K224" s="131">
        <f t="shared" si="357"/>
        <v>12.2728</v>
      </c>
      <c r="L224" s="131">
        <f t="shared" si="358"/>
        <v>26.2728</v>
      </c>
      <c r="M224" s="131"/>
      <c r="N224" s="25">
        <f t="shared" si="359"/>
        <v>0.467129502755702</v>
      </c>
      <c r="O224" s="27">
        <f t="shared" si="360"/>
        <v>3.61176038267022</v>
      </c>
      <c r="P224" s="27">
        <f t="shared" si="361"/>
        <v>0.80261341837116</v>
      </c>
      <c r="Q224" s="25">
        <f t="shared" si="362"/>
        <v>0.20065335459279</v>
      </c>
      <c r="R224" s="25">
        <f t="shared" si="363"/>
        <v>0.722352076534044</v>
      </c>
      <c r="S224" s="25">
        <f t="shared" si="364"/>
        <v>18</v>
      </c>
      <c r="T224" s="25">
        <f t="shared" si="365"/>
        <v>0.29902315922784</v>
      </c>
      <c r="U224" s="25">
        <f t="shared" si="366"/>
        <v>0.533969927192572</v>
      </c>
      <c r="V224" s="25">
        <f t="shared" si="367"/>
        <v>0.609117640692914</v>
      </c>
      <c r="W224" s="24">
        <f t="shared" si="368"/>
        <v>350</v>
      </c>
      <c r="X224" s="131">
        <f t="shared" si="369"/>
        <v>350</v>
      </c>
      <c r="Z224" s="25">
        <f t="shared" si="370"/>
        <v>0.747407204409123</v>
      </c>
      <c r="AA224" s="5">
        <f t="shared" si="371"/>
        <v>1.52248713498371</v>
      </c>
      <c r="AB224" s="5">
        <f t="shared" si="372"/>
        <v>0.108673741167761</v>
      </c>
      <c r="AC224" s="5"/>
      <c r="AD224" s="5">
        <f t="shared" si="373"/>
        <v>0.611107489733394</v>
      </c>
      <c r="AE224" s="216">
        <f t="shared" si="374"/>
        <v>799.604938271605</v>
      </c>
      <c r="AF224" s="217">
        <f t="shared" si="375"/>
        <v>0.0175086462450593</v>
      </c>
      <c r="AH224" s="5">
        <f t="shared" si="376"/>
        <v>0.44848952846511</v>
      </c>
      <c r="AI224" s="5">
        <f t="shared" si="377"/>
        <v>0.44848952846511</v>
      </c>
      <c r="AJ224" s="5">
        <f t="shared" si="378"/>
        <v>1.30999224330749</v>
      </c>
      <c r="AL224" s="216">
        <f t="shared" si="379"/>
        <v>40</v>
      </c>
      <c r="AM224" s="220">
        <f t="shared" si="380"/>
        <v>350</v>
      </c>
      <c r="AO224">
        <f t="shared" si="381"/>
        <v>40</v>
      </c>
      <c r="AP224">
        <f t="shared" si="382"/>
        <v>350</v>
      </c>
      <c r="AR224" s="192">
        <f t="shared" si="343"/>
        <v>2.85714285714286</v>
      </c>
      <c r="AS224" s="192">
        <f t="shared" si="335"/>
        <v>0.800874157973412</v>
      </c>
      <c r="AT224" s="192">
        <f t="shared" si="336"/>
        <v>2.05626869916945</v>
      </c>
      <c r="AU224" s="5">
        <f t="shared" si="337"/>
        <v>0.280305955290694</v>
      </c>
      <c r="CI224" s="227">
        <f t="shared" si="383"/>
        <v>-50</v>
      </c>
    </row>
    <row r="225" spans="5:87">
      <c r="E225" s="22">
        <v>9</v>
      </c>
      <c r="F225" s="25">
        <f t="shared" si="384"/>
        <v>0.045</v>
      </c>
      <c r="G225" s="25">
        <f t="shared" si="353"/>
        <v>0.036</v>
      </c>
      <c r="H225" s="25">
        <f t="shared" si="354"/>
        <v>0.81</v>
      </c>
      <c r="I225" s="25">
        <f t="shared" si="355"/>
        <v>0.18</v>
      </c>
      <c r="J225" s="212">
        <f t="shared" si="356"/>
        <v>14</v>
      </c>
      <c r="K225" s="131">
        <f t="shared" si="357"/>
        <v>12.2728</v>
      </c>
      <c r="L225" s="131">
        <f t="shared" si="358"/>
        <v>26.2728</v>
      </c>
      <c r="M225" s="131"/>
      <c r="N225" s="25">
        <f t="shared" si="359"/>
        <v>0.467129502755702</v>
      </c>
      <c r="O225" s="27">
        <f t="shared" si="360"/>
        <v>3.61176038267022</v>
      </c>
      <c r="P225" s="27">
        <f t="shared" si="361"/>
        <v>0.80261341837116</v>
      </c>
      <c r="Q225" s="25">
        <f t="shared" si="362"/>
        <v>0.20065335459279</v>
      </c>
      <c r="R225" s="25">
        <f t="shared" si="363"/>
        <v>0.722352076534044</v>
      </c>
      <c r="S225" s="25">
        <f t="shared" si="364"/>
        <v>18</v>
      </c>
      <c r="T225" s="25">
        <f t="shared" si="365"/>
        <v>0.336401054131319</v>
      </c>
      <c r="U225" s="25">
        <f t="shared" si="366"/>
        <v>0.600716168091641</v>
      </c>
      <c r="V225" s="25">
        <f t="shared" si="367"/>
        <v>0.685257345779527</v>
      </c>
      <c r="W225" s="24">
        <f t="shared" si="368"/>
        <v>350</v>
      </c>
      <c r="X225" s="131">
        <f t="shared" si="369"/>
        <v>350</v>
      </c>
      <c r="Z225" s="25">
        <f t="shared" si="370"/>
        <v>0.747407204409123</v>
      </c>
      <c r="AA225" s="5">
        <f t="shared" si="371"/>
        <v>1.52248713498371</v>
      </c>
      <c r="AB225" s="5">
        <f t="shared" si="372"/>
        <v>0.108673741167761</v>
      </c>
      <c r="AC225" s="5"/>
      <c r="AD225" s="5">
        <f t="shared" si="373"/>
        <v>0.611107489733394</v>
      </c>
      <c r="AE225" s="216">
        <f t="shared" si="374"/>
        <v>899.555555555556</v>
      </c>
      <c r="AF225" s="217">
        <f t="shared" si="375"/>
        <v>0.0175086462450593</v>
      </c>
      <c r="AH225" s="5">
        <f t="shared" si="376"/>
        <v>0.475694980303255</v>
      </c>
      <c r="AI225" s="5">
        <f t="shared" si="377"/>
        <v>0.475694980303255</v>
      </c>
      <c r="AJ225" s="5">
        <f t="shared" si="378"/>
        <v>1.33014442985426</v>
      </c>
      <c r="AL225" s="216">
        <f t="shared" si="379"/>
        <v>45</v>
      </c>
      <c r="AM225" s="220">
        <f t="shared" si="380"/>
        <v>350</v>
      </c>
      <c r="AO225">
        <f t="shared" si="381"/>
        <v>45</v>
      </c>
      <c r="AP225">
        <f t="shared" si="382"/>
        <v>350</v>
      </c>
      <c r="AR225" s="192">
        <f t="shared" si="343"/>
        <v>2.85714285714286</v>
      </c>
      <c r="AS225" s="192">
        <f t="shared" si="335"/>
        <v>0.849455321970098</v>
      </c>
      <c r="AT225" s="192">
        <f t="shared" si="336"/>
        <v>2.00768753517276</v>
      </c>
      <c r="AU225" s="5">
        <f t="shared" si="337"/>
        <v>0.297309362689534</v>
      </c>
      <c r="CI225" s="227">
        <f t="shared" si="383"/>
        <v>-50</v>
      </c>
    </row>
    <row r="226" spans="5:87">
      <c r="E226" s="22">
        <v>10</v>
      </c>
      <c r="F226" s="25">
        <f t="shared" si="384"/>
        <v>0.05</v>
      </c>
      <c r="G226" s="25">
        <f t="shared" si="353"/>
        <v>0.04</v>
      </c>
      <c r="H226" s="25">
        <f t="shared" si="354"/>
        <v>0.9</v>
      </c>
      <c r="I226" s="25">
        <f t="shared" si="355"/>
        <v>0.2</v>
      </c>
      <c r="J226" s="212">
        <f t="shared" si="356"/>
        <v>14</v>
      </c>
      <c r="K226" s="131">
        <f t="shared" si="357"/>
        <v>12.2728</v>
      </c>
      <c r="L226" s="131">
        <f t="shared" si="358"/>
        <v>26.2728</v>
      </c>
      <c r="M226" s="131"/>
      <c r="N226" s="25">
        <f t="shared" si="359"/>
        <v>0.467129502755702</v>
      </c>
      <c r="O226" s="27">
        <f t="shared" si="360"/>
        <v>3.61176038267022</v>
      </c>
      <c r="P226" s="27">
        <f t="shared" si="361"/>
        <v>0.80261341837116</v>
      </c>
      <c r="Q226" s="25">
        <f t="shared" si="362"/>
        <v>0.20065335459279</v>
      </c>
      <c r="R226" s="25">
        <f t="shared" si="363"/>
        <v>0.722352076534044</v>
      </c>
      <c r="S226" s="25">
        <f t="shared" si="364"/>
        <v>18</v>
      </c>
      <c r="T226" s="25">
        <f t="shared" si="365"/>
        <v>0.373778949034799</v>
      </c>
      <c r="U226" s="25">
        <f t="shared" si="366"/>
        <v>0.667462408990713</v>
      </c>
      <c r="V226" s="25">
        <f t="shared" si="367"/>
        <v>0.761397050866141</v>
      </c>
      <c r="W226" s="24">
        <f t="shared" si="368"/>
        <v>350</v>
      </c>
      <c r="X226" s="131">
        <f t="shared" si="369"/>
        <v>350</v>
      </c>
      <c r="Z226" s="25">
        <f t="shared" si="370"/>
        <v>0.747407204409123</v>
      </c>
      <c r="AA226" s="5">
        <f t="shared" si="371"/>
        <v>1.52248713498371</v>
      </c>
      <c r="AB226" s="5">
        <f t="shared" si="372"/>
        <v>0.108673741167761</v>
      </c>
      <c r="AC226" s="5"/>
      <c r="AD226" s="5">
        <f t="shared" si="373"/>
        <v>0.611107489733394</v>
      </c>
      <c r="AE226" s="216">
        <f t="shared" si="374"/>
        <v>999.506172839506</v>
      </c>
      <c r="AF226" s="217">
        <f t="shared" si="375"/>
        <v>0.0175086462450593</v>
      </c>
      <c r="AH226" s="5">
        <f t="shared" si="376"/>
        <v>0.501426536422407</v>
      </c>
      <c r="AI226" s="5">
        <f t="shared" si="377"/>
        <v>0.501426536422407</v>
      </c>
      <c r="AJ226" s="5">
        <f t="shared" si="378"/>
        <v>1.34920484179438</v>
      </c>
      <c r="AL226" s="216">
        <f t="shared" si="379"/>
        <v>50</v>
      </c>
      <c r="AM226" s="220">
        <f t="shared" si="380"/>
        <v>350</v>
      </c>
      <c r="AO226">
        <f t="shared" si="381"/>
        <v>50</v>
      </c>
      <c r="AP226">
        <f t="shared" si="382"/>
        <v>350</v>
      </c>
      <c r="AR226" s="192">
        <f t="shared" si="343"/>
        <v>2.85714285714286</v>
      </c>
      <c r="AS226" s="192">
        <f t="shared" si="335"/>
        <v>0.895404529325727</v>
      </c>
      <c r="AT226" s="192">
        <f t="shared" si="336"/>
        <v>1.96173832781713</v>
      </c>
      <c r="AU226" s="5">
        <f t="shared" si="337"/>
        <v>0.313391585264004</v>
      </c>
      <c r="CI226" s="227">
        <f t="shared" si="383"/>
        <v>-50</v>
      </c>
    </row>
    <row r="227" spans="5:87">
      <c r="E227" s="22">
        <v>11</v>
      </c>
      <c r="F227" s="25">
        <f t="shared" si="384"/>
        <v>0.055</v>
      </c>
      <c r="G227" s="25">
        <f t="shared" si="353"/>
        <v>0.044</v>
      </c>
      <c r="H227" s="25">
        <f t="shared" si="354"/>
        <v>0.99</v>
      </c>
      <c r="I227" s="25">
        <f t="shared" si="355"/>
        <v>0.22</v>
      </c>
      <c r="J227" s="212">
        <f t="shared" si="356"/>
        <v>14</v>
      </c>
      <c r="K227" s="131">
        <f t="shared" si="357"/>
        <v>12.2728</v>
      </c>
      <c r="L227" s="131">
        <f t="shared" si="358"/>
        <v>26.2728</v>
      </c>
      <c r="M227" s="131"/>
      <c r="N227" s="25">
        <f t="shared" si="359"/>
        <v>0.467129502755702</v>
      </c>
      <c r="O227" s="27">
        <f t="shared" si="360"/>
        <v>3.61176038267022</v>
      </c>
      <c r="P227" s="27">
        <f t="shared" si="361"/>
        <v>0.80261341837116</v>
      </c>
      <c r="Q227" s="25">
        <f t="shared" si="362"/>
        <v>0.20065335459279</v>
      </c>
      <c r="R227" s="25">
        <f t="shared" si="363"/>
        <v>0.722352076534044</v>
      </c>
      <c r="S227" s="25">
        <f t="shared" si="364"/>
        <v>18</v>
      </c>
      <c r="T227" s="25">
        <f t="shared" si="365"/>
        <v>0.411156843938279</v>
      </c>
      <c r="U227" s="25">
        <f t="shared" si="366"/>
        <v>0.734208649889784</v>
      </c>
      <c r="V227" s="25">
        <f t="shared" si="367"/>
        <v>0.837536755952755</v>
      </c>
      <c r="W227" s="24">
        <f t="shared" si="368"/>
        <v>350</v>
      </c>
      <c r="X227" s="131">
        <f t="shared" si="369"/>
        <v>350</v>
      </c>
      <c r="Z227" s="25">
        <f t="shared" si="370"/>
        <v>0.747407204409123</v>
      </c>
      <c r="AA227" s="5">
        <f t="shared" si="371"/>
        <v>1.52248713498371</v>
      </c>
      <c r="AB227" s="5">
        <f t="shared" si="372"/>
        <v>0.108673741167761</v>
      </c>
      <c r="AC227" s="5"/>
      <c r="AD227" s="5">
        <f t="shared" si="373"/>
        <v>0.611107489733394</v>
      </c>
      <c r="AE227" s="216">
        <f t="shared" si="374"/>
        <v>1099.45679012346</v>
      </c>
      <c r="AF227" s="217">
        <f t="shared" si="375"/>
        <v>0.0175086462450593</v>
      </c>
      <c r="AH227" s="5">
        <f t="shared" si="376"/>
        <v>0.525900588107133</v>
      </c>
      <c r="AI227" s="5">
        <f t="shared" si="377"/>
        <v>0.525900588107133</v>
      </c>
      <c r="AJ227" s="5">
        <f t="shared" si="378"/>
        <v>1.36733376896825</v>
      </c>
      <c r="AL227" s="216">
        <f t="shared" si="379"/>
        <v>55</v>
      </c>
      <c r="AM227" s="220">
        <f t="shared" si="380"/>
        <v>350</v>
      </c>
      <c r="AO227">
        <f t="shared" si="381"/>
        <v>55</v>
      </c>
      <c r="AP227">
        <f t="shared" si="382"/>
        <v>350</v>
      </c>
      <c r="AR227" s="192">
        <f t="shared" si="343"/>
        <v>2.85714285714286</v>
      </c>
      <c r="AS227" s="192">
        <f t="shared" si="335"/>
        <v>0.939108193048452</v>
      </c>
      <c r="AT227" s="192">
        <f t="shared" si="336"/>
        <v>1.9180346640944</v>
      </c>
      <c r="AU227" s="5">
        <f t="shared" si="337"/>
        <v>0.328687867566958</v>
      </c>
      <c r="CI227" s="227">
        <f t="shared" si="383"/>
        <v>-50</v>
      </c>
    </row>
    <row r="228" spans="5:87">
      <c r="E228" s="22">
        <v>12</v>
      </c>
      <c r="F228" s="25">
        <f t="shared" si="384"/>
        <v>0.06</v>
      </c>
      <c r="G228" s="25">
        <f t="shared" si="353"/>
        <v>0.048</v>
      </c>
      <c r="H228" s="25">
        <f t="shared" si="354"/>
        <v>1.08</v>
      </c>
      <c r="I228" s="25">
        <f t="shared" si="355"/>
        <v>0.24</v>
      </c>
      <c r="J228" s="212">
        <f t="shared" si="356"/>
        <v>14</v>
      </c>
      <c r="K228" s="131">
        <f t="shared" si="357"/>
        <v>12.2728</v>
      </c>
      <c r="L228" s="131">
        <f t="shared" si="358"/>
        <v>26.2728</v>
      </c>
      <c r="M228" s="131"/>
      <c r="N228" s="25">
        <f t="shared" si="359"/>
        <v>0.467129502755702</v>
      </c>
      <c r="O228" s="27">
        <f t="shared" si="360"/>
        <v>3.61176038267022</v>
      </c>
      <c r="P228" s="27">
        <f t="shared" si="361"/>
        <v>0.80261341837116</v>
      </c>
      <c r="Q228" s="25">
        <f t="shared" si="362"/>
        <v>0.20065335459279</v>
      </c>
      <c r="R228" s="25">
        <f t="shared" si="363"/>
        <v>0.722352076534044</v>
      </c>
      <c r="S228" s="25">
        <f t="shared" si="364"/>
        <v>18</v>
      </c>
      <c r="T228" s="25">
        <f t="shared" si="365"/>
        <v>0.448534738841759</v>
      </c>
      <c r="U228" s="25">
        <f t="shared" si="366"/>
        <v>0.800954890788855</v>
      </c>
      <c r="V228" s="25">
        <f t="shared" si="367"/>
        <v>0.91367646103937</v>
      </c>
      <c r="W228" s="24">
        <f t="shared" si="368"/>
        <v>350</v>
      </c>
      <c r="X228" s="131">
        <f t="shared" si="369"/>
        <v>350</v>
      </c>
      <c r="Z228" s="25">
        <f t="shared" si="370"/>
        <v>0.747407204409123</v>
      </c>
      <c r="AA228" s="5">
        <f t="shared" si="371"/>
        <v>1.52248713498371</v>
      </c>
      <c r="AB228" s="5">
        <f t="shared" si="372"/>
        <v>0.108673741167761</v>
      </c>
      <c r="AC228" s="5"/>
      <c r="AD228" s="5">
        <f t="shared" si="373"/>
        <v>0.611107489733394</v>
      </c>
      <c r="AE228" s="216">
        <f t="shared" si="374"/>
        <v>1199.40740740741</v>
      </c>
      <c r="AF228" s="217">
        <f t="shared" si="375"/>
        <v>0.0175086462450593</v>
      </c>
      <c r="AH228" s="5">
        <f t="shared" si="376"/>
        <v>0.549285249860476</v>
      </c>
      <c r="AI228" s="5">
        <f t="shared" si="377"/>
        <v>0.549285249860476</v>
      </c>
      <c r="AJ228" s="5">
        <f t="shared" si="378"/>
        <v>1.38465574063739</v>
      </c>
      <c r="AL228" s="216">
        <f t="shared" si="379"/>
        <v>60</v>
      </c>
      <c r="AM228" s="220">
        <f t="shared" si="380"/>
        <v>350</v>
      </c>
      <c r="AO228">
        <f t="shared" si="381"/>
        <v>60</v>
      </c>
      <c r="AP228">
        <f t="shared" si="382"/>
        <v>350</v>
      </c>
      <c r="AR228" s="192">
        <f t="shared" si="343"/>
        <v>2.85714285714286</v>
      </c>
      <c r="AS228" s="192">
        <f t="shared" si="335"/>
        <v>0.980866517607993</v>
      </c>
      <c r="AT228" s="192">
        <f t="shared" si="336"/>
        <v>1.87627633953486</v>
      </c>
      <c r="AU228" s="5">
        <f t="shared" si="337"/>
        <v>0.343303281162798</v>
      </c>
      <c r="CI228" s="227">
        <f t="shared" si="383"/>
        <v>-50</v>
      </c>
    </row>
    <row r="229" spans="5:87">
      <c r="E229" s="22">
        <v>13</v>
      </c>
      <c r="F229" s="25">
        <f t="shared" si="384"/>
        <v>0.065</v>
      </c>
      <c r="G229" s="25">
        <f t="shared" si="353"/>
        <v>0.052</v>
      </c>
      <c r="H229" s="25">
        <f t="shared" si="354"/>
        <v>1.17</v>
      </c>
      <c r="I229" s="25">
        <f t="shared" si="355"/>
        <v>0.26</v>
      </c>
      <c r="J229" s="212">
        <f t="shared" si="356"/>
        <v>14</v>
      </c>
      <c r="K229" s="131">
        <f t="shared" si="357"/>
        <v>12.2728</v>
      </c>
      <c r="L229" s="131">
        <f t="shared" si="358"/>
        <v>26.2728</v>
      </c>
      <c r="M229" s="131"/>
      <c r="N229" s="25">
        <f t="shared" si="359"/>
        <v>0.467129502755702</v>
      </c>
      <c r="O229" s="27">
        <f t="shared" si="360"/>
        <v>3.61176038267022</v>
      </c>
      <c r="P229" s="27">
        <f t="shared" si="361"/>
        <v>0.80261341837116</v>
      </c>
      <c r="Q229" s="25">
        <f t="shared" si="362"/>
        <v>0.20065335459279</v>
      </c>
      <c r="R229" s="25">
        <f t="shared" si="363"/>
        <v>0.722352076534044</v>
      </c>
      <c r="S229" s="25">
        <f t="shared" si="364"/>
        <v>18</v>
      </c>
      <c r="T229" s="25">
        <f t="shared" si="365"/>
        <v>0.485912633745239</v>
      </c>
      <c r="U229" s="25">
        <f t="shared" si="366"/>
        <v>0.867701131687927</v>
      </c>
      <c r="V229" s="25">
        <f t="shared" si="367"/>
        <v>0.989816166125984</v>
      </c>
      <c r="W229" s="24">
        <f t="shared" si="368"/>
        <v>350</v>
      </c>
      <c r="X229" s="131">
        <f t="shared" si="369"/>
        <v>350</v>
      </c>
      <c r="Z229" s="25">
        <f t="shared" si="370"/>
        <v>0.747407204409123</v>
      </c>
      <c r="AA229" s="5">
        <f t="shared" si="371"/>
        <v>1.52248713498371</v>
      </c>
      <c r="AB229" s="5">
        <f t="shared" si="372"/>
        <v>0.108673741167761</v>
      </c>
      <c r="AC229" s="5"/>
      <c r="AD229" s="5">
        <f t="shared" si="373"/>
        <v>0.611107489733394</v>
      </c>
      <c r="AE229" s="216">
        <f t="shared" si="374"/>
        <v>1299.35802469136</v>
      </c>
      <c r="AF229" s="217">
        <f t="shared" si="375"/>
        <v>0.0175086462450593</v>
      </c>
      <c r="AH229" s="5">
        <f t="shared" si="376"/>
        <v>0.571714214321406</v>
      </c>
      <c r="AI229" s="5">
        <f t="shared" si="377"/>
        <v>0.571714214321406</v>
      </c>
      <c r="AJ229" s="5">
        <f t="shared" si="378"/>
        <v>1.40126978838623</v>
      </c>
      <c r="AL229" s="216">
        <f t="shared" si="379"/>
        <v>65</v>
      </c>
      <c r="AM229" s="220">
        <f t="shared" si="380"/>
        <v>350</v>
      </c>
      <c r="AO229">
        <f t="shared" si="381"/>
        <v>65</v>
      </c>
      <c r="AP229">
        <f t="shared" si="382"/>
        <v>350</v>
      </c>
      <c r="AR229" s="192">
        <f t="shared" si="343"/>
        <v>2.85714285714286</v>
      </c>
      <c r="AS229" s="192">
        <f t="shared" si="335"/>
        <v>1.02091823985965</v>
      </c>
      <c r="AT229" s="192">
        <f t="shared" si="336"/>
        <v>1.8362246172832</v>
      </c>
      <c r="AU229" s="5">
        <f t="shared" si="337"/>
        <v>0.357321383950879</v>
      </c>
      <c r="CI229" s="227">
        <f t="shared" si="383"/>
        <v>-50</v>
      </c>
    </row>
    <row r="230" spans="5:87">
      <c r="E230" s="22">
        <v>14</v>
      </c>
      <c r="F230" s="25">
        <f t="shared" si="384"/>
        <v>0.07</v>
      </c>
      <c r="G230" s="25">
        <f t="shared" si="353"/>
        <v>0.056</v>
      </c>
      <c r="H230" s="25">
        <f t="shared" si="354"/>
        <v>1.26</v>
      </c>
      <c r="I230" s="25">
        <f t="shared" si="355"/>
        <v>0.28</v>
      </c>
      <c r="J230" s="212">
        <f t="shared" si="356"/>
        <v>14</v>
      </c>
      <c r="K230" s="131">
        <f t="shared" si="357"/>
        <v>12.2728</v>
      </c>
      <c r="L230" s="131">
        <f t="shared" si="358"/>
        <v>26.2728</v>
      </c>
      <c r="M230" s="131"/>
      <c r="N230" s="25">
        <f t="shared" si="359"/>
        <v>0.467129502755702</v>
      </c>
      <c r="O230" s="27">
        <f t="shared" si="360"/>
        <v>3.61176038267022</v>
      </c>
      <c r="P230" s="27">
        <f t="shared" si="361"/>
        <v>0.80261341837116</v>
      </c>
      <c r="Q230" s="25">
        <f t="shared" si="362"/>
        <v>0.20065335459279</v>
      </c>
      <c r="R230" s="25">
        <f t="shared" si="363"/>
        <v>0.722352076534044</v>
      </c>
      <c r="S230" s="25">
        <f t="shared" si="364"/>
        <v>18</v>
      </c>
      <c r="T230" s="25">
        <f t="shared" si="365"/>
        <v>0.523290528648719</v>
      </c>
      <c r="U230" s="25">
        <f t="shared" si="366"/>
        <v>0.934447372586998</v>
      </c>
      <c r="V230" s="25">
        <f t="shared" si="367"/>
        <v>1.0659558712126</v>
      </c>
      <c r="W230" s="24">
        <f t="shared" si="368"/>
        <v>350</v>
      </c>
      <c r="X230" s="131">
        <f t="shared" si="369"/>
        <v>350</v>
      </c>
      <c r="Z230" s="25">
        <f t="shared" si="370"/>
        <v>0.747407204409123</v>
      </c>
      <c r="AA230" s="5">
        <f t="shared" si="371"/>
        <v>1.52248713498371</v>
      </c>
      <c r="AB230" s="5">
        <f t="shared" si="372"/>
        <v>0.108673741167761</v>
      </c>
      <c r="AC230" s="5"/>
      <c r="AD230" s="5">
        <f t="shared" si="373"/>
        <v>0.611107489733394</v>
      </c>
      <c r="AE230" s="216">
        <f t="shared" si="374"/>
        <v>1399.30864197531</v>
      </c>
      <c r="AF230" s="217">
        <f t="shared" si="375"/>
        <v>0.0175086462450593</v>
      </c>
      <c r="AH230" s="5">
        <f t="shared" si="376"/>
        <v>0.593295878967653</v>
      </c>
      <c r="AI230" s="5">
        <f t="shared" si="377"/>
        <v>0.593295878967653</v>
      </c>
      <c r="AJ230" s="5">
        <f t="shared" si="378"/>
        <v>1.41725620664271</v>
      </c>
      <c r="AL230" s="216">
        <f t="shared" si="379"/>
        <v>70</v>
      </c>
      <c r="AM230" s="220">
        <f t="shared" si="380"/>
        <v>350</v>
      </c>
      <c r="AO230">
        <f t="shared" si="381"/>
        <v>70</v>
      </c>
      <c r="AP230">
        <f t="shared" si="382"/>
        <v>350</v>
      </c>
      <c r="AR230" s="192">
        <f t="shared" si="343"/>
        <v>2.85714285714286</v>
      </c>
      <c r="AS230" s="192">
        <f t="shared" si="335"/>
        <v>1.05945692672795</v>
      </c>
      <c r="AT230" s="192">
        <f t="shared" si="336"/>
        <v>1.79768593041491</v>
      </c>
      <c r="AU230" s="5">
        <f t="shared" si="337"/>
        <v>0.370809924354783</v>
      </c>
      <c r="CI230" s="227">
        <f t="shared" si="383"/>
        <v>-50</v>
      </c>
    </row>
    <row r="231" spans="5:87">
      <c r="E231" s="22">
        <v>15</v>
      </c>
      <c r="F231" s="25">
        <f t="shared" si="384"/>
        <v>0.075</v>
      </c>
      <c r="G231" s="25">
        <f t="shared" si="353"/>
        <v>0.06</v>
      </c>
      <c r="H231" s="25">
        <f t="shared" si="354"/>
        <v>1.35</v>
      </c>
      <c r="I231" s="25">
        <f t="shared" si="355"/>
        <v>0.3</v>
      </c>
      <c r="J231" s="212">
        <f t="shared" si="356"/>
        <v>14</v>
      </c>
      <c r="K231" s="131">
        <f t="shared" si="357"/>
        <v>12.2728</v>
      </c>
      <c r="L231" s="131">
        <f t="shared" si="358"/>
        <v>26.2728</v>
      </c>
      <c r="M231" s="131"/>
      <c r="N231" s="25">
        <f t="shared" si="359"/>
        <v>0.467129502755702</v>
      </c>
      <c r="O231" s="27">
        <f t="shared" si="360"/>
        <v>3.61176038267022</v>
      </c>
      <c r="P231" s="27">
        <f t="shared" si="361"/>
        <v>0.80261341837116</v>
      </c>
      <c r="Q231" s="25">
        <f t="shared" si="362"/>
        <v>0.20065335459279</v>
      </c>
      <c r="R231" s="25">
        <f t="shared" si="363"/>
        <v>0.722352076534044</v>
      </c>
      <c r="S231" s="25">
        <f t="shared" si="364"/>
        <v>18</v>
      </c>
      <c r="T231" s="25">
        <f t="shared" si="365"/>
        <v>0.560668423552199</v>
      </c>
      <c r="U231" s="25">
        <f t="shared" si="366"/>
        <v>1.00119361348607</v>
      </c>
      <c r="V231" s="25">
        <f t="shared" si="367"/>
        <v>1.14209557629921</v>
      </c>
      <c r="W231" s="24">
        <f t="shared" si="368"/>
        <v>350</v>
      </c>
      <c r="X231" s="131">
        <f t="shared" si="369"/>
        <v>350</v>
      </c>
      <c r="Z231" s="25">
        <f t="shared" si="370"/>
        <v>0.747407204409123</v>
      </c>
      <c r="AA231" s="5">
        <f t="shared" si="371"/>
        <v>1.52248713498371</v>
      </c>
      <c r="AB231" s="5">
        <f t="shared" si="372"/>
        <v>0.108673741167761</v>
      </c>
      <c r="AC231" s="5"/>
      <c r="AD231" s="5">
        <f t="shared" si="373"/>
        <v>0.611107489733394</v>
      </c>
      <c r="AE231" s="216">
        <f t="shared" si="374"/>
        <v>1499.25925925926</v>
      </c>
      <c r="AF231" s="217">
        <f t="shared" si="375"/>
        <v>0.0175086462450593</v>
      </c>
      <c r="AH231" s="5">
        <f t="shared" si="376"/>
        <v>0.614119578862991</v>
      </c>
      <c r="AI231" s="5">
        <f t="shared" si="377"/>
        <v>0.614119578862991</v>
      </c>
      <c r="AJ231" s="5">
        <f t="shared" si="378"/>
        <v>1.43268116952814</v>
      </c>
      <c r="AL231" s="216">
        <f t="shared" si="379"/>
        <v>75</v>
      </c>
      <c r="AM231" s="220">
        <f t="shared" si="380"/>
        <v>350</v>
      </c>
      <c r="AO231">
        <f t="shared" si="381"/>
        <v>75</v>
      </c>
      <c r="AP231">
        <f t="shared" si="382"/>
        <v>350</v>
      </c>
      <c r="AR231" s="192">
        <f t="shared" si="343"/>
        <v>2.85714285714286</v>
      </c>
      <c r="AS231" s="192">
        <f t="shared" si="335"/>
        <v>1.09664210511248</v>
      </c>
      <c r="AT231" s="192">
        <f t="shared" si="336"/>
        <v>1.76050075203037</v>
      </c>
      <c r="AU231" s="5">
        <f t="shared" si="337"/>
        <v>0.383824736789369</v>
      </c>
      <c r="CI231" s="227">
        <f t="shared" si="383"/>
        <v>-50</v>
      </c>
    </row>
    <row r="232" spans="5:87">
      <c r="E232" s="22">
        <v>16</v>
      </c>
      <c r="F232" s="25">
        <f t="shared" si="384"/>
        <v>0.08</v>
      </c>
      <c r="G232" s="25">
        <f t="shared" si="353"/>
        <v>0.064</v>
      </c>
      <c r="H232" s="25">
        <f t="shared" si="354"/>
        <v>1.44</v>
      </c>
      <c r="I232" s="25">
        <f t="shared" si="355"/>
        <v>0.32</v>
      </c>
      <c r="J232" s="212">
        <f t="shared" si="356"/>
        <v>14</v>
      </c>
      <c r="K232" s="131">
        <f t="shared" si="357"/>
        <v>12.2728</v>
      </c>
      <c r="L232" s="131">
        <f t="shared" si="358"/>
        <v>26.2728</v>
      </c>
      <c r="M232" s="131"/>
      <c r="N232" s="25">
        <f t="shared" si="359"/>
        <v>0.467129502755702</v>
      </c>
      <c r="O232" s="27">
        <f t="shared" si="360"/>
        <v>3.61176038267022</v>
      </c>
      <c r="P232" s="27">
        <f t="shared" si="361"/>
        <v>0.80261341837116</v>
      </c>
      <c r="Q232" s="25">
        <f t="shared" si="362"/>
        <v>0.20065335459279</v>
      </c>
      <c r="R232" s="25">
        <f t="shared" si="363"/>
        <v>0.722352076534044</v>
      </c>
      <c r="S232" s="25">
        <f t="shared" si="364"/>
        <v>18</v>
      </c>
      <c r="T232" s="25">
        <f t="shared" si="365"/>
        <v>0.598046318455679</v>
      </c>
      <c r="U232" s="25">
        <f t="shared" si="366"/>
        <v>1.06793985438514</v>
      </c>
      <c r="V232" s="25">
        <f t="shared" si="367"/>
        <v>1.21823528138583</v>
      </c>
      <c r="W232" s="24">
        <f t="shared" si="368"/>
        <v>350</v>
      </c>
      <c r="X232" s="131">
        <f t="shared" si="369"/>
        <v>350</v>
      </c>
      <c r="Z232" s="25">
        <f t="shared" si="370"/>
        <v>0.747407204409123</v>
      </c>
      <c r="AA232" s="5">
        <f t="shared" si="371"/>
        <v>1.52248713498371</v>
      </c>
      <c r="AB232" s="5">
        <f t="shared" si="372"/>
        <v>0.108673741167761</v>
      </c>
      <c r="AC232" s="5"/>
      <c r="AD232" s="5">
        <f t="shared" si="373"/>
        <v>0.611107489733394</v>
      </c>
      <c r="AE232" s="216">
        <f t="shared" si="374"/>
        <v>1599.20987654321</v>
      </c>
      <c r="AF232" s="217">
        <f t="shared" si="375"/>
        <v>0.0175086462450593</v>
      </c>
      <c r="AH232" s="5">
        <f t="shared" si="376"/>
        <v>0.634259973737674</v>
      </c>
      <c r="AI232" s="5">
        <f t="shared" si="377"/>
        <v>0.634259973737674</v>
      </c>
      <c r="AJ232" s="5">
        <f t="shared" si="378"/>
        <v>1.44759998054642</v>
      </c>
      <c r="AL232" s="216">
        <f t="shared" si="379"/>
        <v>80</v>
      </c>
      <c r="AM232" s="220">
        <f t="shared" si="380"/>
        <v>350</v>
      </c>
      <c r="AO232">
        <f t="shared" si="381"/>
        <v>80</v>
      </c>
      <c r="AP232">
        <f t="shared" si="382"/>
        <v>350</v>
      </c>
      <c r="AR232" s="192">
        <f t="shared" si="343"/>
        <v>2.85714285714286</v>
      </c>
      <c r="AS232" s="192">
        <f t="shared" si="335"/>
        <v>1.13260709596013</v>
      </c>
      <c r="AT232" s="192">
        <f t="shared" si="336"/>
        <v>1.72453576118273</v>
      </c>
      <c r="AU232" s="5">
        <f t="shared" si="337"/>
        <v>0.396412483586046</v>
      </c>
      <c r="CI232" s="227">
        <f t="shared" si="383"/>
        <v>-50</v>
      </c>
    </row>
    <row r="233" spans="5:87">
      <c r="E233" s="22">
        <v>17</v>
      </c>
      <c r="F233" s="25">
        <f t="shared" si="384"/>
        <v>0.085</v>
      </c>
      <c r="G233" s="25">
        <f t="shared" si="353"/>
        <v>0.068</v>
      </c>
      <c r="H233" s="25">
        <f t="shared" si="354"/>
        <v>1.53</v>
      </c>
      <c r="I233" s="25">
        <f t="shared" si="355"/>
        <v>0.34</v>
      </c>
      <c r="J233" s="212">
        <f t="shared" si="356"/>
        <v>14</v>
      </c>
      <c r="K233" s="131">
        <f t="shared" si="357"/>
        <v>12.2728</v>
      </c>
      <c r="L233" s="131">
        <f t="shared" si="358"/>
        <v>26.2728</v>
      </c>
      <c r="M233" s="131"/>
      <c r="N233" s="25">
        <f t="shared" si="359"/>
        <v>0.467129502755702</v>
      </c>
      <c r="O233" s="27">
        <f t="shared" si="360"/>
        <v>3.61176038267022</v>
      </c>
      <c r="P233" s="27">
        <f t="shared" si="361"/>
        <v>0.80261341837116</v>
      </c>
      <c r="Q233" s="25">
        <f t="shared" si="362"/>
        <v>0.20065335459279</v>
      </c>
      <c r="R233" s="25">
        <f t="shared" si="363"/>
        <v>0.722352076534044</v>
      </c>
      <c r="S233" s="25">
        <f t="shared" si="364"/>
        <v>18</v>
      </c>
      <c r="T233" s="25">
        <f t="shared" si="365"/>
        <v>0.635424213359159</v>
      </c>
      <c r="U233" s="25">
        <f t="shared" si="366"/>
        <v>1.13468609528421</v>
      </c>
      <c r="V233" s="25">
        <f t="shared" si="367"/>
        <v>1.29437498647244</v>
      </c>
      <c r="W233" s="24">
        <f t="shared" si="368"/>
        <v>350</v>
      </c>
      <c r="X233" s="131">
        <f t="shared" si="369"/>
        <v>350</v>
      </c>
      <c r="Z233" s="25">
        <f t="shared" si="370"/>
        <v>0.747407204409123</v>
      </c>
      <c r="AA233" s="5">
        <f t="shared" si="371"/>
        <v>1.52248713498371</v>
      </c>
      <c r="AB233" s="5">
        <f t="shared" si="372"/>
        <v>0.108673741167761</v>
      </c>
      <c r="AC233" s="5"/>
      <c r="AD233" s="5">
        <f t="shared" si="373"/>
        <v>0.611107489733394</v>
      </c>
      <c r="AE233" s="216">
        <f t="shared" si="374"/>
        <v>1699.16049382716</v>
      </c>
      <c r="AF233" s="217">
        <f t="shared" si="375"/>
        <v>0.0175086462450593</v>
      </c>
      <c r="AH233" s="5">
        <f t="shared" si="376"/>
        <v>0.653780216455478</v>
      </c>
      <c r="AI233" s="5">
        <f t="shared" si="377"/>
        <v>0.653780216455478</v>
      </c>
      <c r="AJ233" s="5">
        <f t="shared" si="378"/>
        <v>1.46205941959665</v>
      </c>
      <c r="AL233" s="216">
        <f t="shared" si="379"/>
        <v>85</v>
      </c>
      <c r="AM233" s="220">
        <f t="shared" si="380"/>
        <v>350</v>
      </c>
      <c r="AO233">
        <f t="shared" si="381"/>
        <v>85</v>
      </c>
      <c r="AP233">
        <f t="shared" si="382"/>
        <v>350</v>
      </c>
      <c r="AR233" s="192">
        <f t="shared" si="343"/>
        <v>2.85714285714286</v>
      </c>
      <c r="AS233" s="192">
        <f t="shared" si="335"/>
        <v>1.16746467224192</v>
      </c>
      <c r="AT233" s="192">
        <f t="shared" si="336"/>
        <v>1.68967818490093</v>
      </c>
      <c r="AU233" s="5">
        <f t="shared" si="337"/>
        <v>0.408612635284674</v>
      </c>
      <c r="CI233" s="227">
        <f t="shared" si="383"/>
        <v>-50</v>
      </c>
    </row>
    <row r="234" spans="5:87">
      <c r="E234" s="22">
        <v>18</v>
      </c>
      <c r="F234" s="25">
        <f t="shared" si="384"/>
        <v>0.09</v>
      </c>
      <c r="G234" s="25">
        <f t="shared" si="353"/>
        <v>0.072</v>
      </c>
      <c r="H234" s="25">
        <f t="shared" si="354"/>
        <v>1.62</v>
      </c>
      <c r="I234" s="25">
        <f t="shared" si="355"/>
        <v>0.36</v>
      </c>
      <c r="J234" s="212">
        <f t="shared" si="356"/>
        <v>14</v>
      </c>
      <c r="K234" s="131">
        <f t="shared" si="357"/>
        <v>12.2728</v>
      </c>
      <c r="L234" s="131">
        <f t="shared" si="358"/>
        <v>26.2728</v>
      </c>
      <c r="M234" s="131"/>
      <c r="N234" s="25">
        <f t="shared" si="359"/>
        <v>0.467129502755702</v>
      </c>
      <c r="O234" s="27">
        <f t="shared" si="360"/>
        <v>3.61176038267022</v>
      </c>
      <c r="P234" s="27">
        <f t="shared" si="361"/>
        <v>0.80261341837116</v>
      </c>
      <c r="Q234" s="25">
        <f t="shared" si="362"/>
        <v>0.20065335459279</v>
      </c>
      <c r="R234" s="25">
        <f t="shared" si="363"/>
        <v>0.722352076534044</v>
      </c>
      <c r="S234" s="25">
        <f t="shared" si="364"/>
        <v>18</v>
      </c>
      <c r="T234" s="25">
        <f t="shared" si="365"/>
        <v>0.672802108262639</v>
      </c>
      <c r="U234" s="25">
        <f t="shared" si="366"/>
        <v>1.20143233618328</v>
      </c>
      <c r="V234" s="25">
        <f t="shared" si="367"/>
        <v>1.37051469155906</v>
      </c>
      <c r="W234" s="24">
        <f t="shared" si="368"/>
        <v>350</v>
      </c>
      <c r="X234" s="131">
        <f t="shared" si="369"/>
        <v>350</v>
      </c>
      <c r="Z234" s="25">
        <f t="shared" si="370"/>
        <v>0.747407204409123</v>
      </c>
      <c r="AA234" s="5">
        <f t="shared" si="371"/>
        <v>1.52248713498371</v>
      </c>
      <c r="AB234" s="5">
        <f t="shared" si="372"/>
        <v>0.108673741167761</v>
      </c>
      <c r="AC234" s="5"/>
      <c r="AD234" s="5">
        <f t="shared" si="373"/>
        <v>0.611107489733394</v>
      </c>
      <c r="AE234" s="216">
        <f t="shared" si="374"/>
        <v>1799.11111111111</v>
      </c>
      <c r="AF234" s="217">
        <f t="shared" si="375"/>
        <v>0.0175086462450593</v>
      </c>
      <c r="AH234" s="5">
        <f t="shared" si="376"/>
        <v>0.672734292697666</v>
      </c>
      <c r="AI234" s="5">
        <f t="shared" si="377"/>
        <v>0.672734292697666</v>
      </c>
      <c r="AJ234" s="5">
        <f t="shared" si="378"/>
        <v>1.47609947607234</v>
      </c>
      <c r="AL234" s="216">
        <f t="shared" si="379"/>
        <v>90</v>
      </c>
      <c r="AM234" s="220">
        <f t="shared" si="380"/>
        <v>350</v>
      </c>
      <c r="AO234">
        <f t="shared" si="381"/>
        <v>90</v>
      </c>
      <c r="AP234">
        <f t="shared" si="382"/>
        <v>350</v>
      </c>
      <c r="AR234" s="192">
        <f t="shared" si="343"/>
        <v>2.85714285714286</v>
      </c>
      <c r="AS234" s="192">
        <f t="shared" si="335"/>
        <v>1.20131123696012</v>
      </c>
      <c r="AT234" s="192">
        <f t="shared" si="336"/>
        <v>1.65583162018274</v>
      </c>
      <c r="AU234" s="5">
        <f t="shared" si="337"/>
        <v>0.420458932936041</v>
      </c>
      <c r="CI234" s="227">
        <f t="shared" si="383"/>
        <v>-50</v>
      </c>
    </row>
    <row r="235" spans="5:87">
      <c r="E235" s="22">
        <v>19</v>
      </c>
      <c r="F235" s="25">
        <f t="shared" si="384"/>
        <v>0.095</v>
      </c>
      <c r="G235" s="25">
        <f t="shared" si="353"/>
        <v>0.076</v>
      </c>
      <c r="H235" s="25">
        <f t="shared" si="354"/>
        <v>1.71</v>
      </c>
      <c r="I235" s="25">
        <f t="shared" si="355"/>
        <v>0.38</v>
      </c>
      <c r="J235" s="212">
        <f t="shared" si="356"/>
        <v>14</v>
      </c>
      <c r="K235" s="131">
        <f t="shared" si="357"/>
        <v>12.2728</v>
      </c>
      <c r="L235" s="131">
        <f t="shared" si="358"/>
        <v>26.2728</v>
      </c>
      <c r="M235" s="131"/>
      <c r="N235" s="25">
        <f t="shared" si="359"/>
        <v>0.467129502755702</v>
      </c>
      <c r="O235" s="27">
        <f t="shared" si="360"/>
        <v>3.61176038267022</v>
      </c>
      <c r="P235" s="27">
        <f t="shared" si="361"/>
        <v>0.80261341837116</v>
      </c>
      <c r="Q235" s="25">
        <f t="shared" si="362"/>
        <v>0.20065335459279</v>
      </c>
      <c r="R235" s="25">
        <f t="shared" si="363"/>
        <v>0.722352076534044</v>
      </c>
      <c r="S235" s="25">
        <f t="shared" si="364"/>
        <v>18</v>
      </c>
      <c r="T235" s="25">
        <f t="shared" si="365"/>
        <v>0.710180003166119</v>
      </c>
      <c r="U235" s="25">
        <f t="shared" si="366"/>
        <v>1.26817857708236</v>
      </c>
      <c r="V235" s="25">
        <f t="shared" si="367"/>
        <v>1.44665439664567</v>
      </c>
      <c r="W235" s="24">
        <f t="shared" si="368"/>
        <v>350</v>
      </c>
      <c r="X235" s="131">
        <f t="shared" si="369"/>
        <v>350</v>
      </c>
      <c r="Z235" s="25">
        <f t="shared" si="370"/>
        <v>0.747407204409123</v>
      </c>
      <c r="AA235" s="5">
        <f t="shared" si="371"/>
        <v>1.52248713498371</v>
      </c>
      <c r="AB235" s="5">
        <f t="shared" si="372"/>
        <v>0.108673741167761</v>
      </c>
      <c r="AC235" s="5"/>
      <c r="AD235" s="5">
        <f t="shared" si="373"/>
        <v>0.611107489733394</v>
      </c>
      <c r="AE235" s="216">
        <f t="shared" si="374"/>
        <v>1899.06172839506</v>
      </c>
      <c r="AF235" s="217">
        <f t="shared" si="375"/>
        <v>0.0175086462450593</v>
      </c>
      <c r="AH235" s="5">
        <f t="shared" si="376"/>
        <v>0.69116878236382</v>
      </c>
      <c r="AI235" s="5">
        <f t="shared" si="377"/>
        <v>0.69116878236382</v>
      </c>
      <c r="AJ235" s="5">
        <f t="shared" si="378"/>
        <v>1.48975465360283</v>
      </c>
      <c r="AL235" s="216">
        <f t="shared" si="379"/>
        <v>95</v>
      </c>
      <c r="AM235" s="220">
        <f t="shared" si="380"/>
        <v>350</v>
      </c>
      <c r="AO235">
        <f t="shared" si="381"/>
        <v>95</v>
      </c>
      <c r="AP235">
        <f t="shared" si="382"/>
        <v>350</v>
      </c>
      <c r="AR235" s="192">
        <f t="shared" si="343"/>
        <v>2.85714285714286</v>
      </c>
      <c r="AS235" s="192">
        <f t="shared" si="335"/>
        <v>1.23422996850682</v>
      </c>
      <c r="AT235" s="192">
        <f t="shared" si="336"/>
        <v>1.62291288863604</v>
      </c>
      <c r="AU235" s="5">
        <f t="shared" si="337"/>
        <v>0.431980488977388</v>
      </c>
      <c r="CI235" s="227">
        <f t="shared" si="383"/>
        <v>-50</v>
      </c>
    </row>
    <row r="236" spans="5:87">
      <c r="E236" s="22">
        <v>20</v>
      </c>
      <c r="F236" s="25">
        <f t="shared" si="384"/>
        <v>0.1</v>
      </c>
      <c r="G236" s="25">
        <f t="shared" si="353"/>
        <v>0.08</v>
      </c>
      <c r="H236" s="25">
        <f t="shared" si="354"/>
        <v>1.8</v>
      </c>
      <c r="I236" s="25">
        <f t="shared" si="355"/>
        <v>0.4</v>
      </c>
      <c r="J236" s="212">
        <f t="shared" si="356"/>
        <v>14</v>
      </c>
      <c r="K236" s="131">
        <f t="shared" si="357"/>
        <v>12.2728</v>
      </c>
      <c r="L236" s="131">
        <f t="shared" si="358"/>
        <v>26.2728</v>
      </c>
      <c r="M236" s="131"/>
      <c r="N236" s="25">
        <f t="shared" si="359"/>
        <v>0.467129502755702</v>
      </c>
      <c r="O236" s="27">
        <f t="shared" si="360"/>
        <v>3.61176038267022</v>
      </c>
      <c r="P236" s="27">
        <f t="shared" si="361"/>
        <v>0.80261341837116</v>
      </c>
      <c r="Q236" s="25">
        <f t="shared" si="362"/>
        <v>0.20065335459279</v>
      </c>
      <c r="R236" s="25">
        <f t="shared" si="363"/>
        <v>0.722352076534044</v>
      </c>
      <c r="S236" s="25">
        <f t="shared" si="364"/>
        <v>18</v>
      </c>
      <c r="T236" s="25">
        <f t="shared" si="365"/>
        <v>0.747557898069599</v>
      </c>
      <c r="U236" s="25">
        <f t="shared" si="366"/>
        <v>1.33492481798143</v>
      </c>
      <c r="V236" s="25">
        <f t="shared" si="367"/>
        <v>1.52279410173228</v>
      </c>
      <c r="W236" s="24">
        <f t="shared" si="368"/>
        <v>350</v>
      </c>
      <c r="X236" s="131">
        <f t="shared" si="369"/>
        <v>349.929446560189</v>
      </c>
      <c r="Z236" s="25">
        <f t="shared" si="370"/>
        <v>0.747407204409123</v>
      </c>
      <c r="AA236" s="5">
        <f t="shared" si="371"/>
        <v>1.52248713498371</v>
      </c>
      <c r="AB236" s="5">
        <f t="shared" si="372"/>
        <v>0.108673741167761</v>
      </c>
      <c r="AC236" s="5"/>
      <c r="AD236" s="5">
        <f t="shared" si="373"/>
        <v>0.611107489733394</v>
      </c>
      <c r="AE236" s="216">
        <f t="shared" si="374"/>
        <v>1999.01234567901</v>
      </c>
      <c r="AF236" s="217">
        <f t="shared" si="375"/>
        <v>0.0175086462450593</v>
      </c>
      <c r="AH236" s="5">
        <f t="shared" si="376"/>
        <v>0.709124208342335</v>
      </c>
      <c r="AI236" s="5">
        <f t="shared" si="377"/>
        <v>0.709124208342335</v>
      </c>
      <c r="AJ236" s="5">
        <f t="shared" si="378"/>
        <v>1.50305496914247</v>
      </c>
      <c r="AL236" s="216">
        <f t="shared" si="379"/>
        <v>100</v>
      </c>
      <c r="AM236" s="220">
        <f t="shared" si="380"/>
        <v>349.929446560189</v>
      </c>
      <c r="AO236">
        <f t="shared" si="381"/>
        <v>100</v>
      </c>
      <c r="AP236">
        <f t="shared" si="382"/>
        <v>349.929446560189</v>
      </c>
      <c r="AR236" s="192">
        <f t="shared" si="343"/>
        <v>2.85771891971371</v>
      </c>
      <c r="AS236" s="192">
        <f t="shared" si="335"/>
        <v>1.26629322918274</v>
      </c>
      <c r="AT236" s="192">
        <f t="shared" si="336"/>
        <v>1.59142569053097</v>
      </c>
      <c r="AU236" s="5">
        <f t="shared" si="337"/>
        <v>0.443113288870831</v>
      </c>
      <c r="CI236" s="227">
        <f t="shared" si="383"/>
        <v>-50</v>
      </c>
    </row>
    <row r="237" spans="5:87">
      <c r="E237" s="22">
        <v>21</v>
      </c>
      <c r="F237" s="25">
        <f t="shared" si="384"/>
        <v>0.105</v>
      </c>
      <c r="G237" s="25">
        <f t="shared" si="353"/>
        <v>0.084</v>
      </c>
      <c r="H237" s="25">
        <f t="shared" si="354"/>
        <v>1.89</v>
      </c>
      <c r="I237" s="25">
        <f t="shared" si="355"/>
        <v>0.42</v>
      </c>
      <c r="J237" s="212">
        <f t="shared" si="356"/>
        <v>14</v>
      </c>
      <c r="K237" s="131">
        <f t="shared" si="357"/>
        <v>12.2728</v>
      </c>
      <c r="L237" s="131">
        <f t="shared" si="358"/>
        <v>26.2728</v>
      </c>
      <c r="M237" s="131"/>
      <c r="N237" s="25">
        <f t="shared" si="359"/>
        <v>0.467129502755702</v>
      </c>
      <c r="O237" s="27">
        <f t="shared" si="360"/>
        <v>3.61176038267022</v>
      </c>
      <c r="P237" s="27">
        <f t="shared" si="361"/>
        <v>0.80261341837116</v>
      </c>
      <c r="Q237" s="25">
        <f t="shared" si="362"/>
        <v>0.20065335459279</v>
      </c>
      <c r="R237" s="25">
        <f t="shared" si="363"/>
        <v>0.722352076534044</v>
      </c>
      <c r="S237" s="25">
        <f t="shared" si="364"/>
        <v>18</v>
      </c>
      <c r="T237" s="25">
        <f t="shared" si="365"/>
        <v>0.784935792973079</v>
      </c>
      <c r="U237" s="25">
        <f t="shared" si="366"/>
        <v>1.4016710588805</v>
      </c>
      <c r="V237" s="25">
        <f t="shared" si="367"/>
        <v>1.5989338068189</v>
      </c>
      <c r="W237" s="24">
        <f t="shared" si="368"/>
        <v>350</v>
      </c>
      <c r="X237" s="131">
        <f t="shared" si="369"/>
        <v>333.266139581132</v>
      </c>
      <c r="Z237" s="25">
        <f t="shared" si="370"/>
        <v>0.747407204409123</v>
      </c>
      <c r="AA237" s="5">
        <f t="shared" si="371"/>
        <v>1.52248713498371</v>
      </c>
      <c r="AB237" s="5">
        <f t="shared" si="372"/>
        <v>0.108673741167761</v>
      </c>
      <c r="AC237" s="5"/>
      <c r="AD237" s="5">
        <f t="shared" si="373"/>
        <v>0.611107489733394</v>
      </c>
      <c r="AE237" s="216">
        <f t="shared" si="374"/>
        <v>2098.96296296296</v>
      </c>
      <c r="AF237" s="217">
        <f t="shared" si="375"/>
        <v>0.0175086462450593</v>
      </c>
      <c r="AH237" s="5">
        <f t="shared" si="376"/>
        <v>0.726636084983398</v>
      </c>
      <c r="AI237" s="5">
        <f t="shared" si="377"/>
        <v>0.726636084983398</v>
      </c>
      <c r="AJ237" s="5">
        <f t="shared" si="378"/>
        <v>1.51602672961733</v>
      </c>
      <c r="AL237" s="216">
        <f t="shared" si="379"/>
        <v>105</v>
      </c>
      <c r="AM237" s="220">
        <f t="shared" si="380"/>
        <v>333.266139581132</v>
      </c>
      <c r="AO237">
        <f t="shared" si="381"/>
        <v>105</v>
      </c>
      <c r="AP237">
        <f t="shared" si="382"/>
        <v>333.266139581132</v>
      </c>
      <c r="AR237" s="192">
        <f t="shared" si="343"/>
        <v>3.0006048656994</v>
      </c>
      <c r="AS237" s="192">
        <f t="shared" si="335"/>
        <v>1.29756443747035</v>
      </c>
      <c r="AT237" s="192">
        <f t="shared" si="336"/>
        <v>1.70304042822904</v>
      </c>
      <c r="AU237" s="5">
        <f t="shared" si="337"/>
        <v>0.432434290933508</v>
      </c>
      <c r="CI237" s="227">
        <f t="shared" si="383"/>
        <v>-50</v>
      </c>
    </row>
    <row r="238" spans="5:87">
      <c r="E238" s="22">
        <v>22</v>
      </c>
      <c r="F238" s="25">
        <f t="shared" si="384"/>
        <v>0.11</v>
      </c>
      <c r="G238" s="25">
        <f t="shared" si="353"/>
        <v>0.088</v>
      </c>
      <c r="H238" s="25">
        <f t="shared" si="354"/>
        <v>1.98</v>
      </c>
      <c r="I238" s="25">
        <f t="shared" si="355"/>
        <v>0.44</v>
      </c>
      <c r="J238" s="212">
        <f t="shared" si="356"/>
        <v>14</v>
      </c>
      <c r="K238" s="131">
        <f t="shared" si="357"/>
        <v>12.2728</v>
      </c>
      <c r="L238" s="131">
        <f t="shared" si="358"/>
        <v>26.2728</v>
      </c>
      <c r="M238" s="131"/>
      <c r="N238" s="25">
        <f t="shared" si="359"/>
        <v>0.467129502755702</v>
      </c>
      <c r="O238" s="27">
        <f t="shared" si="360"/>
        <v>3.61176038267022</v>
      </c>
      <c r="P238" s="27">
        <f t="shared" si="361"/>
        <v>0.80261341837116</v>
      </c>
      <c r="Q238" s="25">
        <f t="shared" si="362"/>
        <v>0.20065335459279</v>
      </c>
      <c r="R238" s="25">
        <f t="shared" si="363"/>
        <v>0.722352076534044</v>
      </c>
      <c r="S238" s="25">
        <f t="shared" si="364"/>
        <v>18</v>
      </c>
      <c r="T238" s="25">
        <f t="shared" si="365"/>
        <v>0.822313687876559</v>
      </c>
      <c r="U238" s="25">
        <f t="shared" si="366"/>
        <v>1.46841729977957</v>
      </c>
      <c r="V238" s="25">
        <f t="shared" si="367"/>
        <v>1.67507351190551</v>
      </c>
      <c r="W238" s="24">
        <f t="shared" si="368"/>
        <v>350</v>
      </c>
      <c r="X238" s="131">
        <f t="shared" si="369"/>
        <v>318.117678691081</v>
      </c>
      <c r="Z238" s="25">
        <f t="shared" si="370"/>
        <v>0.747407204409123</v>
      </c>
      <c r="AA238" s="5">
        <f t="shared" si="371"/>
        <v>1.52248713498371</v>
      </c>
      <c r="AB238" s="5">
        <f t="shared" si="372"/>
        <v>0.108673741167761</v>
      </c>
      <c r="AC238" s="5"/>
      <c r="AD238" s="5">
        <f t="shared" si="373"/>
        <v>0.611107489733394</v>
      </c>
      <c r="AE238" s="216">
        <f t="shared" si="374"/>
        <v>2198.91358024691</v>
      </c>
      <c r="AF238" s="217">
        <f t="shared" si="375"/>
        <v>0.0175086462450593</v>
      </c>
      <c r="AH238" s="5">
        <f t="shared" si="376"/>
        <v>0.743735744161095</v>
      </c>
      <c r="AI238" s="5">
        <f t="shared" si="377"/>
        <v>0.822313687876559</v>
      </c>
      <c r="AJ238" s="5">
        <f t="shared" si="378"/>
        <v>1.58689902805671</v>
      </c>
      <c r="AL238" s="216">
        <f t="shared" si="379"/>
        <v>110</v>
      </c>
      <c r="AM238" s="220">
        <f t="shared" si="380"/>
        <v>318.117678691081</v>
      </c>
      <c r="AO238">
        <f t="shared" si="381"/>
        <v>110</v>
      </c>
      <c r="AP238">
        <f t="shared" si="382"/>
        <v>318.117678691081</v>
      </c>
      <c r="AR238" s="192">
        <f t="shared" si="343"/>
        <v>3.14349081168508</v>
      </c>
      <c r="AS238" s="192">
        <f t="shared" si="335"/>
        <v>1.46841729977957</v>
      </c>
      <c r="AT238" s="192">
        <f t="shared" si="336"/>
        <v>1.67507351190551</v>
      </c>
      <c r="AU238" s="5">
        <f t="shared" si="337"/>
        <v>0.467129502755702</v>
      </c>
      <c r="CI238" s="227">
        <f t="shared" si="383"/>
        <v>-50</v>
      </c>
    </row>
    <row r="239" spans="5:87">
      <c r="E239" s="22">
        <v>23</v>
      </c>
      <c r="F239" s="25">
        <f t="shared" si="384"/>
        <v>0.115</v>
      </c>
      <c r="G239" s="25">
        <f t="shared" si="353"/>
        <v>0.092</v>
      </c>
      <c r="H239" s="25">
        <f t="shared" si="354"/>
        <v>2.07</v>
      </c>
      <c r="I239" s="25">
        <f t="shared" si="355"/>
        <v>0.46</v>
      </c>
      <c r="J239" s="212">
        <f t="shared" si="356"/>
        <v>14</v>
      </c>
      <c r="K239" s="131">
        <f t="shared" si="357"/>
        <v>12.2728</v>
      </c>
      <c r="L239" s="131">
        <f t="shared" si="358"/>
        <v>26.2728</v>
      </c>
      <c r="M239" s="131"/>
      <c r="N239" s="25">
        <f t="shared" si="359"/>
        <v>0.467129502755702</v>
      </c>
      <c r="O239" s="27">
        <f t="shared" si="360"/>
        <v>3.61176038267022</v>
      </c>
      <c r="P239" s="27">
        <f t="shared" si="361"/>
        <v>0.80261341837116</v>
      </c>
      <c r="Q239" s="25">
        <f t="shared" si="362"/>
        <v>0.20065335459279</v>
      </c>
      <c r="R239" s="25">
        <f t="shared" si="363"/>
        <v>0.722352076534044</v>
      </c>
      <c r="S239" s="25">
        <f t="shared" si="364"/>
        <v>18</v>
      </c>
      <c r="T239" s="25">
        <f t="shared" si="365"/>
        <v>0.859691582780039</v>
      </c>
      <c r="U239" s="25">
        <f t="shared" si="366"/>
        <v>1.53516354067864</v>
      </c>
      <c r="V239" s="25">
        <f t="shared" si="367"/>
        <v>1.75121321699213</v>
      </c>
      <c r="W239" s="24">
        <f t="shared" si="368"/>
        <v>350</v>
      </c>
      <c r="X239" s="131">
        <f t="shared" si="369"/>
        <v>304.28647526973</v>
      </c>
      <c r="Z239" s="25">
        <f t="shared" si="370"/>
        <v>0.747407204409123</v>
      </c>
      <c r="AA239" s="5">
        <f t="shared" si="371"/>
        <v>1.52248713498371</v>
      </c>
      <c r="AB239" s="5">
        <f t="shared" si="372"/>
        <v>0.108673741167761</v>
      </c>
      <c r="AC239" s="5"/>
      <c r="AD239" s="5">
        <f t="shared" si="373"/>
        <v>0.611107489733394</v>
      </c>
      <c r="AE239" s="216">
        <f t="shared" si="374"/>
        <v>2298.86419753086</v>
      </c>
      <c r="AF239" s="217">
        <f t="shared" si="375"/>
        <v>0.0175086462450593</v>
      </c>
      <c r="AH239" s="5">
        <f t="shared" si="376"/>
        <v>0.760450994006658</v>
      </c>
      <c r="AI239" s="5">
        <f t="shared" si="377"/>
        <v>0.859691582780039</v>
      </c>
      <c r="AJ239" s="5">
        <f t="shared" si="378"/>
        <v>1.61458635761484</v>
      </c>
      <c r="AL239" s="216">
        <f t="shared" si="379"/>
        <v>115</v>
      </c>
      <c r="AM239" s="220">
        <f t="shared" si="380"/>
        <v>304.28647526973</v>
      </c>
      <c r="AO239">
        <f t="shared" si="381"/>
        <v>115</v>
      </c>
      <c r="AP239">
        <f t="shared" si="382"/>
        <v>304.28647526973</v>
      </c>
      <c r="AR239" s="192">
        <f t="shared" si="343"/>
        <v>3.28637675767077</v>
      </c>
      <c r="AS239" s="192">
        <f t="shared" si="335"/>
        <v>1.53516354067864</v>
      </c>
      <c r="AT239" s="192">
        <f t="shared" si="336"/>
        <v>1.75121321699213</v>
      </c>
      <c r="AU239" s="5">
        <f t="shared" si="337"/>
        <v>0.467129502755702</v>
      </c>
      <c r="CI239" s="227">
        <f t="shared" si="383"/>
        <v>-50</v>
      </c>
    </row>
    <row r="240" spans="5:87">
      <c r="E240" s="22">
        <v>24</v>
      </c>
      <c r="F240" s="25">
        <f t="shared" si="384"/>
        <v>0.12</v>
      </c>
      <c r="G240" s="25">
        <f t="shared" si="353"/>
        <v>0.096</v>
      </c>
      <c r="H240" s="25">
        <f t="shared" si="354"/>
        <v>2.16</v>
      </c>
      <c r="I240" s="25">
        <f t="shared" si="355"/>
        <v>0.48</v>
      </c>
      <c r="J240" s="212">
        <f t="shared" si="356"/>
        <v>14</v>
      </c>
      <c r="K240" s="131">
        <f t="shared" si="357"/>
        <v>12.2728</v>
      </c>
      <c r="L240" s="131">
        <f t="shared" si="358"/>
        <v>26.2728</v>
      </c>
      <c r="M240" s="131"/>
      <c r="N240" s="25">
        <f t="shared" si="359"/>
        <v>0.467129502755702</v>
      </c>
      <c r="O240" s="27">
        <f t="shared" si="360"/>
        <v>3.61176038267022</v>
      </c>
      <c r="P240" s="27">
        <f t="shared" si="361"/>
        <v>0.80261341837116</v>
      </c>
      <c r="Q240" s="25">
        <f t="shared" si="362"/>
        <v>0.20065335459279</v>
      </c>
      <c r="R240" s="25">
        <f t="shared" si="363"/>
        <v>0.722352076534044</v>
      </c>
      <c r="S240" s="25">
        <f t="shared" si="364"/>
        <v>18</v>
      </c>
      <c r="T240" s="25">
        <f t="shared" si="365"/>
        <v>0.897069477683519</v>
      </c>
      <c r="U240" s="25">
        <f t="shared" si="366"/>
        <v>1.60190978157771</v>
      </c>
      <c r="V240" s="25">
        <f t="shared" si="367"/>
        <v>1.82735292207874</v>
      </c>
      <c r="W240" s="24">
        <f t="shared" si="368"/>
        <v>350</v>
      </c>
      <c r="X240" s="131">
        <f t="shared" si="369"/>
        <v>291.607872133491</v>
      </c>
      <c r="Z240" s="25">
        <f t="shared" si="370"/>
        <v>0.747407204409123</v>
      </c>
      <c r="AA240" s="5">
        <f t="shared" si="371"/>
        <v>1.52248713498371</v>
      </c>
      <c r="AB240" s="5">
        <f t="shared" si="372"/>
        <v>0.108673741167761</v>
      </c>
      <c r="AC240" s="5"/>
      <c r="AD240" s="5">
        <f t="shared" si="373"/>
        <v>0.611107489733394</v>
      </c>
      <c r="AE240" s="216">
        <f t="shared" si="374"/>
        <v>2398.81481481482</v>
      </c>
      <c r="AF240" s="217">
        <f t="shared" si="375"/>
        <v>0.0175086462450593</v>
      </c>
      <c r="AH240" s="5">
        <f t="shared" si="376"/>
        <v>0.77680664996418</v>
      </c>
      <c r="AI240" s="5">
        <f t="shared" si="377"/>
        <v>0.897069477683519</v>
      </c>
      <c r="AJ240" s="5">
        <f t="shared" si="378"/>
        <v>1.64227368717298</v>
      </c>
      <c r="AL240" s="216">
        <f t="shared" si="379"/>
        <v>120</v>
      </c>
      <c r="AM240" s="220">
        <f t="shared" si="380"/>
        <v>291.607872133491</v>
      </c>
      <c r="AO240">
        <f t="shared" si="381"/>
        <v>120</v>
      </c>
      <c r="AP240">
        <f t="shared" si="382"/>
        <v>291.607872133491</v>
      </c>
      <c r="AR240" s="192">
        <f t="shared" si="343"/>
        <v>3.42926270365645</v>
      </c>
      <c r="AS240" s="192">
        <f t="shared" si="335"/>
        <v>1.60190978157771</v>
      </c>
      <c r="AT240" s="192">
        <f t="shared" si="336"/>
        <v>1.82735292207874</v>
      </c>
      <c r="AU240" s="5">
        <f t="shared" si="337"/>
        <v>0.467129502755702</v>
      </c>
      <c r="CI240" s="227">
        <f t="shared" si="383"/>
        <v>-50</v>
      </c>
    </row>
    <row r="241" spans="5:87">
      <c r="E241" s="22">
        <v>25</v>
      </c>
      <c r="F241" s="25">
        <f t="shared" si="384"/>
        <v>0.125</v>
      </c>
      <c r="G241" s="25">
        <f t="shared" si="353"/>
        <v>0.1</v>
      </c>
      <c r="H241" s="25">
        <f t="shared" si="354"/>
        <v>2.25</v>
      </c>
      <c r="I241" s="25">
        <f t="shared" si="355"/>
        <v>0.5</v>
      </c>
      <c r="J241" s="212">
        <f t="shared" si="356"/>
        <v>14</v>
      </c>
      <c r="K241" s="131">
        <f t="shared" si="357"/>
        <v>12.2728</v>
      </c>
      <c r="L241" s="131">
        <f t="shared" si="358"/>
        <v>26.2728</v>
      </c>
      <c r="M241" s="131"/>
      <c r="N241" s="25">
        <f t="shared" si="359"/>
        <v>0.467129502755702</v>
      </c>
      <c r="O241" s="27">
        <f t="shared" si="360"/>
        <v>3.61176038267022</v>
      </c>
      <c r="P241" s="27">
        <f t="shared" si="361"/>
        <v>0.80261341837116</v>
      </c>
      <c r="Q241" s="25">
        <f t="shared" si="362"/>
        <v>0.20065335459279</v>
      </c>
      <c r="R241" s="25">
        <f t="shared" si="363"/>
        <v>0.722352076534044</v>
      </c>
      <c r="S241" s="25">
        <f t="shared" si="364"/>
        <v>18</v>
      </c>
      <c r="T241" s="25">
        <f t="shared" si="365"/>
        <v>0.934447372586999</v>
      </c>
      <c r="U241" s="25">
        <f t="shared" si="366"/>
        <v>1.66865602247678</v>
      </c>
      <c r="V241" s="25">
        <f t="shared" si="367"/>
        <v>1.90349262716536</v>
      </c>
      <c r="W241" s="24">
        <f t="shared" si="368"/>
        <v>350</v>
      </c>
      <c r="X241" s="131">
        <f t="shared" si="369"/>
        <v>279.943557248151</v>
      </c>
      <c r="Z241" s="25">
        <f t="shared" si="370"/>
        <v>0.747407204409123</v>
      </c>
      <c r="AA241" s="5">
        <f t="shared" si="371"/>
        <v>1.52248713498371</v>
      </c>
      <c r="AB241" s="5">
        <f t="shared" si="372"/>
        <v>0.108673741167761</v>
      </c>
      <c r="AC241" s="5"/>
      <c r="AD241" s="5">
        <f t="shared" si="373"/>
        <v>0.611107489733394</v>
      </c>
      <c r="AE241" s="216">
        <f t="shared" si="374"/>
        <v>2498.76543209877</v>
      </c>
      <c r="AF241" s="217">
        <f t="shared" si="375"/>
        <v>0.0175086462450593</v>
      </c>
      <c r="AH241" s="5">
        <f t="shared" si="376"/>
        <v>0.792824967172092</v>
      </c>
      <c r="AI241" s="5">
        <f t="shared" si="377"/>
        <v>0.934447372586999</v>
      </c>
      <c r="AJ241" s="5">
        <f t="shared" si="378"/>
        <v>1.66996101673111</v>
      </c>
      <c r="AL241" s="216">
        <f t="shared" si="379"/>
        <v>125</v>
      </c>
      <c r="AM241" s="220">
        <f t="shared" si="380"/>
        <v>279.943557248151</v>
      </c>
      <c r="AO241">
        <f t="shared" si="381"/>
        <v>125</v>
      </c>
      <c r="AP241">
        <f t="shared" si="382"/>
        <v>279.943557248151</v>
      </c>
      <c r="AR241" s="192">
        <f t="shared" si="343"/>
        <v>3.57214864964214</v>
      </c>
      <c r="AS241" s="192">
        <f t="shared" si="335"/>
        <v>1.66865602247678</v>
      </c>
      <c r="AT241" s="192">
        <f t="shared" si="336"/>
        <v>1.90349262716536</v>
      </c>
      <c r="AU241" s="5">
        <f t="shared" si="337"/>
        <v>0.467129502755702</v>
      </c>
      <c r="CI241" s="227">
        <f t="shared" si="383"/>
        <v>-50</v>
      </c>
    </row>
    <row r="242" spans="5:87">
      <c r="E242" s="22">
        <v>26</v>
      </c>
      <c r="F242" s="25">
        <f t="shared" si="384"/>
        <v>0.13</v>
      </c>
      <c r="G242" s="25">
        <f t="shared" si="353"/>
        <v>0.104</v>
      </c>
      <c r="H242" s="25">
        <f t="shared" si="354"/>
        <v>2.34</v>
      </c>
      <c r="I242" s="25">
        <f t="shared" si="355"/>
        <v>0.52</v>
      </c>
      <c r="J242" s="212">
        <f t="shared" si="356"/>
        <v>14</v>
      </c>
      <c r="K242" s="131">
        <f t="shared" si="357"/>
        <v>12.2728</v>
      </c>
      <c r="L242" s="131">
        <f t="shared" si="358"/>
        <v>26.2728</v>
      </c>
      <c r="M242" s="131"/>
      <c r="N242" s="25">
        <f t="shared" si="359"/>
        <v>0.467129502755702</v>
      </c>
      <c r="O242" s="27">
        <f t="shared" si="360"/>
        <v>3.61176038267022</v>
      </c>
      <c r="P242" s="27">
        <f t="shared" si="361"/>
        <v>0.80261341837116</v>
      </c>
      <c r="Q242" s="25">
        <f t="shared" si="362"/>
        <v>0.20065335459279</v>
      </c>
      <c r="R242" s="25">
        <f t="shared" si="363"/>
        <v>0.722352076534044</v>
      </c>
      <c r="S242" s="25">
        <f t="shared" si="364"/>
        <v>18</v>
      </c>
      <c r="T242" s="25">
        <f t="shared" si="365"/>
        <v>0.971825267490478</v>
      </c>
      <c r="U242" s="25">
        <f t="shared" si="366"/>
        <v>1.73540226337585</v>
      </c>
      <c r="V242" s="25">
        <f t="shared" si="367"/>
        <v>1.97963233225197</v>
      </c>
      <c r="W242" s="24">
        <f t="shared" si="368"/>
        <v>350</v>
      </c>
      <c r="X242" s="131">
        <f t="shared" si="369"/>
        <v>269.176497353992</v>
      </c>
      <c r="Z242" s="25">
        <f t="shared" si="370"/>
        <v>0.747407204409123</v>
      </c>
      <c r="AA242" s="5">
        <f t="shared" si="371"/>
        <v>1.52248713498371</v>
      </c>
      <c r="AB242" s="5">
        <f t="shared" si="372"/>
        <v>0.108673741167761</v>
      </c>
      <c r="AC242" s="5"/>
      <c r="AD242" s="5">
        <f t="shared" si="373"/>
        <v>0.611107489733394</v>
      </c>
      <c r="AE242" s="216">
        <f t="shared" si="374"/>
        <v>2598.71604938272</v>
      </c>
      <c r="AF242" s="217">
        <f t="shared" si="375"/>
        <v>0.0175086462450593</v>
      </c>
      <c r="AH242" s="5">
        <f t="shared" si="376"/>
        <v>0.808525995694811</v>
      </c>
      <c r="AI242" s="5">
        <f t="shared" si="377"/>
        <v>0.971825267490478</v>
      </c>
      <c r="AJ242" s="5">
        <f t="shared" si="378"/>
        <v>1.69764834628924</v>
      </c>
      <c r="AL242" s="216">
        <f t="shared" si="379"/>
        <v>130</v>
      </c>
      <c r="AM242" s="220">
        <f t="shared" si="380"/>
        <v>269.176497353992</v>
      </c>
      <c r="AO242">
        <f t="shared" si="381"/>
        <v>130</v>
      </c>
      <c r="AP242">
        <f t="shared" si="382"/>
        <v>269.176497353992</v>
      </c>
      <c r="AR242" s="192">
        <f t="shared" si="343"/>
        <v>3.71503459562782</v>
      </c>
      <c r="AS242" s="192">
        <f t="shared" si="335"/>
        <v>1.73540226337585</v>
      </c>
      <c r="AT242" s="192">
        <f t="shared" si="336"/>
        <v>1.97963233225197</v>
      </c>
      <c r="AU242" s="5">
        <f t="shared" si="337"/>
        <v>0.467129502755702</v>
      </c>
      <c r="CI242" s="227">
        <f t="shared" si="383"/>
        <v>-50</v>
      </c>
    </row>
    <row r="243" spans="5:87">
      <c r="E243" s="22">
        <v>27</v>
      </c>
      <c r="F243" s="25">
        <f t="shared" si="384"/>
        <v>0.135</v>
      </c>
      <c r="G243" s="25">
        <f t="shared" si="353"/>
        <v>0.108</v>
      </c>
      <c r="H243" s="25">
        <f t="shared" si="354"/>
        <v>2.43</v>
      </c>
      <c r="I243" s="25">
        <f t="shared" si="355"/>
        <v>0.54</v>
      </c>
      <c r="J243" s="212">
        <f t="shared" si="356"/>
        <v>14</v>
      </c>
      <c r="K243" s="131">
        <f t="shared" si="357"/>
        <v>12.2728</v>
      </c>
      <c r="L243" s="131">
        <f t="shared" si="358"/>
        <v>26.2728</v>
      </c>
      <c r="M243" s="131"/>
      <c r="N243" s="25">
        <f t="shared" si="359"/>
        <v>0.467129502755702</v>
      </c>
      <c r="O243" s="27">
        <f t="shared" si="360"/>
        <v>3.61176038267022</v>
      </c>
      <c r="P243" s="27">
        <f t="shared" si="361"/>
        <v>0.80261341837116</v>
      </c>
      <c r="Q243" s="25">
        <f t="shared" si="362"/>
        <v>0.20065335459279</v>
      </c>
      <c r="R243" s="25">
        <f t="shared" si="363"/>
        <v>0.722352076534044</v>
      </c>
      <c r="S243" s="25">
        <f t="shared" si="364"/>
        <v>18</v>
      </c>
      <c r="T243" s="25">
        <f t="shared" si="365"/>
        <v>1.00920316239396</v>
      </c>
      <c r="U243" s="25">
        <f t="shared" si="366"/>
        <v>1.80214850427493</v>
      </c>
      <c r="V243" s="25">
        <f t="shared" si="367"/>
        <v>2.05577203733859</v>
      </c>
      <c r="W243" s="24">
        <f t="shared" si="368"/>
        <v>350</v>
      </c>
      <c r="X243" s="131">
        <f t="shared" si="369"/>
        <v>259.206997451991</v>
      </c>
      <c r="Z243" s="25">
        <f t="shared" si="370"/>
        <v>0.747407204409123</v>
      </c>
      <c r="AA243" s="5">
        <f t="shared" si="371"/>
        <v>1.52248713498371</v>
      </c>
      <c r="AB243" s="5">
        <f t="shared" si="372"/>
        <v>0.108673741167761</v>
      </c>
      <c r="AC243" s="5"/>
      <c r="AD243" s="5">
        <f t="shared" si="373"/>
        <v>0.611107489733394</v>
      </c>
      <c r="AE243" s="216">
        <f t="shared" si="374"/>
        <v>2698.66666666667</v>
      </c>
      <c r="AF243" s="217">
        <f t="shared" si="375"/>
        <v>0.0175086462450593</v>
      </c>
      <c r="AH243" s="5">
        <f t="shared" si="376"/>
        <v>0.823927874790714</v>
      </c>
      <c r="AI243" s="5">
        <f t="shared" si="377"/>
        <v>1.00920316239396</v>
      </c>
      <c r="AJ243" s="5">
        <f t="shared" si="378"/>
        <v>1.72533567584738</v>
      </c>
      <c r="AL243" s="216">
        <f t="shared" si="379"/>
        <v>135</v>
      </c>
      <c r="AM243" s="220">
        <f t="shared" si="380"/>
        <v>259.206997451991</v>
      </c>
      <c r="AO243">
        <f t="shared" si="381"/>
        <v>135</v>
      </c>
      <c r="AP243">
        <f t="shared" si="382"/>
        <v>259.206997451991</v>
      </c>
      <c r="AR243" s="192">
        <f t="shared" si="343"/>
        <v>3.85792054161352</v>
      </c>
      <c r="AS243" s="192">
        <f t="shared" ref="AS243:AS306" si="385">L*AI243/J243*1000000</f>
        <v>1.80214850427493</v>
      </c>
      <c r="AT243" s="192">
        <f t="shared" ref="AT243:AT306" si="386">AR243-AS243</f>
        <v>2.05577203733859</v>
      </c>
      <c r="AU243" s="5">
        <f t="shared" ref="AU243:AU306" si="387">AS243/AR243</f>
        <v>0.467129502755702</v>
      </c>
      <c r="CI243" s="227">
        <f t="shared" si="383"/>
        <v>-50</v>
      </c>
    </row>
    <row r="244" spans="5:87">
      <c r="E244" s="22">
        <v>28</v>
      </c>
      <c r="F244" s="25">
        <f t="shared" si="384"/>
        <v>0.14</v>
      </c>
      <c r="G244" s="25">
        <f t="shared" si="353"/>
        <v>0.112</v>
      </c>
      <c r="H244" s="25">
        <f t="shared" si="354"/>
        <v>2.52</v>
      </c>
      <c r="I244" s="25">
        <f t="shared" si="355"/>
        <v>0.56</v>
      </c>
      <c r="J244" s="212">
        <f t="shared" si="356"/>
        <v>14</v>
      </c>
      <c r="K244" s="131">
        <f t="shared" si="357"/>
        <v>12.2728</v>
      </c>
      <c r="L244" s="131">
        <f t="shared" si="358"/>
        <v>26.2728</v>
      </c>
      <c r="M244" s="131"/>
      <c r="N244" s="25">
        <f t="shared" si="359"/>
        <v>0.467129502755702</v>
      </c>
      <c r="O244" s="27">
        <f t="shared" si="360"/>
        <v>3.61176038267022</v>
      </c>
      <c r="P244" s="27">
        <f t="shared" si="361"/>
        <v>0.80261341837116</v>
      </c>
      <c r="Q244" s="25">
        <f t="shared" si="362"/>
        <v>0.20065335459279</v>
      </c>
      <c r="R244" s="25">
        <f t="shared" si="363"/>
        <v>0.722352076534044</v>
      </c>
      <c r="S244" s="25">
        <f t="shared" si="364"/>
        <v>18</v>
      </c>
      <c r="T244" s="25">
        <f t="shared" si="365"/>
        <v>1.04658105729744</v>
      </c>
      <c r="U244" s="25">
        <f t="shared" si="366"/>
        <v>1.868894745174</v>
      </c>
      <c r="V244" s="25">
        <f t="shared" si="367"/>
        <v>2.1319117424252</v>
      </c>
      <c r="W244" s="24">
        <f t="shared" si="368"/>
        <v>350</v>
      </c>
      <c r="X244" s="131">
        <f t="shared" si="369"/>
        <v>249.949604685849</v>
      </c>
      <c r="Z244" s="25">
        <f t="shared" si="370"/>
        <v>0.747407204409123</v>
      </c>
      <c r="AA244" s="5">
        <f t="shared" si="371"/>
        <v>1.52248713498371</v>
      </c>
      <c r="AB244" s="5">
        <f t="shared" si="372"/>
        <v>0.108673741167761</v>
      </c>
      <c r="AC244" s="5"/>
      <c r="AD244" s="5">
        <f t="shared" si="373"/>
        <v>0.611107489733394</v>
      </c>
      <c r="AE244" s="216">
        <f t="shared" si="374"/>
        <v>2798.61728395062</v>
      </c>
      <c r="AF244" s="217">
        <f t="shared" si="375"/>
        <v>0.0175086462450593</v>
      </c>
      <c r="AH244" s="5">
        <f t="shared" si="376"/>
        <v>0.839047078536121</v>
      </c>
      <c r="AI244" s="5">
        <f t="shared" si="377"/>
        <v>1.04658105729744</v>
      </c>
      <c r="AJ244" s="5">
        <f t="shared" si="378"/>
        <v>1.75302300540551</v>
      </c>
      <c r="AL244" s="216">
        <f t="shared" si="379"/>
        <v>140</v>
      </c>
      <c r="AM244" s="220">
        <f t="shared" si="380"/>
        <v>249.949604685849</v>
      </c>
      <c r="AO244">
        <f t="shared" si="381"/>
        <v>140</v>
      </c>
      <c r="AP244">
        <f t="shared" si="382"/>
        <v>249.949604685849</v>
      </c>
      <c r="AR244" s="192">
        <f t="shared" si="343"/>
        <v>4.0008064875992</v>
      </c>
      <c r="AS244" s="192">
        <f t="shared" si="385"/>
        <v>1.868894745174</v>
      </c>
      <c r="AT244" s="192">
        <f t="shared" si="386"/>
        <v>2.1319117424252</v>
      </c>
      <c r="AU244" s="5">
        <f t="shared" si="387"/>
        <v>0.467129502755702</v>
      </c>
      <c r="CI244" s="227">
        <f t="shared" si="383"/>
        <v>-50</v>
      </c>
    </row>
    <row r="245" spans="5:87">
      <c r="E245" s="22">
        <v>29</v>
      </c>
      <c r="F245" s="25">
        <f t="shared" si="384"/>
        <v>0.145</v>
      </c>
      <c r="G245" s="25">
        <f t="shared" si="353"/>
        <v>0.116</v>
      </c>
      <c r="H245" s="25">
        <f t="shared" si="354"/>
        <v>2.61</v>
      </c>
      <c r="I245" s="25">
        <f t="shared" si="355"/>
        <v>0.58</v>
      </c>
      <c r="J245" s="212">
        <f t="shared" si="356"/>
        <v>14</v>
      </c>
      <c r="K245" s="131">
        <f t="shared" si="357"/>
        <v>12.2728</v>
      </c>
      <c r="L245" s="131">
        <f t="shared" si="358"/>
        <v>26.2728</v>
      </c>
      <c r="M245" s="131"/>
      <c r="N245" s="25">
        <f t="shared" si="359"/>
        <v>0.467129502755702</v>
      </c>
      <c r="O245" s="27">
        <f t="shared" si="360"/>
        <v>3.61176038267022</v>
      </c>
      <c r="P245" s="27">
        <f t="shared" si="361"/>
        <v>0.80261341837116</v>
      </c>
      <c r="Q245" s="25">
        <f t="shared" si="362"/>
        <v>0.20065335459279</v>
      </c>
      <c r="R245" s="25">
        <f t="shared" si="363"/>
        <v>0.722352076534044</v>
      </c>
      <c r="S245" s="25">
        <f t="shared" si="364"/>
        <v>18</v>
      </c>
      <c r="T245" s="25">
        <f t="shared" si="365"/>
        <v>1.08395895220092</v>
      </c>
      <c r="U245" s="25">
        <f t="shared" si="366"/>
        <v>1.93564098607307</v>
      </c>
      <c r="V245" s="25">
        <f t="shared" si="367"/>
        <v>2.20805144751182</v>
      </c>
      <c r="W245" s="24">
        <f t="shared" si="368"/>
        <v>350</v>
      </c>
      <c r="X245" s="131">
        <f t="shared" si="369"/>
        <v>241.33065280013</v>
      </c>
      <c r="Z245" s="25">
        <f t="shared" si="370"/>
        <v>0.747407204409123</v>
      </c>
      <c r="AA245" s="5">
        <f t="shared" si="371"/>
        <v>1.52248713498371</v>
      </c>
      <c r="AB245" s="5">
        <f t="shared" si="372"/>
        <v>0.108673741167761</v>
      </c>
      <c r="AC245" s="5"/>
      <c r="AD245" s="5">
        <f t="shared" si="373"/>
        <v>0.611107489733394</v>
      </c>
      <c r="AE245" s="216">
        <f t="shared" si="374"/>
        <v>2898.56790123457</v>
      </c>
      <c r="AF245" s="217">
        <f t="shared" si="375"/>
        <v>0.0175086462450593</v>
      </c>
      <c r="AH245" s="5">
        <f t="shared" si="376"/>
        <v>0.853898622286543</v>
      </c>
      <c r="AI245" s="5">
        <f t="shared" si="377"/>
        <v>1.08395895220092</v>
      </c>
      <c r="AJ245" s="5">
        <f t="shared" si="378"/>
        <v>1.78071033496364</v>
      </c>
      <c r="AL245" s="216">
        <f t="shared" si="379"/>
        <v>145</v>
      </c>
      <c r="AM245" s="220">
        <f t="shared" si="380"/>
        <v>241.33065280013</v>
      </c>
      <c r="AO245">
        <f t="shared" si="381"/>
        <v>145</v>
      </c>
      <c r="AP245">
        <f t="shared" si="382"/>
        <v>241.33065280013</v>
      </c>
      <c r="AR245" s="192">
        <f t="shared" si="343"/>
        <v>4.14369243358489</v>
      </c>
      <c r="AS245" s="192">
        <f t="shared" si="385"/>
        <v>1.93564098607307</v>
      </c>
      <c r="AT245" s="192">
        <f t="shared" si="386"/>
        <v>2.20805144751181</v>
      </c>
      <c r="AU245" s="5">
        <f t="shared" si="387"/>
        <v>0.467129502755702</v>
      </c>
      <c r="CI245" s="227">
        <f t="shared" si="383"/>
        <v>-50</v>
      </c>
    </row>
    <row r="246" spans="5:87">
      <c r="E246" s="22">
        <v>30</v>
      </c>
      <c r="F246" s="25">
        <f t="shared" si="384"/>
        <v>0.15</v>
      </c>
      <c r="G246" s="25">
        <f t="shared" si="353"/>
        <v>0.12</v>
      </c>
      <c r="H246" s="25">
        <f t="shared" si="354"/>
        <v>2.7</v>
      </c>
      <c r="I246" s="25">
        <f t="shared" si="355"/>
        <v>0.6</v>
      </c>
      <c r="J246" s="212">
        <f t="shared" si="356"/>
        <v>14</v>
      </c>
      <c r="K246" s="131">
        <f t="shared" si="357"/>
        <v>12.2728</v>
      </c>
      <c r="L246" s="131">
        <f t="shared" si="358"/>
        <v>26.2728</v>
      </c>
      <c r="M246" s="131"/>
      <c r="N246" s="25">
        <f t="shared" si="359"/>
        <v>0.467129502755702</v>
      </c>
      <c r="O246" s="27">
        <f t="shared" si="360"/>
        <v>3.61176038267022</v>
      </c>
      <c r="P246" s="27">
        <f t="shared" si="361"/>
        <v>0.80261341837116</v>
      </c>
      <c r="Q246" s="25">
        <f t="shared" si="362"/>
        <v>0.20065335459279</v>
      </c>
      <c r="R246" s="25">
        <f t="shared" si="363"/>
        <v>0.722352076534044</v>
      </c>
      <c r="S246" s="25">
        <f t="shared" si="364"/>
        <v>18</v>
      </c>
      <c r="T246" s="25">
        <f t="shared" si="365"/>
        <v>1.1213368471044</v>
      </c>
      <c r="U246" s="25">
        <f t="shared" si="366"/>
        <v>2.00238722697214</v>
      </c>
      <c r="V246" s="25">
        <f t="shared" si="367"/>
        <v>2.28419115259843</v>
      </c>
      <c r="W246" s="24">
        <f t="shared" si="368"/>
        <v>350</v>
      </c>
      <c r="X246" s="131">
        <f t="shared" si="369"/>
        <v>233.286297706792</v>
      </c>
      <c r="Z246" s="25">
        <f t="shared" si="370"/>
        <v>0.747407204409123</v>
      </c>
      <c r="AA246" s="5">
        <f t="shared" si="371"/>
        <v>1.52248713498371</v>
      </c>
      <c r="AB246" s="5">
        <f t="shared" si="372"/>
        <v>0.108673741167761</v>
      </c>
      <c r="AC246" s="5"/>
      <c r="AD246" s="5">
        <f t="shared" si="373"/>
        <v>0.611107489733394</v>
      </c>
      <c r="AE246" s="216">
        <f t="shared" si="374"/>
        <v>2998.51851851852</v>
      </c>
      <c r="AF246" s="217">
        <f t="shared" si="375"/>
        <v>0.0175086462450593</v>
      </c>
      <c r="AH246" s="5">
        <f t="shared" si="376"/>
        <v>0.868496237346895</v>
      </c>
      <c r="AI246" s="5">
        <f t="shared" si="377"/>
        <v>1.1213368471044</v>
      </c>
      <c r="AJ246" s="5">
        <f t="shared" si="378"/>
        <v>1.80839766452178</v>
      </c>
      <c r="AL246" s="216">
        <f t="shared" si="379"/>
        <v>150</v>
      </c>
      <c r="AM246" s="220">
        <f t="shared" si="380"/>
        <v>233.286297706792</v>
      </c>
      <c r="AO246">
        <f t="shared" si="381"/>
        <v>150</v>
      </c>
      <c r="AP246">
        <f t="shared" si="382"/>
        <v>233.286297706792</v>
      </c>
      <c r="AR246" s="192">
        <f t="shared" si="343"/>
        <v>4.28657837957057</v>
      </c>
      <c r="AS246" s="192">
        <f t="shared" si="385"/>
        <v>2.00238722697214</v>
      </c>
      <c r="AT246" s="192">
        <f t="shared" si="386"/>
        <v>2.28419115259843</v>
      </c>
      <c r="AU246" s="5">
        <f t="shared" si="387"/>
        <v>0.467129502755702</v>
      </c>
      <c r="CI246" s="227">
        <f t="shared" si="383"/>
        <v>-50</v>
      </c>
    </row>
    <row r="247" spans="5:87">
      <c r="E247" s="22">
        <v>31</v>
      </c>
      <c r="F247" s="25">
        <f t="shared" si="384"/>
        <v>0.155</v>
      </c>
      <c r="G247" s="25">
        <f t="shared" si="353"/>
        <v>0.124</v>
      </c>
      <c r="H247" s="25">
        <f t="shared" si="354"/>
        <v>2.79</v>
      </c>
      <c r="I247" s="25">
        <f t="shared" si="355"/>
        <v>0.62</v>
      </c>
      <c r="J247" s="212">
        <f t="shared" si="356"/>
        <v>14</v>
      </c>
      <c r="K247" s="131">
        <f t="shared" si="357"/>
        <v>12.2728</v>
      </c>
      <c r="L247" s="131">
        <f t="shared" si="358"/>
        <v>26.2728</v>
      </c>
      <c r="M247" s="131"/>
      <c r="N247" s="25">
        <f t="shared" si="359"/>
        <v>0.467129502755702</v>
      </c>
      <c r="O247" s="27">
        <f t="shared" si="360"/>
        <v>3.61176038267022</v>
      </c>
      <c r="P247" s="27">
        <f t="shared" si="361"/>
        <v>0.80261341837116</v>
      </c>
      <c r="Q247" s="25">
        <f t="shared" si="362"/>
        <v>0.20065335459279</v>
      </c>
      <c r="R247" s="25">
        <f t="shared" si="363"/>
        <v>0.722352076534044</v>
      </c>
      <c r="S247" s="25">
        <f t="shared" si="364"/>
        <v>18</v>
      </c>
      <c r="T247" s="25">
        <f t="shared" si="365"/>
        <v>1.15871474200788</v>
      </c>
      <c r="U247" s="25">
        <f t="shared" si="366"/>
        <v>2.06913346787121</v>
      </c>
      <c r="V247" s="25">
        <f t="shared" si="367"/>
        <v>2.36033085768504</v>
      </c>
      <c r="W247" s="24">
        <f t="shared" si="368"/>
        <v>350</v>
      </c>
      <c r="X247" s="131">
        <f t="shared" si="369"/>
        <v>225.760933264638</v>
      </c>
      <c r="Z247" s="25">
        <f t="shared" si="370"/>
        <v>0.747407204409123</v>
      </c>
      <c r="AA247" s="5">
        <f t="shared" si="371"/>
        <v>1.52248713498371</v>
      </c>
      <c r="AB247" s="5">
        <f t="shared" si="372"/>
        <v>0.108673741167761</v>
      </c>
      <c r="AC247" s="5"/>
      <c r="AD247" s="5">
        <f t="shared" si="373"/>
        <v>0.611107489733394</v>
      </c>
      <c r="AE247" s="216">
        <f t="shared" si="374"/>
        <v>3098.46913580247</v>
      </c>
      <c r="AF247" s="217">
        <f t="shared" si="375"/>
        <v>0.0175086462450593</v>
      </c>
      <c r="AH247" s="5">
        <f t="shared" si="376"/>
        <v>0.882852519636531</v>
      </c>
      <c r="AI247" s="5">
        <f t="shared" si="377"/>
        <v>1.15871474200788</v>
      </c>
      <c r="AJ247" s="5">
        <f t="shared" si="378"/>
        <v>1.83608499407991</v>
      </c>
      <c r="AL247" s="216">
        <f t="shared" si="379"/>
        <v>155</v>
      </c>
      <c r="AM247" s="220">
        <f t="shared" si="380"/>
        <v>225.760933264638</v>
      </c>
      <c r="AO247">
        <f t="shared" si="381"/>
        <v>155</v>
      </c>
      <c r="AP247">
        <f t="shared" si="382"/>
        <v>225.760933264638</v>
      </c>
      <c r="AR247" s="192">
        <f t="shared" si="343"/>
        <v>4.42946432555626</v>
      </c>
      <c r="AS247" s="192">
        <f t="shared" si="385"/>
        <v>2.06913346787121</v>
      </c>
      <c r="AT247" s="192">
        <f t="shared" si="386"/>
        <v>2.36033085768504</v>
      </c>
      <c r="AU247" s="5">
        <f t="shared" si="387"/>
        <v>0.467129502755702</v>
      </c>
      <c r="CI247" s="227">
        <f t="shared" si="383"/>
        <v>-50</v>
      </c>
    </row>
    <row r="248" spans="5:87">
      <c r="E248" s="22">
        <v>32</v>
      </c>
      <c r="F248" s="25">
        <f t="shared" si="384"/>
        <v>0.16</v>
      </c>
      <c r="G248" s="25">
        <f t="shared" ref="G248:G279" si="388">IF(PLOT_TYPE=1,E248/100*Iout2,min_I*EXP(Q248*rr/100))</f>
        <v>0.128</v>
      </c>
      <c r="H248" s="25">
        <f t="shared" ref="H248:H279" si="389">F248*Vout</f>
        <v>2.88</v>
      </c>
      <c r="I248" s="25">
        <f t="shared" ref="I248:I279" si="390">Vout2*G248</f>
        <v>0.64</v>
      </c>
      <c r="J248" s="212">
        <f t="shared" si="356"/>
        <v>14</v>
      </c>
      <c r="K248" s="131">
        <f t="shared" si="357"/>
        <v>12.2728</v>
      </c>
      <c r="L248" s="131">
        <f t="shared" si="358"/>
        <v>26.2728</v>
      </c>
      <c r="M248" s="131"/>
      <c r="N248" s="25">
        <f t="shared" si="359"/>
        <v>0.467129502755702</v>
      </c>
      <c r="O248" s="27">
        <f t="shared" ref="O248:O279" si="391">N248*J248*Isw_max*0.5*Efficiency*Pout/(Pout+Pout2)</f>
        <v>3.61176038267022</v>
      </c>
      <c r="P248" s="27">
        <f t="shared" ref="P248:P279" si="392">N248*J248*Isw_max*0.5*Efficiency*(Pout2/Pout_total)</f>
        <v>0.80261341837116</v>
      </c>
      <c r="Q248" s="25">
        <f t="shared" si="362"/>
        <v>0.20065335459279</v>
      </c>
      <c r="R248" s="25">
        <f t="shared" ref="R248:R279" si="393">O248/Vout2</f>
        <v>0.722352076534044</v>
      </c>
      <c r="S248" s="25">
        <f t="shared" ref="S248:S279" si="394">MIN(Vout,O248/F248)</f>
        <v>18</v>
      </c>
      <c r="T248" s="25">
        <f t="shared" ref="T248:T279" si="395">MIN(2*(Vout*F248+Vout2*G248)/(Efficiency*J248*N248),Isw_max)</f>
        <v>1.19609263691136</v>
      </c>
      <c r="U248" s="25">
        <f t="shared" si="366"/>
        <v>2.13587970877029</v>
      </c>
      <c r="V248" s="25">
        <f t="shared" si="367"/>
        <v>2.43647056277166</v>
      </c>
      <c r="W248" s="24">
        <f t="shared" si="368"/>
        <v>350</v>
      </c>
      <c r="X248" s="131">
        <f t="shared" si="369"/>
        <v>218.705904100118</v>
      </c>
      <c r="Z248" s="25">
        <f t="shared" si="370"/>
        <v>0.747407204409123</v>
      </c>
      <c r="AA248" s="5">
        <f t="shared" si="371"/>
        <v>1.52248713498371</v>
      </c>
      <c r="AB248" s="5">
        <f t="shared" ref="AB248:AB279" si="396">0.5*AA248*Z248*Nps*W248/1000*(Pout/(Pout+Pout2))</f>
        <v>0.108673741167761</v>
      </c>
      <c r="AC248" s="5"/>
      <c r="AD248" s="5">
        <f t="shared" si="373"/>
        <v>0.611107489733394</v>
      </c>
      <c r="AE248" s="216">
        <f t="shared" ref="AE248:AE279" si="397">MAX(10,F248/(0.5*AD248/1000000*Isw_min*Nps)/1000*Pout_total/Pout)</f>
        <v>3198.41975308642</v>
      </c>
      <c r="AF248" s="217">
        <f t="shared" ref="AF248:AF279" si="398">0.5*AD248/1000000*Isw_min*Nps*W248*1000*(Pout/Pout_total)</f>
        <v>0.0175086462450593</v>
      </c>
      <c r="AH248" s="5">
        <f t="shared" ref="AH248:AH279" si="399">SQRT((H248+I248)/(0.5*L*Fsw_DCM))</f>
        <v>0.896979056930221</v>
      </c>
      <c r="AI248" s="5">
        <f t="shared" ref="AI248:AI279" si="400">MAX(IF(F248&gt;AB248,T248,AH248),Isw_min)</f>
        <v>1.19609263691136</v>
      </c>
      <c r="AJ248" s="5">
        <f t="shared" ref="AJ248:AJ279" si="401">IF(F248&gt;AF248,(AI248-Isw_min)/1.08*0.8+1.2,AE248*0.2/350+1)</f>
        <v>1.86377232363804</v>
      </c>
      <c r="AL248" s="216">
        <f t="shared" ref="AL248:AL279" si="402">F248*1000</f>
        <v>160</v>
      </c>
      <c r="AM248" s="220">
        <f t="shared" ref="AM248:AM279" si="403">IF(F248&gt;AF248,X248,AE248)</f>
        <v>218.705904100118</v>
      </c>
      <c r="AO248">
        <f t="shared" si="381"/>
        <v>160</v>
      </c>
      <c r="AP248">
        <f t="shared" si="382"/>
        <v>218.705904100118</v>
      </c>
      <c r="AR248" s="192">
        <f t="shared" si="343"/>
        <v>4.57235027154194</v>
      </c>
      <c r="AS248" s="192">
        <f t="shared" si="385"/>
        <v>2.13587970877029</v>
      </c>
      <c r="AT248" s="192">
        <f t="shared" si="386"/>
        <v>2.43647056277166</v>
      </c>
      <c r="AU248" s="5">
        <f t="shared" si="387"/>
        <v>0.467129502755702</v>
      </c>
      <c r="CI248" s="227">
        <f t="shared" ref="CI248:CI279" si="404">IF(ABS(F248-Ioutmax_Vinmax)&lt;Iout/200,AM248,-50)</f>
        <v>-50</v>
      </c>
    </row>
    <row r="249" spans="5:87">
      <c r="E249" s="22">
        <v>33</v>
      </c>
      <c r="F249" s="25">
        <f t="shared" ref="F249:F280" si="405">IF(PLOT_TYPE=1,E249/100*Iout_max,min_I*EXP(O249*rr/100))</f>
        <v>0.165</v>
      </c>
      <c r="G249" s="25">
        <f t="shared" si="388"/>
        <v>0.132</v>
      </c>
      <c r="H249" s="25">
        <f t="shared" si="389"/>
        <v>2.97</v>
      </c>
      <c r="I249" s="25">
        <f t="shared" si="390"/>
        <v>0.66</v>
      </c>
      <c r="J249" s="212">
        <f t="shared" si="356"/>
        <v>14</v>
      </c>
      <c r="K249" s="131">
        <f t="shared" si="357"/>
        <v>12.2728</v>
      </c>
      <c r="L249" s="131">
        <f t="shared" si="358"/>
        <v>26.2728</v>
      </c>
      <c r="M249" s="131"/>
      <c r="N249" s="25">
        <f t="shared" si="359"/>
        <v>0.467129502755702</v>
      </c>
      <c r="O249" s="27">
        <f t="shared" si="391"/>
        <v>3.61176038267022</v>
      </c>
      <c r="P249" s="27">
        <f t="shared" si="392"/>
        <v>0.80261341837116</v>
      </c>
      <c r="Q249" s="25">
        <f t="shared" si="362"/>
        <v>0.20065335459279</v>
      </c>
      <c r="R249" s="25">
        <f t="shared" si="393"/>
        <v>0.722352076534044</v>
      </c>
      <c r="S249" s="25">
        <f t="shared" si="394"/>
        <v>18</v>
      </c>
      <c r="T249" s="25">
        <f t="shared" si="395"/>
        <v>1.23347053181484</v>
      </c>
      <c r="U249" s="25">
        <f t="shared" si="366"/>
        <v>2.20262594966936</v>
      </c>
      <c r="V249" s="25">
        <f t="shared" si="367"/>
        <v>2.51261026785827</v>
      </c>
      <c r="W249" s="24">
        <f t="shared" si="368"/>
        <v>350</v>
      </c>
      <c r="X249" s="131">
        <f t="shared" si="369"/>
        <v>212.07845246072</v>
      </c>
      <c r="Z249" s="25">
        <f t="shared" si="370"/>
        <v>0.747407204409123</v>
      </c>
      <c r="AA249" s="5">
        <f t="shared" si="371"/>
        <v>1.52248713498371</v>
      </c>
      <c r="AB249" s="5">
        <f t="shared" si="396"/>
        <v>0.108673741167761</v>
      </c>
      <c r="AC249" s="5"/>
      <c r="AD249" s="5">
        <f t="shared" si="373"/>
        <v>0.611107489733394</v>
      </c>
      <c r="AE249" s="216">
        <f t="shared" si="397"/>
        <v>3298.37037037037</v>
      </c>
      <c r="AF249" s="217">
        <f t="shared" si="398"/>
        <v>0.0175086462450593</v>
      </c>
      <c r="AH249" s="5">
        <f t="shared" si="399"/>
        <v>0.910886538331908</v>
      </c>
      <c r="AI249" s="5">
        <f t="shared" si="400"/>
        <v>1.23347053181484</v>
      </c>
      <c r="AJ249" s="5">
        <f t="shared" si="401"/>
        <v>1.89145965319618</v>
      </c>
      <c r="AL249" s="216">
        <f t="shared" si="402"/>
        <v>165</v>
      </c>
      <c r="AM249" s="220">
        <f t="shared" si="403"/>
        <v>212.07845246072</v>
      </c>
      <c r="AO249">
        <f t="shared" si="381"/>
        <v>165</v>
      </c>
      <c r="AP249">
        <f t="shared" si="382"/>
        <v>212.07845246072</v>
      </c>
      <c r="AR249" s="192">
        <f t="shared" si="343"/>
        <v>4.71523621752763</v>
      </c>
      <c r="AS249" s="192">
        <f t="shared" si="385"/>
        <v>2.20262594966936</v>
      </c>
      <c r="AT249" s="192">
        <f t="shared" si="386"/>
        <v>2.51261026785827</v>
      </c>
      <c r="AU249" s="5">
        <f t="shared" si="387"/>
        <v>0.467129502755702</v>
      </c>
      <c r="CI249" s="227">
        <f t="shared" si="404"/>
        <v>-50</v>
      </c>
    </row>
    <row r="250" spans="5:87">
      <c r="E250" s="22">
        <v>34</v>
      </c>
      <c r="F250" s="25">
        <f t="shared" si="405"/>
        <v>0.17</v>
      </c>
      <c r="G250" s="25">
        <f t="shared" si="388"/>
        <v>0.136</v>
      </c>
      <c r="H250" s="25">
        <f t="shared" si="389"/>
        <v>3.06</v>
      </c>
      <c r="I250" s="25">
        <f t="shared" si="390"/>
        <v>0.68</v>
      </c>
      <c r="J250" s="212">
        <f t="shared" si="356"/>
        <v>14</v>
      </c>
      <c r="K250" s="131">
        <f t="shared" si="357"/>
        <v>12.2728</v>
      </c>
      <c r="L250" s="131">
        <f t="shared" si="358"/>
        <v>26.2728</v>
      </c>
      <c r="M250" s="131"/>
      <c r="N250" s="25">
        <f t="shared" si="359"/>
        <v>0.467129502755702</v>
      </c>
      <c r="O250" s="27">
        <f t="shared" si="391"/>
        <v>3.61176038267022</v>
      </c>
      <c r="P250" s="27">
        <f t="shared" si="392"/>
        <v>0.80261341837116</v>
      </c>
      <c r="Q250" s="25">
        <f t="shared" si="362"/>
        <v>0.20065335459279</v>
      </c>
      <c r="R250" s="25">
        <f t="shared" si="393"/>
        <v>0.722352076534044</v>
      </c>
      <c r="S250" s="25">
        <f t="shared" si="394"/>
        <v>18</v>
      </c>
      <c r="T250" s="25">
        <f t="shared" si="395"/>
        <v>1.27084842671832</v>
      </c>
      <c r="U250" s="25">
        <f t="shared" si="366"/>
        <v>2.26937219056843</v>
      </c>
      <c r="V250" s="25">
        <f t="shared" si="367"/>
        <v>2.58874997294489</v>
      </c>
      <c r="W250" s="24">
        <f t="shared" si="368"/>
        <v>350</v>
      </c>
      <c r="X250" s="131">
        <f t="shared" si="369"/>
        <v>205.840850917758</v>
      </c>
      <c r="Z250" s="25">
        <f t="shared" si="370"/>
        <v>0.747407204409123</v>
      </c>
      <c r="AA250" s="5">
        <f t="shared" si="371"/>
        <v>1.52248713498371</v>
      </c>
      <c r="AB250" s="5">
        <f t="shared" si="396"/>
        <v>0.108673741167761</v>
      </c>
      <c r="AC250" s="5"/>
      <c r="AD250" s="5">
        <f t="shared" si="373"/>
        <v>0.611107489733394</v>
      </c>
      <c r="AE250" s="216">
        <f t="shared" si="397"/>
        <v>3398.32098765432</v>
      </c>
      <c r="AF250" s="217">
        <f t="shared" si="398"/>
        <v>0.0175086462450593</v>
      </c>
      <c r="AH250" s="5">
        <f t="shared" si="399"/>
        <v>0.924584848922554</v>
      </c>
      <c r="AI250" s="5">
        <f t="shared" si="400"/>
        <v>1.27084842671832</v>
      </c>
      <c r="AJ250" s="5">
        <f t="shared" si="401"/>
        <v>1.91914698275431</v>
      </c>
      <c r="AL250" s="216">
        <f t="shared" si="402"/>
        <v>170</v>
      </c>
      <c r="AM250" s="220">
        <f t="shared" si="403"/>
        <v>205.840850917758</v>
      </c>
      <c r="AO250">
        <f t="shared" si="381"/>
        <v>170</v>
      </c>
      <c r="AP250">
        <f t="shared" si="382"/>
        <v>205.840850917758</v>
      </c>
      <c r="AR250" s="192">
        <f t="shared" si="343"/>
        <v>4.85812216351332</v>
      </c>
      <c r="AS250" s="192">
        <f t="shared" si="385"/>
        <v>2.26937219056843</v>
      </c>
      <c r="AT250" s="192">
        <f t="shared" si="386"/>
        <v>2.58874997294489</v>
      </c>
      <c r="AU250" s="5">
        <f t="shared" si="387"/>
        <v>0.467129502755702</v>
      </c>
      <c r="CI250" s="227">
        <f t="shared" si="404"/>
        <v>-50</v>
      </c>
    </row>
    <row r="251" spans="5:87">
      <c r="E251" s="22">
        <v>35</v>
      </c>
      <c r="F251" s="25">
        <f t="shared" si="405"/>
        <v>0.175</v>
      </c>
      <c r="G251" s="25">
        <f t="shared" si="388"/>
        <v>0.14</v>
      </c>
      <c r="H251" s="25">
        <f t="shared" si="389"/>
        <v>3.15</v>
      </c>
      <c r="I251" s="25">
        <f t="shared" si="390"/>
        <v>0.7</v>
      </c>
      <c r="J251" s="212">
        <f t="shared" si="356"/>
        <v>14</v>
      </c>
      <c r="K251" s="131">
        <f t="shared" si="357"/>
        <v>12.2728</v>
      </c>
      <c r="L251" s="131">
        <f t="shared" si="358"/>
        <v>26.2728</v>
      </c>
      <c r="M251" s="131"/>
      <c r="N251" s="25">
        <f t="shared" si="359"/>
        <v>0.467129502755702</v>
      </c>
      <c r="O251" s="27">
        <f t="shared" si="391"/>
        <v>3.61176038267022</v>
      </c>
      <c r="P251" s="27">
        <f t="shared" si="392"/>
        <v>0.80261341837116</v>
      </c>
      <c r="Q251" s="25">
        <f t="shared" si="362"/>
        <v>0.20065335459279</v>
      </c>
      <c r="R251" s="25">
        <f t="shared" si="393"/>
        <v>0.722352076534044</v>
      </c>
      <c r="S251" s="25">
        <f t="shared" si="394"/>
        <v>18</v>
      </c>
      <c r="T251" s="25">
        <f t="shared" si="395"/>
        <v>1.3082263216218</v>
      </c>
      <c r="U251" s="25">
        <f t="shared" si="366"/>
        <v>2.3361184314675</v>
      </c>
      <c r="V251" s="25">
        <f t="shared" si="367"/>
        <v>2.6648896780315</v>
      </c>
      <c r="W251" s="24">
        <f t="shared" si="368"/>
        <v>350</v>
      </c>
      <c r="X251" s="131">
        <f t="shared" si="369"/>
        <v>199.959683748679</v>
      </c>
      <c r="Z251" s="25">
        <f t="shared" si="370"/>
        <v>0.747407204409123</v>
      </c>
      <c r="AA251" s="5">
        <f t="shared" si="371"/>
        <v>1.52248713498371</v>
      </c>
      <c r="AB251" s="5">
        <f t="shared" si="396"/>
        <v>0.108673741167761</v>
      </c>
      <c r="AC251" s="5"/>
      <c r="AD251" s="5">
        <f t="shared" si="373"/>
        <v>0.611107489733394</v>
      </c>
      <c r="AE251" s="216">
        <f t="shared" si="397"/>
        <v>3498.27160493827</v>
      </c>
      <c r="AF251" s="217">
        <f t="shared" si="398"/>
        <v>0.0175086462450593</v>
      </c>
      <c r="AH251" s="5">
        <f t="shared" si="399"/>
        <v>0.938083151964686</v>
      </c>
      <c r="AI251" s="5">
        <f t="shared" si="400"/>
        <v>1.3082263216218</v>
      </c>
      <c r="AJ251" s="5">
        <f t="shared" si="401"/>
        <v>1.94683431231244</v>
      </c>
      <c r="AL251" s="216">
        <f t="shared" si="402"/>
        <v>175</v>
      </c>
      <c r="AM251" s="220">
        <f t="shared" si="403"/>
        <v>199.959683748679</v>
      </c>
      <c r="AO251">
        <f t="shared" si="381"/>
        <v>175</v>
      </c>
      <c r="AP251">
        <f t="shared" si="382"/>
        <v>199.959683748679</v>
      </c>
      <c r="AR251" s="192">
        <f t="shared" si="343"/>
        <v>5.001008109499</v>
      </c>
      <c r="AS251" s="192">
        <f t="shared" si="385"/>
        <v>2.3361184314675</v>
      </c>
      <c r="AT251" s="192">
        <f t="shared" si="386"/>
        <v>2.6648896780315</v>
      </c>
      <c r="AU251" s="5">
        <f t="shared" si="387"/>
        <v>0.467129502755702</v>
      </c>
      <c r="CI251" s="227">
        <f t="shared" si="404"/>
        <v>-50</v>
      </c>
    </row>
    <row r="252" spans="5:87">
      <c r="E252" s="22">
        <v>36</v>
      </c>
      <c r="F252" s="25">
        <f t="shared" si="405"/>
        <v>0.18</v>
      </c>
      <c r="G252" s="25">
        <f t="shared" si="388"/>
        <v>0.144</v>
      </c>
      <c r="H252" s="25">
        <f t="shared" si="389"/>
        <v>3.24</v>
      </c>
      <c r="I252" s="25">
        <f t="shared" si="390"/>
        <v>0.72</v>
      </c>
      <c r="J252" s="212">
        <f t="shared" si="356"/>
        <v>14</v>
      </c>
      <c r="K252" s="131">
        <f t="shared" si="357"/>
        <v>12.2728</v>
      </c>
      <c r="L252" s="131">
        <f t="shared" si="358"/>
        <v>26.2728</v>
      </c>
      <c r="M252" s="131"/>
      <c r="N252" s="25">
        <f t="shared" si="359"/>
        <v>0.467129502755702</v>
      </c>
      <c r="O252" s="27">
        <f t="shared" si="391"/>
        <v>3.61176038267022</v>
      </c>
      <c r="P252" s="27">
        <f t="shared" si="392"/>
        <v>0.80261341837116</v>
      </c>
      <c r="Q252" s="25">
        <f t="shared" si="362"/>
        <v>0.20065335459279</v>
      </c>
      <c r="R252" s="25">
        <f t="shared" si="393"/>
        <v>0.722352076534044</v>
      </c>
      <c r="S252" s="25">
        <f t="shared" si="394"/>
        <v>18</v>
      </c>
      <c r="T252" s="25">
        <f t="shared" si="395"/>
        <v>1.34560421652528</v>
      </c>
      <c r="U252" s="25">
        <f t="shared" si="366"/>
        <v>2.40286467236657</v>
      </c>
      <c r="V252" s="25">
        <f t="shared" si="367"/>
        <v>2.74102938311812</v>
      </c>
      <c r="W252" s="24">
        <f t="shared" si="368"/>
        <v>350</v>
      </c>
      <c r="X252" s="131">
        <f t="shared" si="369"/>
        <v>194.405248088994</v>
      </c>
      <c r="Z252" s="25">
        <f t="shared" si="370"/>
        <v>0.747407204409123</v>
      </c>
      <c r="AA252" s="5">
        <f t="shared" si="371"/>
        <v>1.52248713498371</v>
      </c>
      <c r="AB252" s="5">
        <f t="shared" si="396"/>
        <v>0.108673741167761</v>
      </c>
      <c r="AC252" s="5"/>
      <c r="AD252" s="5">
        <f t="shared" si="373"/>
        <v>0.611107489733394</v>
      </c>
      <c r="AE252" s="216">
        <f t="shared" si="397"/>
        <v>3598.22222222222</v>
      </c>
      <c r="AF252" s="217">
        <f t="shared" si="398"/>
        <v>0.0175086462450593</v>
      </c>
      <c r="AH252" s="5">
        <f t="shared" si="399"/>
        <v>0.95138996060651</v>
      </c>
      <c r="AI252" s="5">
        <f t="shared" si="400"/>
        <v>1.34560421652528</v>
      </c>
      <c r="AJ252" s="5">
        <f t="shared" si="401"/>
        <v>1.97452164187058</v>
      </c>
      <c r="AL252" s="216">
        <f t="shared" si="402"/>
        <v>180</v>
      </c>
      <c r="AM252" s="220">
        <f t="shared" si="403"/>
        <v>194.405248088994</v>
      </c>
      <c r="AO252">
        <f t="shared" si="381"/>
        <v>180</v>
      </c>
      <c r="AP252">
        <f t="shared" si="382"/>
        <v>194.405248088994</v>
      </c>
      <c r="AR252" s="192">
        <f t="shared" si="343"/>
        <v>5.14389405548469</v>
      </c>
      <c r="AS252" s="192">
        <f t="shared" si="385"/>
        <v>2.40286467236657</v>
      </c>
      <c r="AT252" s="192">
        <f t="shared" si="386"/>
        <v>2.74102938311811</v>
      </c>
      <c r="AU252" s="5">
        <f t="shared" si="387"/>
        <v>0.467129502755702</v>
      </c>
      <c r="CI252" s="227">
        <f t="shared" si="404"/>
        <v>-50</v>
      </c>
    </row>
    <row r="253" spans="5:87">
      <c r="E253" s="22">
        <v>37</v>
      </c>
      <c r="F253" s="25">
        <f t="shared" si="405"/>
        <v>0.185</v>
      </c>
      <c r="G253" s="25">
        <f t="shared" si="388"/>
        <v>0.148</v>
      </c>
      <c r="H253" s="25">
        <f t="shared" si="389"/>
        <v>3.33</v>
      </c>
      <c r="I253" s="25">
        <f t="shared" si="390"/>
        <v>0.74</v>
      </c>
      <c r="J253" s="212">
        <f t="shared" si="356"/>
        <v>14</v>
      </c>
      <c r="K253" s="131">
        <f t="shared" si="357"/>
        <v>12.2728</v>
      </c>
      <c r="L253" s="131">
        <f t="shared" si="358"/>
        <v>26.2728</v>
      </c>
      <c r="M253" s="131"/>
      <c r="N253" s="25">
        <f t="shared" si="359"/>
        <v>0.467129502755702</v>
      </c>
      <c r="O253" s="27">
        <f t="shared" si="391"/>
        <v>3.61176038267022</v>
      </c>
      <c r="P253" s="27">
        <f t="shared" si="392"/>
        <v>0.80261341837116</v>
      </c>
      <c r="Q253" s="25">
        <f t="shared" si="362"/>
        <v>0.20065335459279</v>
      </c>
      <c r="R253" s="25">
        <f t="shared" si="393"/>
        <v>0.722352076534044</v>
      </c>
      <c r="S253" s="25">
        <f t="shared" si="394"/>
        <v>18</v>
      </c>
      <c r="T253" s="25">
        <f t="shared" si="395"/>
        <v>1.38298211142876</v>
      </c>
      <c r="U253" s="25">
        <f t="shared" si="366"/>
        <v>2.46961091326564</v>
      </c>
      <c r="V253" s="25">
        <f t="shared" si="367"/>
        <v>2.81716908820473</v>
      </c>
      <c r="W253" s="24">
        <f t="shared" si="368"/>
        <v>350</v>
      </c>
      <c r="X253" s="131">
        <f t="shared" si="369"/>
        <v>189.151052194696</v>
      </c>
      <c r="Z253" s="25">
        <f t="shared" si="370"/>
        <v>0.747407204409123</v>
      </c>
      <c r="AA253" s="5">
        <f t="shared" si="371"/>
        <v>1.52248713498371</v>
      </c>
      <c r="AB253" s="5">
        <f t="shared" si="396"/>
        <v>0.108673741167761</v>
      </c>
      <c r="AC253" s="5"/>
      <c r="AD253" s="5">
        <f t="shared" si="373"/>
        <v>0.611107489733394</v>
      </c>
      <c r="AE253" s="216">
        <f t="shared" si="397"/>
        <v>3698.17283950617</v>
      </c>
      <c r="AF253" s="217">
        <f t="shared" si="398"/>
        <v>0.0175086462450593</v>
      </c>
      <c r="AH253" s="5">
        <f t="shared" si="399"/>
        <v>0.964513200679863</v>
      </c>
      <c r="AI253" s="5">
        <f t="shared" si="400"/>
        <v>1.38298211142876</v>
      </c>
      <c r="AJ253" s="5">
        <f t="shared" si="401"/>
        <v>2.00220897142871</v>
      </c>
      <c r="AL253" s="216">
        <f t="shared" si="402"/>
        <v>185</v>
      </c>
      <c r="AM253" s="220">
        <f t="shared" si="403"/>
        <v>189.151052194696</v>
      </c>
      <c r="AO253">
        <f t="shared" si="381"/>
        <v>185</v>
      </c>
      <c r="AP253">
        <f t="shared" si="382"/>
        <v>189.151052194696</v>
      </c>
      <c r="AR253" s="192">
        <f t="shared" si="343"/>
        <v>5.28678000147037</v>
      </c>
      <c r="AS253" s="192">
        <f t="shared" si="385"/>
        <v>2.46961091326564</v>
      </c>
      <c r="AT253" s="192">
        <f t="shared" si="386"/>
        <v>2.81716908820473</v>
      </c>
      <c r="AU253" s="5">
        <f t="shared" si="387"/>
        <v>0.467129502755702</v>
      </c>
      <c r="CI253" s="227">
        <f t="shared" si="404"/>
        <v>-50</v>
      </c>
    </row>
    <row r="254" spans="5:87">
      <c r="E254" s="22">
        <v>38</v>
      </c>
      <c r="F254" s="25">
        <f t="shared" si="405"/>
        <v>0.19</v>
      </c>
      <c r="G254" s="25">
        <f t="shared" si="388"/>
        <v>0.152</v>
      </c>
      <c r="H254" s="25">
        <f t="shared" si="389"/>
        <v>3.42</v>
      </c>
      <c r="I254" s="25">
        <f t="shared" si="390"/>
        <v>0.76</v>
      </c>
      <c r="J254" s="212">
        <f t="shared" si="356"/>
        <v>14</v>
      </c>
      <c r="K254" s="131">
        <f t="shared" si="357"/>
        <v>12.2728</v>
      </c>
      <c r="L254" s="131">
        <f t="shared" si="358"/>
        <v>26.2728</v>
      </c>
      <c r="M254" s="131"/>
      <c r="N254" s="25">
        <f t="shared" si="359"/>
        <v>0.467129502755702</v>
      </c>
      <c r="O254" s="27">
        <f t="shared" si="391"/>
        <v>3.61176038267022</v>
      </c>
      <c r="P254" s="27">
        <f t="shared" si="392"/>
        <v>0.80261341837116</v>
      </c>
      <c r="Q254" s="25">
        <f t="shared" si="362"/>
        <v>0.20065335459279</v>
      </c>
      <c r="R254" s="25">
        <f t="shared" si="393"/>
        <v>0.722352076534044</v>
      </c>
      <c r="S254" s="25">
        <f t="shared" si="394"/>
        <v>18</v>
      </c>
      <c r="T254" s="25">
        <f t="shared" si="395"/>
        <v>1.42036000633224</v>
      </c>
      <c r="U254" s="25">
        <f t="shared" si="366"/>
        <v>2.53635715416471</v>
      </c>
      <c r="V254" s="25">
        <f t="shared" si="367"/>
        <v>2.89330879329134</v>
      </c>
      <c r="W254" s="24">
        <f t="shared" si="368"/>
        <v>350</v>
      </c>
      <c r="X254" s="131">
        <f t="shared" si="369"/>
        <v>184.173392926415</v>
      </c>
      <c r="Z254" s="25">
        <f t="shared" si="370"/>
        <v>0.747407204409123</v>
      </c>
      <c r="AA254" s="5">
        <f t="shared" si="371"/>
        <v>1.52248713498371</v>
      </c>
      <c r="AB254" s="5">
        <f t="shared" si="396"/>
        <v>0.108673741167761</v>
      </c>
      <c r="AC254" s="5"/>
      <c r="AD254" s="5">
        <f t="shared" si="373"/>
        <v>0.611107489733394</v>
      </c>
      <c r="AE254" s="216">
        <f t="shared" si="397"/>
        <v>3798.12345679012</v>
      </c>
      <c r="AF254" s="217">
        <f t="shared" si="398"/>
        <v>0.0175086462450593</v>
      </c>
      <c r="AH254" s="5">
        <f t="shared" si="399"/>
        <v>0.977460265907812</v>
      </c>
      <c r="AI254" s="5">
        <f t="shared" si="400"/>
        <v>1.42036000633224</v>
      </c>
      <c r="AJ254" s="5">
        <f t="shared" si="401"/>
        <v>2.02989630098684</v>
      </c>
      <c r="AL254" s="216">
        <f t="shared" si="402"/>
        <v>190</v>
      </c>
      <c r="AM254" s="220">
        <f t="shared" si="403"/>
        <v>184.173392926415</v>
      </c>
      <c r="AO254">
        <f t="shared" si="381"/>
        <v>190</v>
      </c>
      <c r="AP254">
        <f t="shared" si="382"/>
        <v>184.173392926415</v>
      </c>
      <c r="AR254" s="192">
        <f t="shared" si="343"/>
        <v>5.42966594745606</v>
      </c>
      <c r="AS254" s="192">
        <f t="shared" si="385"/>
        <v>2.53635715416471</v>
      </c>
      <c r="AT254" s="192">
        <f t="shared" si="386"/>
        <v>2.89330879329134</v>
      </c>
      <c r="AU254" s="5">
        <f t="shared" si="387"/>
        <v>0.467129502755702</v>
      </c>
      <c r="CI254" s="227">
        <f t="shared" si="404"/>
        <v>-50</v>
      </c>
    </row>
    <row r="255" spans="5:87">
      <c r="E255" s="22">
        <v>39</v>
      </c>
      <c r="F255" s="25">
        <f t="shared" si="405"/>
        <v>0.195</v>
      </c>
      <c r="G255" s="25">
        <f t="shared" si="388"/>
        <v>0.156</v>
      </c>
      <c r="H255" s="25">
        <f t="shared" si="389"/>
        <v>3.51</v>
      </c>
      <c r="I255" s="25">
        <f t="shared" si="390"/>
        <v>0.78</v>
      </c>
      <c r="J255" s="212">
        <f t="shared" si="356"/>
        <v>14</v>
      </c>
      <c r="K255" s="131">
        <f t="shared" si="357"/>
        <v>12.2728</v>
      </c>
      <c r="L255" s="131">
        <f t="shared" si="358"/>
        <v>26.2728</v>
      </c>
      <c r="M255" s="131"/>
      <c r="N255" s="25">
        <f t="shared" si="359"/>
        <v>0.467129502755702</v>
      </c>
      <c r="O255" s="27">
        <f t="shared" si="391"/>
        <v>3.61176038267022</v>
      </c>
      <c r="P255" s="27">
        <f t="shared" si="392"/>
        <v>0.80261341837116</v>
      </c>
      <c r="Q255" s="25">
        <f t="shared" si="362"/>
        <v>0.20065335459279</v>
      </c>
      <c r="R255" s="25">
        <f t="shared" si="393"/>
        <v>0.722352076534044</v>
      </c>
      <c r="S255" s="25">
        <f t="shared" si="394"/>
        <v>18</v>
      </c>
      <c r="T255" s="25">
        <f t="shared" si="395"/>
        <v>1.45773790123572</v>
      </c>
      <c r="U255" s="25">
        <f t="shared" si="366"/>
        <v>2.60310339506379</v>
      </c>
      <c r="V255" s="25">
        <f t="shared" si="367"/>
        <v>2.96944849837796</v>
      </c>
      <c r="W255" s="24">
        <f t="shared" si="368"/>
        <v>350</v>
      </c>
      <c r="X255" s="131">
        <f t="shared" si="369"/>
        <v>179.450998235994</v>
      </c>
      <c r="Z255" s="25">
        <f t="shared" si="370"/>
        <v>0.747407204409123</v>
      </c>
      <c r="AA255" s="5">
        <f t="shared" si="371"/>
        <v>1.52248713498371</v>
      </c>
      <c r="AB255" s="5">
        <f t="shared" si="396"/>
        <v>0.108673741167761</v>
      </c>
      <c r="AC255" s="5"/>
      <c r="AD255" s="5">
        <f t="shared" si="373"/>
        <v>0.611107489733394</v>
      </c>
      <c r="AE255" s="216">
        <f t="shared" si="397"/>
        <v>3898.07407407407</v>
      </c>
      <c r="AF255" s="217">
        <f t="shared" si="398"/>
        <v>0.0175086462450593</v>
      </c>
      <c r="AH255" s="5">
        <f t="shared" si="399"/>
        <v>0.990238066613998</v>
      </c>
      <c r="AI255" s="5">
        <f t="shared" si="400"/>
        <v>1.45773790123572</v>
      </c>
      <c r="AJ255" s="5">
        <f t="shared" si="401"/>
        <v>2.05758363054498</v>
      </c>
      <c r="AL255" s="216">
        <f t="shared" si="402"/>
        <v>195</v>
      </c>
      <c r="AM255" s="220">
        <f t="shared" si="403"/>
        <v>179.450998235994</v>
      </c>
      <c r="AO255">
        <f t="shared" si="381"/>
        <v>195</v>
      </c>
      <c r="AP255">
        <f t="shared" si="382"/>
        <v>179.450998235994</v>
      </c>
      <c r="AR255" s="192">
        <f t="shared" si="343"/>
        <v>5.57255189344174</v>
      </c>
      <c r="AS255" s="192">
        <f t="shared" si="385"/>
        <v>2.60310339506379</v>
      </c>
      <c r="AT255" s="192">
        <f t="shared" si="386"/>
        <v>2.96944849837796</v>
      </c>
      <c r="AU255" s="5">
        <f t="shared" si="387"/>
        <v>0.467129502755702</v>
      </c>
      <c r="CI255" s="227">
        <f t="shared" si="404"/>
        <v>-50</v>
      </c>
    </row>
    <row r="256" spans="5:87">
      <c r="E256" s="22">
        <v>40</v>
      </c>
      <c r="F256" s="25">
        <f t="shared" si="405"/>
        <v>0.2</v>
      </c>
      <c r="G256" s="25">
        <f t="shared" si="388"/>
        <v>0.16</v>
      </c>
      <c r="H256" s="25">
        <f t="shared" si="389"/>
        <v>3.6</v>
      </c>
      <c r="I256" s="25">
        <f t="shared" si="390"/>
        <v>0.8</v>
      </c>
      <c r="J256" s="212">
        <f t="shared" si="356"/>
        <v>14</v>
      </c>
      <c r="K256" s="131">
        <f t="shared" si="357"/>
        <v>12.2728</v>
      </c>
      <c r="L256" s="131">
        <f t="shared" si="358"/>
        <v>26.2728</v>
      </c>
      <c r="M256" s="131"/>
      <c r="N256" s="25">
        <f t="shared" si="359"/>
        <v>0.467129502755702</v>
      </c>
      <c r="O256" s="27">
        <f t="shared" si="391"/>
        <v>3.61176038267022</v>
      </c>
      <c r="P256" s="27">
        <f t="shared" si="392"/>
        <v>0.80261341837116</v>
      </c>
      <c r="Q256" s="25">
        <f t="shared" si="362"/>
        <v>0.20065335459279</v>
      </c>
      <c r="R256" s="25">
        <f t="shared" si="393"/>
        <v>0.722352076534044</v>
      </c>
      <c r="S256" s="25">
        <f t="shared" si="394"/>
        <v>18</v>
      </c>
      <c r="T256" s="25">
        <f t="shared" si="395"/>
        <v>1.4951157961392</v>
      </c>
      <c r="U256" s="25">
        <f t="shared" si="366"/>
        <v>2.66984963596286</v>
      </c>
      <c r="V256" s="25">
        <f t="shared" si="367"/>
        <v>3.04558820346457</v>
      </c>
      <c r="W256" s="24">
        <f t="shared" si="368"/>
        <v>350</v>
      </c>
      <c r="X256" s="131">
        <f t="shared" si="369"/>
        <v>174.964723280094</v>
      </c>
      <c r="Z256" s="25">
        <f t="shared" si="370"/>
        <v>0.747407204409123</v>
      </c>
      <c r="AA256" s="5">
        <f t="shared" si="371"/>
        <v>1.52248713498371</v>
      </c>
      <c r="AB256" s="5">
        <f t="shared" si="396"/>
        <v>0.108673741167761</v>
      </c>
      <c r="AC256" s="5"/>
      <c r="AD256" s="5">
        <f t="shared" si="373"/>
        <v>0.611107489733394</v>
      </c>
      <c r="AE256" s="216">
        <f t="shared" si="397"/>
        <v>3998.02469135802</v>
      </c>
      <c r="AF256" s="217">
        <f t="shared" si="398"/>
        <v>0.0175086462450593</v>
      </c>
      <c r="AH256" s="5">
        <f t="shared" si="399"/>
        <v>1.00285307284481</v>
      </c>
      <c r="AI256" s="5">
        <f t="shared" si="400"/>
        <v>1.4951157961392</v>
      </c>
      <c r="AJ256" s="5">
        <f t="shared" si="401"/>
        <v>2.08527096010311</v>
      </c>
      <c r="AL256" s="216">
        <f t="shared" si="402"/>
        <v>200</v>
      </c>
      <c r="AM256" s="220">
        <f t="shared" si="403"/>
        <v>174.964723280094</v>
      </c>
      <c r="AO256">
        <f t="shared" si="381"/>
        <v>200</v>
      </c>
      <c r="AP256">
        <f t="shared" si="382"/>
        <v>174.964723280094</v>
      </c>
      <c r="AR256" s="192">
        <f t="shared" si="343"/>
        <v>5.71543783942743</v>
      </c>
      <c r="AS256" s="192">
        <f t="shared" si="385"/>
        <v>2.66984963596286</v>
      </c>
      <c r="AT256" s="192">
        <f t="shared" si="386"/>
        <v>3.04558820346457</v>
      </c>
      <c r="AU256" s="5">
        <f t="shared" si="387"/>
        <v>0.467129502755702</v>
      </c>
      <c r="CI256" s="227">
        <f t="shared" si="404"/>
        <v>174.964723280094</v>
      </c>
    </row>
    <row r="257" spans="5:87">
      <c r="E257" s="22">
        <v>41</v>
      </c>
      <c r="F257" s="25">
        <f t="shared" si="405"/>
        <v>0.205</v>
      </c>
      <c r="G257" s="25">
        <f t="shared" si="388"/>
        <v>0.164</v>
      </c>
      <c r="H257" s="25">
        <f t="shared" si="389"/>
        <v>3.69</v>
      </c>
      <c r="I257" s="25">
        <f t="shared" si="390"/>
        <v>0.82</v>
      </c>
      <c r="J257" s="212">
        <f t="shared" si="356"/>
        <v>14</v>
      </c>
      <c r="K257" s="131">
        <f t="shared" si="357"/>
        <v>12.0182350011758</v>
      </c>
      <c r="L257" s="131">
        <f t="shared" si="358"/>
        <v>26.2728</v>
      </c>
      <c r="M257" s="131"/>
      <c r="N257" s="25">
        <f t="shared" si="359"/>
        <v>0.467129502755702</v>
      </c>
      <c r="O257" s="27">
        <f t="shared" si="391"/>
        <v>3.61176038267022</v>
      </c>
      <c r="P257" s="27">
        <f t="shared" si="392"/>
        <v>0.80261341837116</v>
      </c>
      <c r="Q257" s="25">
        <f t="shared" si="362"/>
        <v>0.20065335459279</v>
      </c>
      <c r="R257" s="25">
        <f t="shared" si="393"/>
        <v>0.722352076534044</v>
      </c>
      <c r="S257" s="25">
        <f t="shared" si="394"/>
        <v>17.6183433300986</v>
      </c>
      <c r="T257" s="25">
        <f t="shared" si="395"/>
        <v>1.5</v>
      </c>
      <c r="U257" s="25">
        <f t="shared" si="366"/>
        <v>2.67857142857143</v>
      </c>
      <c r="V257" s="25">
        <f t="shared" si="367"/>
        <v>3.12025850687153</v>
      </c>
      <c r="W257" s="24">
        <f t="shared" si="368"/>
        <v>350</v>
      </c>
      <c r="X257" s="131">
        <f t="shared" si="369"/>
        <v>172.448582064446</v>
      </c>
      <c r="Z257" s="25">
        <f t="shared" si="370"/>
        <v>0.739065351704767</v>
      </c>
      <c r="AA257" s="5">
        <f t="shared" si="371"/>
        <v>1.5373833005272</v>
      </c>
      <c r="AB257" s="5">
        <f t="shared" si="396"/>
        <v>0.108512235020703</v>
      </c>
      <c r="AC257" s="5"/>
      <c r="AD257" s="5">
        <f t="shared" si="373"/>
        <v>0.624051701374307</v>
      </c>
      <c r="AE257" s="216">
        <f t="shared" si="397"/>
        <v>4012.97424290098</v>
      </c>
      <c r="AF257" s="217">
        <f t="shared" si="398"/>
        <v>0.0178795067341703</v>
      </c>
      <c r="AH257" s="5">
        <f t="shared" si="399"/>
        <v>1.0153113526683</v>
      </c>
      <c r="AI257" s="5">
        <f t="shared" si="400"/>
        <v>1.5</v>
      </c>
      <c r="AJ257" s="5">
        <f t="shared" si="401"/>
        <v>2.08888888888889</v>
      </c>
      <c r="AL257" s="216">
        <f t="shared" si="402"/>
        <v>205</v>
      </c>
      <c r="AM257" s="220">
        <f t="shared" si="403"/>
        <v>172.448582064446</v>
      </c>
      <c r="AO257" t="str">
        <f t="shared" si="381"/>
        <v/>
      </c>
      <c r="AP257" t="str">
        <f t="shared" si="382"/>
        <v/>
      </c>
      <c r="AR257" s="192">
        <f t="shared" si="343"/>
        <v>5.79882993544296</v>
      </c>
      <c r="AS257" s="192">
        <f t="shared" si="385"/>
        <v>2.67857142857143</v>
      </c>
      <c r="AT257" s="192">
        <f t="shared" si="386"/>
        <v>3.12025850687153</v>
      </c>
      <c r="AU257" s="5">
        <f t="shared" si="387"/>
        <v>0.46191584481548</v>
      </c>
      <c r="CI257" s="227">
        <f t="shared" si="404"/>
        <v>-50</v>
      </c>
    </row>
    <row r="258" spans="5:87">
      <c r="E258" s="22">
        <v>42</v>
      </c>
      <c r="F258" s="25">
        <f t="shared" si="405"/>
        <v>0.21</v>
      </c>
      <c r="G258" s="25">
        <f t="shared" si="388"/>
        <v>0.168</v>
      </c>
      <c r="H258" s="25">
        <f t="shared" si="389"/>
        <v>3.78</v>
      </c>
      <c r="I258" s="25">
        <f t="shared" si="390"/>
        <v>0.84</v>
      </c>
      <c r="J258" s="212">
        <f t="shared" si="356"/>
        <v>14</v>
      </c>
      <c r="K258" s="131">
        <f t="shared" si="357"/>
        <v>11.7384389297192</v>
      </c>
      <c r="L258" s="131">
        <f t="shared" si="358"/>
        <v>26.2728</v>
      </c>
      <c r="M258" s="131"/>
      <c r="N258" s="25">
        <f t="shared" si="359"/>
        <v>0.467129502755702</v>
      </c>
      <c r="O258" s="27">
        <f t="shared" si="391"/>
        <v>3.61176038267022</v>
      </c>
      <c r="P258" s="27">
        <f t="shared" si="392"/>
        <v>0.80261341837116</v>
      </c>
      <c r="Q258" s="25">
        <f t="shared" si="362"/>
        <v>0.20065335459279</v>
      </c>
      <c r="R258" s="25">
        <f t="shared" si="393"/>
        <v>0.722352076534044</v>
      </c>
      <c r="S258" s="25">
        <f t="shared" si="394"/>
        <v>17.1988589650963</v>
      </c>
      <c r="T258" s="25">
        <f t="shared" si="395"/>
        <v>1.5</v>
      </c>
      <c r="U258" s="25">
        <f t="shared" si="366"/>
        <v>2.67857142857143</v>
      </c>
      <c r="V258" s="25">
        <f t="shared" si="367"/>
        <v>3.19463262743209</v>
      </c>
      <c r="W258" s="24">
        <f t="shared" si="368"/>
        <v>350</v>
      </c>
      <c r="X258" s="131">
        <f t="shared" si="369"/>
        <v>170.264814650499</v>
      </c>
      <c r="Z258" s="25">
        <f t="shared" si="370"/>
        <v>0.72970634850214</v>
      </c>
      <c r="AA258" s="5">
        <f t="shared" si="371"/>
        <v>1.55409580624618</v>
      </c>
      <c r="AB258" s="5">
        <f t="shared" si="396"/>
        <v>0.108302783856882</v>
      </c>
      <c r="AC258" s="5"/>
      <c r="AD258" s="5">
        <f t="shared" si="373"/>
        <v>0.638926525486418</v>
      </c>
      <c r="AE258" s="216">
        <f t="shared" si="397"/>
        <v>4015.14708240714</v>
      </c>
      <c r="AF258" s="217">
        <f t="shared" si="398"/>
        <v>0.0183056805869078</v>
      </c>
      <c r="AH258" s="5">
        <f t="shared" si="399"/>
        <v>1.02761860629321</v>
      </c>
      <c r="AI258" s="5">
        <f t="shared" si="400"/>
        <v>1.5</v>
      </c>
      <c r="AJ258" s="5">
        <f t="shared" si="401"/>
        <v>2.08888888888889</v>
      </c>
      <c r="AL258" s="216">
        <f t="shared" si="402"/>
        <v>210</v>
      </c>
      <c r="AM258" s="220">
        <f t="shared" si="403"/>
        <v>170.264814650499</v>
      </c>
      <c r="AO258" t="str">
        <f t="shared" si="381"/>
        <v/>
      </c>
      <c r="AP258" t="str">
        <f t="shared" si="382"/>
        <v/>
      </c>
      <c r="AR258" s="192">
        <f t="shared" si="343"/>
        <v>5.87320405600352</v>
      </c>
      <c r="AS258" s="192">
        <f t="shared" si="385"/>
        <v>2.67857142857143</v>
      </c>
      <c r="AT258" s="192">
        <f t="shared" si="386"/>
        <v>3.19463262743209</v>
      </c>
      <c r="AU258" s="5">
        <f t="shared" si="387"/>
        <v>0.456066467813837</v>
      </c>
      <c r="CI258" s="227">
        <f t="shared" si="404"/>
        <v>-50</v>
      </c>
    </row>
    <row r="259" spans="5:87">
      <c r="E259" s="22">
        <v>43</v>
      </c>
      <c r="F259" s="25">
        <f t="shared" si="405"/>
        <v>0.215</v>
      </c>
      <c r="G259" s="25">
        <f t="shared" si="388"/>
        <v>0.172</v>
      </c>
      <c r="H259" s="25">
        <f t="shared" si="389"/>
        <v>3.87</v>
      </c>
      <c r="I259" s="25">
        <f t="shared" si="390"/>
        <v>0.86</v>
      </c>
      <c r="J259" s="212">
        <f t="shared" si="356"/>
        <v>14</v>
      </c>
      <c r="K259" s="131">
        <f t="shared" si="357"/>
        <v>11.4716566290281</v>
      </c>
      <c r="L259" s="131">
        <f t="shared" si="358"/>
        <v>26.2728</v>
      </c>
      <c r="M259" s="131"/>
      <c r="N259" s="25">
        <f t="shared" si="359"/>
        <v>0.467129502755702</v>
      </c>
      <c r="O259" s="27">
        <f t="shared" si="391"/>
        <v>3.61176038267022</v>
      </c>
      <c r="P259" s="27">
        <f t="shared" si="392"/>
        <v>0.80261341837116</v>
      </c>
      <c r="Q259" s="25">
        <f t="shared" si="362"/>
        <v>0.20065335459279</v>
      </c>
      <c r="R259" s="25">
        <f t="shared" si="393"/>
        <v>0.722352076534044</v>
      </c>
      <c r="S259" s="25">
        <f t="shared" si="394"/>
        <v>16.7988855007917</v>
      </c>
      <c r="T259" s="25">
        <f t="shared" si="395"/>
        <v>1.5</v>
      </c>
      <c r="U259" s="25">
        <f t="shared" si="366"/>
        <v>2.67857142857143</v>
      </c>
      <c r="V259" s="25">
        <f t="shared" si="367"/>
        <v>3.26892629483952</v>
      </c>
      <c r="W259" s="24">
        <f t="shared" si="368"/>
        <v>350</v>
      </c>
      <c r="X259" s="131">
        <f t="shared" si="369"/>
        <v>168.137937415887</v>
      </c>
      <c r="Z259" s="25">
        <f t="shared" si="370"/>
        <v>0.720591160353802</v>
      </c>
      <c r="AA259" s="5">
        <f t="shared" si="371"/>
        <v>1.57037292793964</v>
      </c>
      <c r="AB259" s="5">
        <f t="shared" si="396"/>
        <v>0.108070071017751</v>
      </c>
      <c r="AC259" s="5"/>
      <c r="AD259" s="5">
        <f t="shared" si="373"/>
        <v>0.653785258967903</v>
      </c>
      <c r="AE259" s="216">
        <f t="shared" si="397"/>
        <v>4017.31992191333</v>
      </c>
      <c r="AF259" s="217">
        <f t="shared" si="398"/>
        <v>0.018731393432107</v>
      </c>
      <c r="AH259" s="5">
        <f t="shared" si="399"/>
        <v>1.03978019655255</v>
      </c>
      <c r="AI259" s="5">
        <f t="shared" si="400"/>
        <v>1.5</v>
      </c>
      <c r="AJ259" s="5">
        <f t="shared" si="401"/>
        <v>2.08888888888889</v>
      </c>
      <c r="AL259" s="216">
        <f t="shared" si="402"/>
        <v>215</v>
      </c>
      <c r="AM259" s="220">
        <f t="shared" si="403"/>
        <v>168.137937415887</v>
      </c>
      <c r="AO259" t="str">
        <f t="shared" si="381"/>
        <v/>
      </c>
      <c r="AP259" t="str">
        <f t="shared" si="382"/>
        <v/>
      </c>
      <c r="AR259" s="192">
        <f t="shared" si="343"/>
        <v>5.94749772341095</v>
      </c>
      <c r="AS259" s="192">
        <f t="shared" si="385"/>
        <v>2.67857142857143</v>
      </c>
      <c r="AT259" s="192">
        <f t="shared" si="386"/>
        <v>3.26892629483952</v>
      </c>
      <c r="AU259" s="5">
        <f t="shared" si="387"/>
        <v>0.450369475221126</v>
      </c>
      <c r="CI259" s="227">
        <f t="shared" si="404"/>
        <v>-50</v>
      </c>
    </row>
    <row r="260" spans="5:87">
      <c r="E260" s="22">
        <v>44</v>
      </c>
      <c r="F260" s="25">
        <f t="shared" si="405"/>
        <v>0.22</v>
      </c>
      <c r="G260" s="25">
        <f t="shared" si="388"/>
        <v>0.176</v>
      </c>
      <c r="H260" s="25">
        <f t="shared" si="389"/>
        <v>3.96</v>
      </c>
      <c r="I260" s="25">
        <f t="shared" si="390"/>
        <v>0.88</v>
      </c>
      <c r="J260" s="212">
        <f t="shared" si="356"/>
        <v>14</v>
      </c>
      <c r="K260" s="131">
        <f t="shared" si="357"/>
        <v>11.2170007965502</v>
      </c>
      <c r="L260" s="131">
        <f t="shared" si="358"/>
        <v>26.2728</v>
      </c>
      <c r="M260" s="131"/>
      <c r="N260" s="25">
        <f t="shared" si="359"/>
        <v>0.467129502755702</v>
      </c>
      <c r="O260" s="27">
        <f t="shared" si="391"/>
        <v>3.61176038267022</v>
      </c>
      <c r="P260" s="27">
        <f t="shared" si="392"/>
        <v>0.80261341837116</v>
      </c>
      <c r="Q260" s="25">
        <f t="shared" si="362"/>
        <v>0.20065335459279</v>
      </c>
      <c r="R260" s="25">
        <f t="shared" si="393"/>
        <v>0.722352076534044</v>
      </c>
      <c r="S260" s="25">
        <f t="shared" si="394"/>
        <v>16.417092648501</v>
      </c>
      <c r="T260" s="25">
        <f t="shared" si="395"/>
        <v>1.5</v>
      </c>
      <c r="U260" s="25">
        <f t="shared" si="366"/>
        <v>2.67857142857143</v>
      </c>
      <c r="V260" s="25">
        <f t="shared" si="367"/>
        <v>3.34313963956686</v>
      </c>
      <c r="W260" s="24">
        <f t="shared" si="368"/>
        <v>350</v>
      </c>
      <c r="X260" s="131">
        <f t="shared" si="369"/>
        <v>166.065755843242</v>
      </c>
      <c r="Z260" s="25">
        <f t="shared" si="370"/>
        <v>0.711710382185322</v>
      </c>
      <c r="AA260" s="5">
        <f t="shared" si="371"/>
        <v>1.58623146038335</v>
      </c>
      <c r="AB260" s="5">
        <f t="shared" si="396"/>
        <v>0.10781608736213</v>
      </c>
      <c r="AC260" s="5"/>
      <c r="AD260" s="5">
        <f t="shared" si="373"/>
        <v>0.668627927913372</v>
      </c>
      <c r="AE260" s="216">
        <f t="shared" si="397"/>
        <v>4019.49276141951</v>
      </c>
      <c r="AF260" s="217">
        <f t="shared" si="398"/>
        <v>0.0191566460173962</v>
      </c>
      <c r="AH260" s="5">
        <f t="shared" si="399"/>
        <v>1.05180117621427</v>
      </c>
      <c r="AI260" s="5">
        <f t="shared" si="400"/>
        <v>1.5</v>
      </c>
      <c r="AJ260" s="5">
        <f t="shared" si="401"/>
        <v>2.08888888888889</v>
      </c>
      <c r="AL260" s="216">
        <f t="shared" si="402"/>
        <v>220</v>
      </c>
      <c r="AM260" s="220">
        <f t="shared" si="403"/>
        <v>166.065755843242</v>
      </c>
      <c r="AO260" t="str">
        <f t="shared" si="381"/>
        <v/>
      </c>
      <c r="AP260" t="str">
        <f t="shared" si="382"/>
        <v/>
      </c>
      <c r="AR260" s="192">
        <f t="shared" si="343"/>
        <v>6.02171106813829</v>
      </c>
      <c r="AS260" s="192">
        <f t="shared" si="385"/>
        <v>2.67857142857143</v>
      </c>
      <c r="AT260" s="192">
        <f t="shared" si="386"/>
        <v>3.34313963956686</v>
      </c>
      <c r="AU260" s="5">
        <f t="shared" si="387"/>
        <v>0.444818988865826</v>
      </c>
      <c r="CI260" s="227">
        <f t="shared" si="404"/>
        <v>-50</v>
      </c>
    </row>
    <row r="261" spans="5:87">
      <c r="E261" s="22">
        <v>45</v>
      </c>
      <c r="F261" s="25">
        <f t="shared" si="405"/>
        <v>0.225</v>
      </c>
      <c r="G261" s="25">
        <f t="shared" si="388"/>
        <v>0.18</v>
      </c>
      <c r="H261" s="25">
        <f t="shared" si="389"/>
        <v>4.05</v>
      </c>
      <c r="I261" s="25">
        <f t="shared" si="390"/>
        <v>0.9</v>
      </c>
      <c r="J261" s="212">
        <f t="shared" si="356"/>
        <v>14</v>
      </c>
      <c r="K261" s="131">
        <f t="shared" si="357"/>
        <v>10.9736630010713</v>
      </c>
      <c r="L261" s="131">
        <f t="shared" si="358"/>
        <v>26.2728</v>
      </c>
      <c r="M261" s="131"/>
      <c r="N261" s="25">
        <f t="shared" si="359"/>
        <v>0.467129502755702</v>
      </c>
      <c r="O261" s="27">
        <f t="shared" si="391"/>
        <v>3.61176038267022</v>
      </c>
      <c r="P261" s="27">
        <f t="shared" si="392"/>
        <v>0.80261341837116</v>
      </c>
      <c r="Q261" s="25">
        <f t="shared" si="362"/>
        <v>0.20065335459279</v>
      </c>
      <c r="R261" s="25">
        <f t="shared" si="393"/>
        <v>0.722352076534044</v>
      </c>
      <c r="S261" s="25">
        <f t="shared" si="394"/>
        <v>16.0522683674232</v>
      </c>
      <c r="T261" s="25">
        <f t="shared" si="395"/>
        <v>1.5</v>
      </c>
      <c r="U261" s="25">
        <f t="shared" si="366"/>
        <v>2.67857142857143</v>
      </c>
      <c r="V261" s="25">
        <f t="shared" si="367"/>
        <v>3.41727279180517</v>
      </c>
      <c r="W261" s="24">
        <f t="shared" si="368"/>
        <v>350</v>
      </c>
      <c r="X261" s="131">
        <f t="shared" si="369"/>
        <v>164.04618685256</v>
      </c>
      <c r="Z261" s="25">
        <f t="shared" si="370"/>
        <v>0.703055086510973</v>
      </c>
      <c r="AA261" s="5">
        <f t="shared" si="371"/>
        <v>1.60168734551612</v>
      </c>
      <c r="AB261" s="5">
        <f t="shared" si="396"/>
        <v>0.107542667827923</v>
      </c>
      <c r="AC261" s="5"/>
      <c r="AD261" s="5">
        <f t="shared" si="373"/>
        <v>0.683454558361034</v>
      </c>
      <c r="AE261" s="216">
        <f t="shared" si="397"/>
        <v>4021.66560092568</v>
      </c>
      <c r="AF261" s="217">
        <f t="shared" si="398"/>
        <v>0.019581439088788</v>
      </c>
      <c r="AH261" s="5">
        <f t="shared" si="399"/>
        <v>1.0636863125135</v>
      </c>
      <c r="AI261" s="5">
        <f t="shared" si="400"/>
        <v>1.5</v>
      </c>
      <c r="AJ261" s="5">
        <f t="shared" si="401"/>
        <v>2.08888888888889</v>
      </c>
      <c r="AL261" s="216">
        <f t="shared" si="402"/>
        <v>225</v>
      </c>
      <c r="AM261" s="220">
        <f t="shared" si="403"/>
        <v>164.04618685256</v>
      </c>
      <c r="AO261" t="str">
        <f t="shared" si="381"/>
        <v/>
      </c>
      <c r="AP261" t="str">
        <f t="shared" si="382"/>
        <v/>
      </c>
      <c r="AR261" s="192">
        <f t="shared" si="343"/>
        <v>6.0958442203766</v>
      </c>
      <c r="AS261" s="192">
        <f t="shared" si="385"/>
        <v>2.67857142857143</v>
      </c>
      <c r="AT261" s="192">
        <f t="shared" si="386"/>
        <v>3.41727279180517</v>
      </c>
      <c r="AU261" s="5">
        <f t="shared" si="387"/>
        <v>0.439409429069358</v>
      </c>
      <c r="CI261" s="227">
        <f t="shared" si="404"/>
        <v>-50</v>
      </c>
    </row>
    <row r="262" spans="5:87">
      <c r="E262" s="22">
        <v>46</v>
      </c>
      <c r="F262" s="25">
        <f t="shared" si="405"/>
        <v>0.23</v>
      </c>
      <c r="G262" s="25">
        <f t="shared" si="388"/>
        <v>0.184</v>
      </c>
      <c r="H262" s="25">
        <f t="shared" si="389"/>
        <v>4.14</v>
      </c>
      <c r="I262" s="25">
        <f t="shared" si="390"/>
        <v>0.92</v>
      </c>
      <c r="J262" s="212">
        <f t="shared" si="356"/>
        <v>14</v>
      </c>
      <c r="K262" s="131">
        <f t="shared" si="357"/>
        <v>10.7409051097436</v>
      </c>
      <c r="L262" s="131">
        <f t="shared" si="358"/>
        <v>26.2728</v>
      </c>
      <c r="M262" s="131"/>
      <c r="N262" s="25">
        <f t="shared" si="359"/>
        <v>0.467129502755702</v>
      </c>
      <c r="O262" s="27">
        <f t="shared" si="391"/>
        <v>3.61176038267022</v>
      </c>
      <c r="P262" s="27">
        <f t="shared" si="392"/>
        <v>0.80261341837116</v>
      </c>
      <c r="Q262" s="25">
        <f t="shared" si="362"/>
        <v>0.20065335459279</v>
      </c>
      <c r="R262" s="25">
        <f t="shared" si="393"/>
        <v>0.722352076534044</v>
      </c>
      <c r="S262" s="25">
        <f t="shared" si="394"/>
        <v>15.7033060116097</v>
      </c>
      <c r="T262" s="25">
        <f t="shared" si="395"/>
        <v>1.5</v>
      </c>
      <c r="U262" s="25">
        <f t="shared" si="366"/>
        <v>2.67857142857143</v>
      </c>
      <c r="V262" s="25">
        <f t="shared" si="367"/>
        <v>3.4913258814643</v>
      </c>
      <c r="W262" s="24">
        <f t="shared" si="368"/>
        <v>350</v>
      </c>
      <c r="X262" s="131">
        <f t="shared" si="369"/>
        <v>162.077251816402</v>
      </c>
      <c r="Z262" s="25">
        <f t="shared" si="370"/>
        <v>0.694616793498864</v>
      </c>
      <c r="AA262" s="5">
        <f t="shared" si="371"/>
        <v>1.61675572589489</v>
      </c>
      <c r="AB262" s="5">
        <f t="shared" si="396"/>
        <v>0.107251504598426</v>
      </c>
      <c r="AC262" s="5"/>
      <c r="AD262" s="5">
        <f t="shared" si="373"/>
        <v>0.69826517629286</v>
      </c>
      <c r="AE262" s="216">
        <f t="shared" si="397"/>
        <v>4023.83844043183</v>
      </c>
      <c r="AF262" s="217">
        <f t="shared" si="398"/>
        <v>0.0200057733906834</v>
      </c>
      <c r="AH262" s="5">
        <f t="shared" si="399"/>
        <v>1.07544010924432</v>
      </c>
      <c r="AI262" s="5">
        <f t="shared" si="400"/>
        <v>1.5</v>
      </c>
      <c r="AJ262" s="5">
        <f t="shared" si="401"/>
        <v>2.08888888888889</v>
      </c>
      <c r="AL262" s="216">
        <f t="shared" si="402"/>
        <v>230</v>
      </c>
      <c r="AM262" s="220">
        <f t="shared" si="403"/>
        <v>162.077251816402</v>
      </c>
      <c r="AO262" t="str">
        <f t="shared" si="381"/>
        <v/>
      </c>
      <c r="AP262" t="str">
        <f t="shared" si="382"/>
        <v/>
      </c>
      <c r="AR262" s="192">
        <f t="shared" si="343"/>
        <v>6.16989731003573</v>
      </c>
      <c r="AS262" s="192">
        <f t="shared" si="385"/>
        <v>2.67857142857143</v>
      </c>
      <c r="AT262" s="192">
        <f t="shared" si="386"/>
        <v>3.4913258814643</v>
      </c>
      <c r="AU262" s="5">
        <f t="shared" si="387"/>
        <v>0.43413549593679</v>
      </c>
      <c r="CI262" s="227">
        <f t="shared" si="404"/>
        <v>-50</v>
      </c>
    </row>
    <row r="263" spans="5:87">
      <c r="E263" s="22">
        <v>47</v>
      </c>
      <c r="F263" s="25">
        <f t="shared" si="405"/>
        <v>0.235</v>
      </c>
      <c r="G263" s="25">
        <f t="shared" si="388"/>
        <v>0.188</v>
      </c>
      <c r="H263" s="25">
        <f t="shared" si="389"/>
        <v>4.23</v>
      </c>
      <c r="I263" s="25">
        <f t="shared" si="390"/>
        <v>0.94</v>
      </c>
      <c r="J263" s="212">
        <f t="shared" si="356"/>
        <v>14</v>
      </c>
      <c r="K263" s="131">
        <f t="shared" si="357"/>
        <v>10.5180518095363</v>
      </c>
      <c r="L263" s="131">
        <f t="shared" si="358"/>
        <v>26.2728</v>
      </c>
      <c r="M263" s="131"/>
      <c r="N263" s="25">
        <f t="shared" si="359"/>
        <v>0.467129502755702</v>
      </c>
      <c r="O263" s="27">
        <f t="shared" si="391"/>
        <v>3.61176038267022</v>
      </c>
      <c r="P263" s="27">
        <f t="shared" si="392"/>
        <v>0.80261341837116</v>
      </c>
      <c r="Q263" s="25">
        <f t="shared" si="362"/>
        <v>0.20065335459279</v>
      </c>
      <c r="R263" s="25">
        <f t="shared" si="393"/>
        <v>0.722352076534044</v>
      </c>
      <c r="S263" s="25">
        <f t="shared" si="394"/>
        <v>15.3691931177456</v>
      </c>
      <c r="T263" s="25">
        <f t="shared" si="395"/>
        <v>1.5</v>
      </c>
      <c r="U263" s="25">
        <f t="shared" si="366"/>
        <v>2.67857142857143</v>
      </c>
      <c r="V263" s="25">
        <f t="shared" si="367"/>
        <v>3.56529903817361</v>
      </c>
      <c r="W263" s="24">
        <f t="shared" si="368"/>
        <v>350</v>
      </c>
      <c r="X263" s="131">
        <f t="shared" si="369"/>
        <v>160.157070093945</v>
      </c>
      <c r="Z263" s="25">
        <f t="shared" si="370"/>
        <v>0.686387443259765</v>
      </c>
      <c r="AA263" s="5">
        <f t="shared" si="371"/>
        <v>1.63145099417899</v>
      </c>
      <c r="AB263" s="5">
        <f t="shared" si="396"/>
        <v>0.106944159041663</v>
      </c>
      <c r="AC263" s="5"/>
      <c r="AD263" s="5">
        <f t="shared" si="373"/>
        <v>0.713059807634723</v>
      </c>
      <c r="AE263" s="216">
        <f t="shared" si="397"/>
        <v>4026.01127993801</v>
      </c>
      <c r="AF263" s="217">
        <f t="shared" si="398"/>
        <v>0.0204296496658764</v>
      </c>
      <c r="AH263" s="5">
        <f t="shared" si="399"/>
        <v>1.08706682670123</v>
      </c>
      <c r="AI263" s="5">
        <f t="shared" si="400"/>
        <v>1.5</v>
      </c>
      <c r="AJ263" s="5">
        <f t="shared" si="401"/>
        <v>2.08888888888889</v>
      </c>
      <c r="AL263" s="216">
        <f t="shared" si="402"/>
        <v>235</v>
      </c>
      <c r="AM263" s="220">
        <f t="shared" si="403"/>
        <v>160.157070093945</v>
      </c>
      <c r="AO263" t="str">
        <f t="shared" si="381"/>
        <v/>
      </c>
      <c r="AP263" t="str">
        <f t="shared" si="382"/>
        <v/>
      </c>
      <c r="AR263" s="192">
        <f t="shared" ref="AR263:AR316" si="406">1/AM263*1000</f>
        <v>6.24387046674504</v>
      </c>
      <c r="AS263" s="192">
        <f t="shared" si="385"/>
        <v>2.67857142857143</v>
      </c>
      <c r="AT263" s="192">
        <f t="shared" si="386"/>
        <v>3.56529903817361</v>
      </c>
      <c r="AU263" s="5">
        <f t="shared" si="387"/>
        <v>0.428992152037353</v>
      </c>
      <c r="CI263" s="227">
        <f t="shared" si="404"/>
        <v>-50</v>
      </c>
    </row>
    <row r="264" spans="5:87">
      <c r="E264" s="22">
        <v>48</v>
      </c>
      <c r="F264" s="25">
        <f t="shared" si="405"/>
        <v>0.24</v>
      </c>
      <c r="G264" s="25">
        <f t="shared" si="388"/>
        <v>0.192</v>
      </c>
      <c r="H264" s="25">
        <f t="shared" si="389"/>
        <v>4.32</v>
      </c>
      <c r="I264" s="25">
        <f t="shared" si="390"/>
        <v>0.96</v>
      </c>
      <c r="J264" s="212">
        <f t="shared" si="356"/>
        <v>14</v>
      </c>
      <c r="K264" s="131">
        <f t="shared" si="357"/>
        <v>10.3044840635043</v>
      </c>
      <c r="L264" s="131">
        <f t="shared" si="358"/>
        <v>26.2728</v>
      </c>
      <c r="M264" s="131"/>
      <c r="N264" s="25">
        <f t="shared" si="359"/>
        <v>0.467129502755702</v>
      </c>
      <c r="O264" s="27">
        <f t="shared" si="391"/>
        <v>3.61176038267022</v>
      </c>
      <c r="P264" s="27">
        <f t="shared" si="392"/>
        <v>0.80261341837116</v>
      </c>
      <c r="Q264" s="25">
        <f t="shared" si="362"/>
        <v>0.20065335459279</v>
      </c>
      <c r="R264" s="25">
        <f t="shared" si="393"/>
        <v>0.722352076534044</v>
      </c>
      <c r="S264" s="25">
        <f t="shared" si="394"/>
        <v>15.0490015944593</v>
      </c>
      <c r="T264" s="25">
        <f t="shared" si="395"/>
        <v>1.5</v>
      </c>
      <c r="U264" s="25">
        <f t="shared" si="366"/>
        <v>2.67857142857143</v>
      </c>
      <c r="V264" s="25">
        <f t="shared" si="367"/>
        <v>3.63919239128283</v>
      </c>
      <c r="W264" s="24">
        <f t="shared" si="368"/>
        <v>350</v>
      </c>
      <c r="X264" s="131">
        <f t="shared" si="369"/>
        <v>158.283853039487</v>
      </c>
      <c r="Z264" s="25">
        <f t="shared" si="370"/>
        <v>0.678359370169231</v>
      </c>
      <c r="AA264" s="5">
        <f t="shared" si="371"/>
        <v>1.64578683898352</v>
      </c>
      <c r="AB264" s="5">
        <f t="shared" si="396"/>
        <v>0.1066220725488</v>
      </c>
      <c r="AC264" s="5"/>
      <c r="AD264" s="5">
        <f t="shared" si="373"/>
        <v>0.727838478256566</v>
      </c>
      <c r="AE264" s="216">
        <f t="shared" si="397"/>
        <v>4028.18411944418</v>
      </c>
      <c r="AF264" s="217">
        <f t="shared" si="398"/>
        <v>0.0208530686555585</v>
      </c>
      <c r="AH264" s="5">
        <f t="shared" si="399"/>
        <v>1.09857049972095</v>
      </c>
      <c r="AI264" s="5">
        <f t="shared" si="400"/>
        <v>1.5</v>
      </c>
      <c r="AJ264" s="5">
        <f t="shared" si="401"/>
        <v>2.08888888888889</v>
      </c>
      <c r="AL264" s="216">
        <f t="shared" si="402"/>
        <v>240</v>
      </c>
      <c r="AM264" s="220">
        <f t="shared" si="403"/>
        <v>158.283853039487</v>
      </c>
      <c r="AO264" t="str">
        <f t="shared" si="381"/>
        <v/>
      </c>
      <c r="AP264" t="str">
        <f t="shared" si="382"/>
        <v/>
      </c>
      <c r="AR264" s="192">
        <f t="shared" si="406"/>
        <v>6.31776381985426</v>
      </c>
      <c r="AS264" s="192">
        <f t="shared" si="385"/>
        <v>2.67857142857143</v>
      </c>
      <c r="AT264" s="192">
        <f t="shared" si="386"/>
        <v>3.63919239128283</v>
      </c>
      <c r="AU264" s="5">
        <f t="shared" si="387"/>
        <v>0.423974606355769</v>
      </c>
      <c r="CI264" s="227">
        <f t="shared" si="404"/>
        <v>-50</v>
      </c>
    </row>
    <row r="265" spans="5:87">
      <c r="E265" s="22">
        <v>49</v>
      </c>
      <c r="F265" s="25">
        <f t="shared" si="405"/>
        <v>0.245</v>
      </c>
      <c r="G265" s="25">
        <f t="shared" si="388"/>
        <v>0.196</v>
      </c>
      <c r="H265" s="25">
        <f t="shared" si="389"/>
        <v>4.41</v>
      </c>
      <c r="I265" s="25">
        <f t="shared" si="390"/>
        <v>0.98</v>
      </c>
      <c r="J265" s="212">
        <f t="shared" si="356"/>
        <v>14</v>
      </c>
      <c r="K265" s="131">
        <f t="shared" si="357"/>
        <v>10.0996333683308</v>
      </c>
      <c r="L265" s="131">
        <f t="shared" si="358"/>
        <v>26.2728</v>
      </c>
      <c r="M265" s="131"/>
      <c r="N265" s="25">
        <f t="shared" si="359"/>
        <v>0.467129502755702</v>
      </c>
      <c r="O265" s="27">
        <f t="shared" si="391"/>
        <v>3.61176038267022</v>
      </c>
      <c r="P265" s="27">
        <f t="shared" si="392"/>
        <v>0.80261341837116</v>
      </c>
      <c r="Q265" s="25">
        <f t="shared" si="362"/>
        <v>0.20065335459279</v>
      </c>
      <c r="R265" s="25">
        <f t="shared" si="393"/>
        <v>0.722352076534044</v>
      </c>
      <c r="S265" s="25">
        <f t="shared" si="394"/>
        <v>14.7418791129397</v>
      </c>
      <c r="T265" s="25">
        <f t="shared" si="395"/>
        <v>1.5</v>
      </c>
      <c r="U265" s="25">
        <f t="shared" si="366"/>
        <v>2.67857142857143</v>
      </c>
      <c r="V265" s="25">
        <f t="shared" si="367"/>
        <v>3.71300606986269</v>
      </c>
      <c r="W265" s="24">
        <f t="shared" si="368"/>
        <v>350</v>
      </c>
      <c r="X265" s="131">
        <f t="shared" si="369"/>
        <v>156.455898445257</v>
      </c>
      <c r="Z265" s="25">
        <f t="shared" si="370"/>
        <v>0.670525279051103</v>
      </c>
      <c r="AA265" s="5">
        <f t="shared" si="371"/>
        <v>1.65977628740874</v>
      </c>
      <c r="AB265" s="5">
        <f t="shared" si="396"/>
        <v>0.106286576383555</v>
      </c>
      <c r="AC265" s="5"/>
      <c r="AD265" s="5">
        <f t="shared" si="373"/>
        <v>0.742601213972538</v>
      </c>
      <c r="AE265" s="216">
        <f t="shared" si="397"/>
        <v>4030.35695895038</v>
      </c>
      <c r="AF265" s="217">
        <f t="shared" si="398"/>
        <v>0.0212760310993227</v>
      </c>
      <c r="AH265" s="5">
        <f t="shared" si="399"/>
        <v>1.10995495404093</v>
      </c>
      <c r="AI265" s="5">
        <f t="shared" si="400"/>
        <v>1.5</v>
      </c>
      <c r="AJ265" s="5">
        <f t="shared" si="401"/>
        <v>2.08888888888889</v>
      </c>
      <c r="AL265" s="216">
        <f t="shared" si="402"/>
        <v>245</v>
      </c>
      <c r="AM265" s="220">
        <f t="shared" si="403"/>
        <v>156.455898445257</v>
      </c>
      <c r="AO265" t="str">
        <f t="shared" si="381"/>
        <v/>
      </c>
      <c r="AP265" t="str">
        <f t="shared" si="382"/>
        <v/>
      </c>
      <c r="AR265" s="192">
        <f t="shared" si="406"/>
        <v>6.39157749843412</v>
      </c>
      <c r="AS265" s="192">
        <f t="shared" si="385"/>
        <v>2.67857142857143</v>
      </c>
      <c r="AT265" s="192">
        <f t="shared" si="386"/>
        <v>3.71300606986269</v>
      </c>
      <c r="AU265" s="5">
        <f t="shared" si="387"/>
        <v>0.419078299406939</v>
      </c>
      <c r="CI265" s="227">
        <f t="shared" si="404"/>
        <v>-50</v>
      </c>
    </row>
    <row r="266" spans="5:87">
      <c r="E266" s="22">
        <v>50</v>
      </c>
      <c r="F266" s="25">
        <f t="shared" si="405"/>
        <v>0.25</v>
      </c>
      <c r="G266" s="25">
        <f t="shared" si="388"/>
        <v>0.2</v>
      </c>
      <c r="H266" s="25">
        <f t="shared" si="389"/>
        <v>4.5</v>
      </c>
      <c r="I266" s="25">
        <f t="shared" si="390"/>
        <v>1</v>
      </c>
      <c r="J266" s="212">
        <f t="shared" si="356"/>
        <v>14</v>
      </c>
      <c r="K266" s="131">
        <f t="shared" si="357"/>
        <v>9.90297670096415</v>
      </c>
      <c r="L266" s="131">
        <f t="shared" si="358"/>
        <v>26.2728</v>
      </c>
      <c r="M266" s="131"/>
      <c r="N266" s="25">
        <f t="shared" si="359"/>
        <v>0.467129502755702</v>
      </c>
      <c r="O266" s="27">
        <f t="shared" si="391"/>
        <v>3.61176038267022</v>
      </c>
      <c r="P266" s="27">
        <f t="shared" si="392"/>
        <v>0.80261341837116</v>
      </c>
      <c r="Q266" s="25">
        <f t="shared" si="362"/>
        <v>0.20065335459279</v>
      </c>
      <c r="R266" s="25">
        <f t="shared" si="393"/>
        <v>0.722352076534044</v>
      </c>
      <c r="S266" s="25">
        <f t="shared" si="394"/>
        <v>14.4470415306809</v>
      </c>
      <c r="T266" s="25">
        <f t="shared" si="395"/>
        <v>1.5</v>
      </c>
      <c r="U266" s="25">
        <f t="shared" si="366"/>
        <v>2.67857142857143</v>
      </c>
      <c r="V266" s="25">
        <f t="shared" si="367"/>
        <v>3.78674020270582</v>
      </c>
      <c r="W266" s="24">
        <f t="shared" si="368"/>
        <v>350</v>
      </c>
      <c r="X266" s="131">
        <f t="shared" si="369"/>
        <v>154.671585382257</v>
      </c>
      <c r="Z266" s="25">
        <f t="shared" si="370"/>
        <v>0.662878223066817</v>
      </c>
      <c r="AA266" s="5">
        <f t="shared" si="371"/>
        <v>1.67343174452354</v>
      </c>
      <c r="AB266" s="5">
        <f t="shared" si="396"/>
        <v>0.105938900642017</v>
      </c>
      <c r="AC266" s="5"/>
      <c r="AD266" s="5">
        <f t="shared" si="373"/>
        <v>0.757348040541164</v>
      </c>
      <c r="AE266" s="216">
        <f t="shared" si="397"/>
        <v>4032.52979845654</v>
      </c>
      <c r="AF266" s="217">
        <f t="shared" si="398"/>
        <v>0.0216985377351684</v>
      </c>
      <c r="AH266" s="5">
        <f t="shared" si="399"/>
        <v>1.12122382116278</v>
      </c>
      <c r="AI266" s="5">
        <f t="shared" si="400"/>
        <v>1.5</v>
      </c>
      <c r="AJ266" s="5">
        <f t="shared" si="401"/>
        <v>2.08888888888889</v>
      </c>
      <c r="AL266" s="216">
        <f t="shared" si="402"/>
        <v>250</v>
      </c>
      <c r="AM266" s="220">
        <f t="shared" si="403"/>
        <v>154.671585382257</v>
      </c>
      <c r="AO266" t="str">
        <f t="shared" si="381"/>
        <v/>
      </c>
      <c r="AP266" t="str">
        <f t="shared" si="382"/>
        <v/>
      </c>
      <c r="AR266" s="192">
        <f t="shared" si="406"/>
        <v>6.46531163127725</v>
      </c>
      <c r="AS266" s="192">
        <f t="shared" si="385"/>
        <v>2.67857142857143</v>
      </c>
      <c r="AT266" s="192">
        <f t="shared" si="386"/>
        <v>3.78674020270582</v>
      </c>
      <c r="AU266" s="5">
        <f t="shared" si="387"/>
        <v>0.414298889416761</v>
      </c>
      <c r="CI266" s="227">
        <f t="shared" si="404"/>
        <v>-50</v>
      </c>
    </row>
    <row r="267" spans="5:87">
      <c r="E267" s="22">
        <v>51</v>
      </c>
      <c r="F267" s="25">
        <f t="shared" si="405"/>
        <v>0.255</v>
      </c>
      <c r="G267" s="25">
        <f t="shared" si="388"/>
        <v>0.204</v>
      </c>
      <c r="H267" s="25">
        <f t="shared" si="389"/>
        <v>4.59</v>
      </c>
      <c r="I267" s="25">
        <f t="shared" si="390"/>
        <v>1.02</v>
      </c>
      <c r="J267" s="212">
        <f t="shared" si="356"/>
        <v>14</v>
      </c>
      <c r="K267" s="131">
        <f t="shared" si="357"/>
        <v>9.71403205976877</v>
      </c>
      <c r="L267" s="131">
        <f t="shared" si="358"/>
        <v>26.2728</v>
      </c>
      <c r="M267" s="131"/>
      <c r="N267" s="25">
        <f t="shared" si="359"/>
        <v>0.467129502755702</v>
      </c>
      <c r="O267" s="27">
        <f t="shared" si="391"/>
        <v>3.61176038267022</v>
      </c>
      <c r="P267" s="27">
        <f t="shared" si="392"/>
        <v>0.80261341837116</v>
      </c>
      <c r="Q267" s="25">
        <f t="shared" si="362"/>
        <v>0.20065335459279</v>
      </c>
      <c r="R267" s="25">
        <f t="shared" si="393"/>
        <v>0.722352076534044</v>
      </c>
      <c r="S267" s="25">
        <f t="shared" si="394"/>
        <v>14.1637662065499</v>
      </c>
      <c r="T267" s="25">
        <f t="shared" si="395"/>
        <v>1.5</v>
      </c>
      <c r="U267" s="25">
        <f t="shared" si="366"/>
        <v>2.67857142857143</v>
      </c>
      <c r="V267" s="25">
        <f t="shared" si="367"/>
        <v>3.86039491832732</v>
      </c>
      <c r="W267" s="24">
        <f t="shared" si="368"/>
        <v>350</v>
      </c>
      <c r="X267" s="131">
        <f t="shared" si="369"/>
        <v>152.929369406263</v>
      </c>
      <c r="Z267" s="25">
        <f t="shared" si="370"/>
        <v>0.655411583169698</v>
      </c>
      <c r="AA267" s="5">
        <f t="shared" si="371"/>
        <v>1.68676503005411</v>
      </c>
      <c r="AB267" s="5">
        <f t="shared" si="396"/>
        <v>0.105580182411369</v>
      </c>
      <c r="AC267" s="5"/>
      <c r="AD267" s="5">
        <f t="shared" si="373"/>
        <v>0.772078983665463</v>
      </c>
      <c r="AE267" s="216">
        <f t="shared" si="397"/>
        <v>4034.70263796271</v>
      </c>
      <c r="AF267" s="217">
        <f t="shared" si="398"/>
        <v>0.0221205892995044</v>
      </c>
      <c r="AH267" s="5">
        <f t="shared" si="399"/>
        <v>1.13238055188427</v>
      </c>
      <c r="AI267" s="5">
        <f t="shared" si="400"/>
        <v>1.5</v>
      </c>
      <c r="AJ267" s="5">
        <f t="shared" si="401"/>
        <v>2.08888888888889</v>
      </c>
      <c r="AL267" s="216">
        <f t="shared" si="402"/>
        <v>255</v>
      </c>
      <c r="AM267" s="220">
        <f t="shared" si="403"/>
        <v>152.929369406263</v>
      </c>
      <c r="AO267" t="str">
        <f t="shared" si="381"/>
        <v/>
      </c>
      <c r="AP267" t="str">
        <f t="shared" si="382"/>
        <v/>
      </c>
      <c r="AR267" s="192">
        <f t="shared" si="406"/>
        <v>6.53896634689875</v>
      </c>
      <c r="AS267" s="192">
        <f t="shared" si="385"/>
        <v>2.67857142857143</v>
      </c>
      <c r="AT267" s="192">
        <f t="shared" si="386"/>
        <v>3.86039491832732</v>
      </c>
      <c r="AU267" s="5">
        <f t="shared" si="387"/>
        <v>0.409632239481061</v>
      </c>
      <c r="CI267" s="227">
        <f t="shared" si="404"/>
        <v>-50</v>
      </c>
    </row>
    <row r="268" spans="5:87">
      <c r="E268" s="22">
        <v>52</v>
      </c>
      <c r="F268" s="25">
        <f t="shared" si="405"/>
        <v>0.26</v>
      </c>
      <c r="G268" s="25">
        <f t="shared" si="388"/>
        <v>0.208</v>
      </c>
      <c r="H268" s="25">
        <f t="shared" si="389"/>
        <v>4.68</v>
      </c>
      <c r="I268" s="25">
        <f t="shared" si="390"/>
        <v>1.04</v>
      </c>
      <c r="J268" s="212">
        <f t="shared" si="356"/>
        <v>14</v>
      </c>
      <c r="K268" s="131">
        <f t="shared" si="357"/>
        <v>9.53235452015784</v>
      </c>
      <c r="L268" s="131">
        <f t="shared" si="358"/>
        <v>26.2728</v>
      </c>
      <c r="M268" s="131"/>
      <c r="N268" s="25">
        <f t="shared" si="359"/>
        <v>0.467129502755702</v>
      </c>
      <c r="O268" s="27">
        <f t="shared" si="391"/>
        <v>3.61176038267022</v>
      </c>
      <c r="P268" s="27">
        <f t="shared" si="392"/>
        <v>0.80261341837116</v>
      </c>
      <c r="Q268" s="25">
        <f t="shared" si="362"/>
        <v>0.20065335459279</v>
      </c>
      <c r="R268" s="25">
        <f t="shared" si="393"/>
        <v>0.722352076534044</v>
      </c>
      <c r="S268" s="25">
        <f t="shared" si="394"/>
        <v>13.8913860871932</v>
      </c>
      <c r="T268" s="25">
        <f t="shared" si="395"/>
        <v>1.5</v>
      </c>
      <c r="U268" s="25">
        <f t="shared" si="366"/>
        <v>2.67857142857143</v>
      </c>
      <c r="V268" s="25">
        <f t="shared" si="367"/>
        <v>3.93397034496563</v>
      </c>
      <c r="W268" s="24">
        <f t="shared" si="368"/>
        <v>350</v>
      </c>
      <c r="X268" s="131">
        <f t="shared" si="369"/>
        <v>151.227778099177</v>
      </c>
      <c r="Z268" s="25">
        <f t="shared" si="370"/>
        <v>0.648119048996473</v>
      </c>
      <c r="AA268" s="5">
        <f t="shared" si="371"/>
        <v>1.6997874125063</v>
      </c>
      <c r="AB268" s="5">
        <f t="shared" si="396"/>
        <v>0.105211473206357</v>
      </c>
      <c r="AC268" s="5"/>
      <c r="AD268" s="5">
        <f t="shared" si="373"/>
        <v>0.786794068993126</v>
      </c>
      <c r="AE268" s="216">
        <f t="shared" si="397"/>
        <v>4036.87547746888</v>
      </c>
      <c r="AF268" s="217">
        <f t="shared" si="398"/>
        <v>0.0225421865271546</v>
      </c>
      <c r="AH268" s="5">
        <f t="shared" si="399"/>
        <v>1.14342842864281</v>
      </c>
      <c r="AI268" s="5">
        <f t="shared" si="400"/>
        <v>1.5</v>
      </c>
      <c r="AJ268" s="5">
        <f t="shared" si="401"/>
        <v>2.08888888888889</v>
      </c>
      <c r="AL268" s="216">
        <f t="shared" si="402"/>
        <v>260</v>
      </c>
      <c r="AM268" s="220">
        <f t="shared" si="403"/>
        <v>151.227778099177</v>
      </c>
      <c r="AO268" t="str">
        <f t="shared" si="381"/>
        <v/>
      </c>
      <c r="AP268" t="str">
        <f t="shared" si="382"/>
        <v/>
      </c>
      <c r="AR268" s="192">
        <f t="shared" si="406"/>
        <v>6.61254177353706</v>
      </c>
      <c r="AS268" s="192">
        <f t="shared" si="385"/>
        <v>2.67857142857143</v>
      </c>
      <c r="AT268" s="192">
        <f t="shared" si="386"/>
        <v>3.93397034496563</v>
      </c>
      <c r="AU268" s="5">
        <f t="shared" si="387"/>
        <v>0.405074405622796</v>
      </c>
      <c r="CI268" s="227">
        <f t="shared" si="404"/>
        <v>-50</v>
      </c>
    </row>
    <row r="269" spans="5:87">
      <c r="E269" s="22">
        <v>53</v>
      </c>
      <c r="F269" s="25">
        <f t="shared" si="405"/>
        <v>0.265</v>
      </c>
      <c r="G269" s="25">
        <f t="shared" si="388"/>
        <v>0.212</v>
      </c>
      <c r="H269" s="25">
        <f t="shared" si="389"/>
        <v>4.77</v>
      </c>
      <c r="I269" s="25">
        <f t="shared" si="390"/>
        <v>1.06</v>
      </c>
      <c r="J269" s="212">
        <f t="shared" si="356"/>
        <v>14</v>
      </c>
      <c r="K269" s="131">
        <f t="shared" si="357"/>
        <v>9.35753273675863</v>
      </c>
      <c r="L269" s="131">
        <f t="shared" si="358"/>
        <v>26.2728</v>
      </c>
      <c r="M269" s="131"/>
      <c r="N269" s="25">
        <f t="shared" si="359"/>
        <v>0.467129502755702</v>
      </c>
      <c r="O269" s="27">
        <f t="shared" si="391"/>
        <v>3.61176038267022</v>
      </c>
      <c r="P269" s="27">
        <f t="shared" si="392"/>
        <v>0.80261341837116</v>
      </c>
      <c r="Q269" s="25">
        <f t="shared" si="362"/>
        <v>0.20065335459279</v>
      </c>
      <c r="R269" s="25">
        <f t="shared" si="393"/>
        <v>0.722352076534044</v>
      </c>
      <c r="S269" s="25">
        <f t="shared" si="394"/>
        <v>13.6292844629065</v>
      </c>
      <c r="T269" s="25">
        <f t="shared" si="395"/>
        <v>1.5</v>
      </c>
      <c r="U269" s="25">
        <f t="shared" si="366"/>
        <v>2.67857142857143</v>
      </c>
      <c r="V269" s="25">
        <f t="shared" si="367"/>
        <v>4.00746661058326</v>
      </c>
      <c r="W269" s="24">
        <f t="shared" si="368"/>
        <v>350</v>
      </c>
      <c r="X269" s="131">
        <f t="shared" si="369"/>
        <v>149.565406918688</v>
      </c>
      <c r="Z269" s="25">
        <f t="shared" si="370"/>
        <v>0.640994601080093</v>
      </c>
      <c r="AA269" s="5">
        <f t="shared" si="371"/>
        <v>1.71250964092841</v>
      </c>
      <c r="AB269" s="5">
        <f t="shared" si="396"/>
        <v>0.104833745753843</v>
      </c>
      <c r="AC269" s="5"/>
      <c r="AD269" s="5">
        <f t="shared" si="373"/>
        <v>0.801493322116652</v>
      </c>
      <c r="AE269" s="216">
        <f t="shared" si="397"/>
        <v>4039.04831697505</v>
      </c>
      <c r="AF269" s="217">
        <f t="shared" si="398"/>
        <v>0.0229633301513617</v>
      </c>
      <c r="AH269" s="5">
        <f t="shared" si="399"/>
        <v>1.15437057679561</v>
      </c>
      <c r="AI269" s="5">
        <f t="shared" si="400"/>
        <v>1.5</v>
      </c>
      <c r="AJ269" s="5">
        <f t="shared" si="401"/>
        <v>2.08888888888889</v>
      </c>
      <c r="AL269" s="216">
        <f t="shared" si="402"/>
        <v>265</v>
      </c>
      <c r="AM269" s="220">
        <f t="shared" si="403"/>
        <v>149.565406918688</v>
      </c>
      <c r="AO269" t="str">
        <f t="shared" si="381"/>
        <v/>
      </c>
      <c r="AP269" t="str">
        <f t="shared" si="382"/>
        <v/>
      </c>
      <c r="AR269" s="192">
        <f t="shared" si="406"/>
        <v>6.68603803915469</v>
      </c>
      <c r="AS269" s="192">
        <f t="shared" si="385"/>
        <v>2.67857142857143</v>
      </c>
      <c r="AT269" s="192">
        <f t="shared" si="386"/>
        <v>4.00746661058326</v>
      </c>
      <c r="AU269" s="5">
        <f t="shared" si="387"/>
        <v>0.400621625675058</v>
      </c>
      <c r="CI269" s="227">
        <f t="shared" si="404"/>
        <v>-50</v>
      </c>
    </row>
    <row r="270" spans="5:87">
      <c r="E270" s="22">
        <v>54</v>
      </c>
      <c r="F270" s="25">
        <f t="shared" si="405"/>
        <v>0.27</v>
      </c>
      <c r="G270" s="25">
        <f t="shared" si="388"/>
        <v>0.216</v>
      </c>
      <c r="H270" s="25">
        <f t="shared" si="389"/>
        <v>4.86</v>
      </c>
      <c r="I270" s="25">
        <f t="shared" si="390"/>
        <v>1.08</v>
      </c>
      <c r="J270" s="212">
        <f t="shared" si="356"/>
        <v>14</v>
      </c>
      <c r="K270" s="131">
        <f t="shared" si="357"/>
        <v>9.18918583422606</v>
      </c>
      <c r="L270" s="131">
        <f t="shared" si="358"/>
        <v>26.2728</v>
      </c>
      <c r="M270" s="131"/>
      <c r="N270" s="25">
        <f t="shared" si="359"/>
        <v>0.467129502755702</v>
      </c>
      <c r="O270" s="27">
        <f t="shared" si="391"/>
        <v>3.61176038267022</v>
      </c>
      <c r="P270" s="27">
        <f t="shared" si="392"/>
        <v>0.80261341837116</v>
      </c>
      <c r="Q270" s="25">
        <f t="shared" si="362"/>
        <v>0.20065335459279</v>
      </c>
      <c r="R270" s="25">
        <f t="shared" si="393"/>
        <v>0.722352076534044</v>
      </c>
      <c r="S270" s="25">
        <f t="shared" si="394"/>
        <v>13.376890306186</v>
      </c>
      <c r="T270" s="25">
        <f t="shared" si="395"/>
        <v>1.5</v>
      </c>
      <c r="U270" s="25">
        <f t="shared" si="366"/>
        <v>2.67857142857143</v>
      </c>
      <c r="V270" s="25">
        <f t="shared" si="367"/>
        <v>4.0808838428675</v>
      </c>
      <c r="W270" s="24">
        <f t="shared" si="368"/>
        <v>350</v>
      </c>
      <c r="X270" s="131">
        <f t="shared" si="369"/>
        <v>147.940915331647</v>
      </c>
      <c r="Z270" s="25">
        <f t="shared" si="370"/>
        <v>0.634032494278487</v>
      </c>
      <c r="AA270" s="5">
        <f t="shared" si="371"/>
        <v>1.7249419745027</v>
      </c>
      <c r="AB270" s="5">
        <f t="shared" si="396"/>
        <v>0.104447900188313</v>
      </c>
      <c r="AC270" s="5"/>
      <c r="AD270" s="5">
        <f t="shared" si="373"/>
        <v>0.816176768573499</v>
      </c>
      <c r="AE270" s="216">
        <f t="shared" si="397"/>
        <v>4041.22115648123</v>
      </c>
      <c r="AF270" s="217">
        <f t="shared" si="398"/>
        <v>0.0233840209037911</v>
      </c>
      <c r="AH270" s="5">
        <f t="shared" si="399"/>
        <v>1.16520997494627</v>
      </c>
      <c r="AI270" s="5">
        <f t="shared" si="400"/>
        <v>1.5</v>
      </c>
      <c r="AJ270" s="5">
        <f t="shared" si="401"/>
        <v>2.08888888888889</v>
      </c>
      <c r="AL270" s="216">
        <f t="shared" si="402"/>
        <v>270</v>
      </c>
      <c r="AM270" s="220">
        <f t="shared" si="403"/>
        <v>147.940915331647</v>
      </c>
      <c r="AO270" t="str">
        <f t="shared" si="381"/>
        <v/>
      </c>
      <c r="AP270" t="str">
        <f t="shared" si="382"/>
        <v/>
      </c>
      <c r="AR270" s="192">
        <f t="shared" si="406"/>
        <v>6.75945527143892</v>
      </c>
      <c r="AS270" s="192">
        <f t="shared" si="385"/>
        <v>2.67857142857143</v>
      </c>
      <c r="AT270" s="192">
        <f t="shared" si="386"/>
        <v>4.0808838428675</v>
      </c>
      <c r="AU270" s="5">
        <f t="shared" si="387"/>
        <v>0.396270308924054</v>
      </c>
      <c r="CI270" s="227">
        <f t="shared" si="404"/>
        <v>-50</v>
      </c>
    </row>
    <row r="271" spans="5:87">
      <c r="E271" s="22">
        <v>55</v>
      </c>
      <c r="F271" s="25">
        <f t="shared" si="405"/>
        <v>0.275</v>
      </c>
      <c r="G271" s="25">
        <f t="shared" si="388"/>
        <v>0.22</v>
      </c>
      <c r="H271" s="25">
        <f t="shared" si="389"/>
        <v>4.95</v>
      </c>
      <c r="I271" s="25">
        <f t="shared" si="390"/>
        <v>1.1</v>
      </c>
      <c r="J271" s="212">
        <f t="shared" si="356"/>
        <v>14</v>
      </c>
      <c r="K271" s="131">
        <f t="shared" si="357"/>
        <v>9.02696063724014</v>
      </c>
      <c r="L271" s="131">
        <f t="shared" si="358"/>
        <v>26.2728</v>
      </c>
      <c r="M271" s="131"/>
      <c r="N271" s="25">
        <f t="shared" si="359"/>
        <v>0.467129502755702</v>
      </c>
      <c r="O271" s="27">
        <f t="shared" si="391"/>
        <v>3.61176038267022</v>
      </c>
      <c r="P271" s="27">
        <f t="shared" si="392"/>
        <v>0.80261341837116</v>
      </c>
      <c r="Q271" s="25">
        <f t="shared" si="362"/>
        <v>0.20065335459279</v>
      </c>
      <c r="R271" s="25">
        <f t="shared" si="393"/>
        <v>0.722352076534044</v>
      </c>
      <c r="S271" s="25">
        <f t="shared" si="394"/>
        <v>13.1336741188008</v>
      </c>
      <c r="T271" s="25">
        <f t="shared" si="395"/>
        <v>1.5</v>
      </c>
      <c r="U271" s="25">
        <f t="shared" si="366"/>
        <v>2.67857142857143</v>
      </c>
      <c r="V271" s="25">
        <f t="shared" si="367"/>
        <v>4.15422216923116</v>
      </c>
      <c r="W271" s="24">
        <f t="shared" si="368"/>
        <v>350</v>
      </c>
      <c r="X271" s="131">
        <f t="shared" si="369"/>
        <v>146.353023208779</v>
      </c>
      <c r="Z271" s="25">
        <f t="shared" si="370"/>
        <v>0.62722724232334</v>
      </c>
      <c r="AA271" s="5">
        <f t="shared" si="371"/>
        <v>1.73709421013689</v>
      </c>
      <c r="AB271" s="5">
        <f t="shared" si="396"/>
        <v>0.104054769714529</v>
      </c>
      <c r="AC271" s="5"/>
      <c r="AD271" s="5">
        <f t="shared" si="373"/>
        <v>0.830844433846231</v>
      </c>
      <c r="AE271" s="216">
        <f t="shared" si="397"/>
        <v>4043.3939959874</v>
      </c>
      <c r="AF271" s="217">
        <f t="shared" si="398"/>
        <v>0.0238042595145358</v>
      </c>
      <c r="AH271" s="5">
        <f t="shared" si="399"/>
        <v>1.17594946441467</v>
      </c>
      <c r="AI271" s="5">
        <f t="shared" si="400"/>
        <v>1.5</v>
      </c>
      <c r="AJ271" s="5">
        <f t="shared" si="401"/>
        <v>2.08888888888889</v>
      </c>
      <c r="AL271" s="216">
        <f t="shared" si="402"/>
        <v>275</v>
      </c>
      <c r="AM271" s="220">
        <f t="shared" si="403"/>
        <v>146.353023208779</v>
      </c>
      <c r="AO271" t="str">
        <f t="shared" si="381"/>
        <v/>
      </c>
      <c r="AP271" t="str">
        <f t="shared" si="382"/>
        <v/>
      </c>
      <c r="AR271" s="192">
        <f t="shared" si="406"/>
        <v>6.83279359780259</v>
      </c>
      <c r="AS271" s="192">
        <f t="shared" si="385"/>
        <v>2.67857142857143</v>
      </c>
      <c r="AT271" s="192">
        <f t="shared" si="386"/>
        <v>4.15422216923116</v>
      </c>
      <c r="AU271" s="5">
        <f t="shared" si="387"/>
        <v>0.392017026452087</v>
      </c>
      <c r="CI271" s="227">
        <f t="shared" si="404"/>
        <v>-50</v>
      </c>
    </row>
    <row r="272" spans="5:87">
      <c r="E272" s="22">
        <v>56</v>
      </c>
      <c r="F272" s="25">
        <f t="shared" si="405"/>
        <v>0.28</v>
      </c>
      <c r="G272" s="25">
        <f t="shared" si="388"/>
        <v>0.224</v>
      </c>
      <c r="H272" s="25">
        <f t="shared" si="389"/>
        <v>5.04</v>
      </c>
      <c r="I272" s="25">
        <f t="shared" si="390"/>
        <v>1.12</v>
      </c>
      <c r="J272" s="212">
        <f t="shared" si="356"/>
        <v>14</v>
      </c>
      <c r="K272" s="131">
        <f t="shared" si="357"/>
        <v>8.87052919728942</v>
      </c>
      <c r="L272" s="131">
        <f t="shared" si="358"/>
        <v>26.2728</v>
      </c>
      <c r="M272" s="131"/>
      <c r="N272" s="25">
        <f t="shared" si="359"/>
        <v>0.467129502755702</v>
      </c>
      <c r="O272" s="27">
        <f t="shared" si="391"/>
        <v>3.61176038267022</v>
      </c>
      <c r="P272" s="27">
        <f t="shared" si="392"/>
        <v>0.80261341837116</v>
      </c>
      <c r="Q272" s="25">
        <f t="shared" si="362"/>
        <v>0.20065335459279</v>
      </c>
      <c r="R272" s="25">
        <f t="shared" si="393"/>
        <v>0.722352076534044</v>
      </c>
      <c r="S272" s="25">
        <f t="shared" si="394"/>
        <v>12.8991442238222</v>
      </c>
      <c r="T272" s="25">
        <f t="shared" si="395"/>
        <v>1.5</v>
      </c>
      <c r="U272" s="25">
        <f t="shared" si="366"/>
        <v>2.67857142857143</v>
      </c>
      <c r="V272" s="25">
        <f t="shared" si="367"/>
        <v>4.22748171681335</v>
      </c>
      <c r="W272" s="24">
        <f t="shared" si="368"/>
        <v>350</v>
      </c>
      <c r="X272" s="131">
        <f t="shared" si="369"/>
        <v>144.80050746037</v>
      </c>
      <c r="Z272" s="25">
        <f t="shared" si="370"/>
        <v>0.620573603401586</v>
      </c>
      <c r="AA272" s="5">
        <f t="shared" si="371"/>
        <v>1.74897570821145</v>
      </c>
      <c r="AB272" s="5">
        <f t="shared" si="396"/>
        <v>0.103655125787695</v>
      </c>
      <c r="AC272" s="5"/>
      <c r="AD272" s="5">
        <f t="shared" si="373"/>
        <v>0.84549634336267</v>
      </c>
      <c r="AE272" s="216">
        <f t="shared" si="397"/>
        <v>4045.56683549357</v>
      </c>
      <c r="AF272" s="217">
        <f t="shared" si="398"/>
        <v>0.02422404671212</v>
      </c>
      <c r="AH272" s="5">
        <f t="shared" si="399"/>
        <v>1.18659175793531</v>
      </c>
      <c r="AI272" s="5">
        <f t="shared" si="400"/>
        <v>1.5</v>
      </c>
      <c r="AJ272" s="5">
        <f t="shared" si="401"/>
        <v>2.08888888888889</v>
      </c>
      <c r="AL272" s="216">
        <f t="shared" si="402"/>
        <v>280</v>
      </c>
      <c r="AM272" s="220">
        <f t="shared" si="403"/>
        <v>144.80050746037</v>
      </c>
      <c r="AO272" t="str">
        <f t="shared" si="381"/>
        <v/>
      </c>
      <c r="AP272" t="str">
        <f t="shared" si="382"/>
        <v/>
      </c>
      <c r="AR272" s="192">
        <f t="shared" si="406"/>
        <v>6.90605314538478</v>
      </c>
      <c r="AS272" s="192">
        <f t="shared" si="385"/>
        <v>2.67857142857143</v>
      </c>
      <c r="AT272" s="192">
        <f t="shared" si="386"/>
        <v>4.22748171681335</v>
      </c>
      <c r="AU272" s="5">
        <f t="shared" si="387"/>
        <v>0.387858502125991</v>
      </c>
      <c r="CI272" s="227">
        <f t="shared" si="404"/>
        <v>-50</v>
      </c>
    </row>
    <row r="273" spans="5:87">
      <c r="E273" s="22">
        <v>57</v>
      </c>
      <c r="F273" s="25">
        <f t="shared" si="405"/>
        <v>0.285</v>
      </c>
      <c r="G273" s="25">
        <f t="shared" si="388"/>
        <v>0.228</v>
      </c>
      <c r="H273" s="25">
        <f t="shared" si="389"/>
        <v>5.13</v>
      </c>
      <c r="I273" s="25">
        <f t="shared" si="390"/>
        <v>1.14</v>
      </c>
      <c r="J273" s="212">
        <f t="shared" si="356"/>
        <v>14</v>
      </c>
      <c r="K273" s="131">
        <f t="shared" si="357"/>
        <v>8.71958657979311</v>
      </c>
      <c r="L273" s="131">
        <f t="shared" si="358"/>
        <v>26.2728</v>
      </c>
      <c r="M273" s="131"/>
      <c r="N273" s="25">
        <f t="shared" si="359"/>
        <v>0.467129502755702</v>
      </c>
      <c r="O273" s="27">
        <f t="shared" si="391"/>
        <v>3.61176038267022</v>
      </c>
      <c r="P273" s="27">
        <f t="shared" si="392"/>
        <v>0.80261341837116</v>
      </c>
      <c r="Q273" s="25">
        <f t="shared" si="362"/>
        <v>0.20065335459279</v>
      </c>
      <c r="R273" s="25">
        <f t="shared" si="393"/>
        <v>0.722352076534044</v>
      </c>
      <c r="S273" s="25">
        <f t="shared" si="394"/>
        <v>12.6728434479657</v>
      </c>
      <c r="T273" s="25">
        <f t="shared" si="395"/>
        <v>1.5</v>
      </c>
      <c r="U273" s="25">
        <f t="shared" si="366"/>
        <v>2.67857142857143</v>
      </c>
      <c r="V273" s="25">
        <f t="shared" si="367"/>
        <v>4.30066261248016</v>
      </c>
      <c r="W273" s="24">
        <f t="shared" si="368"/>
        <v>350</v>
      </c>
      <c r="X273" s="131">
        <f t="shared" si="369"/>
        <v>143.282198894325</v>
      </c>
      <c r="Z273" s="25">
        <f t="shared" si="370"/>
        <v>0.614066566689966</v>
      </c>
      <c r="AA273" s="5">
        <f t="shared" si="371"/>
        <v>1.76059541662506</v>
      </c>
      <c r="AB273" s="5">
        <f t="shared" si="396"/>
        <v>0.103249682856261</v>
      </c>
      <c r="AC273" s="5"/>
      <c r="AD273" s="5">
        <f t="shared" si="373"/>
        <v>0.860132522496033</v>
      </c>
      <c r="AE273" s="216">
        <f t="shared" si="397"/>
        <v>4047.73967499974</v>
      </c>
      <c r="AF273" s="217">
        <f t="shared" si="398"/>
        <v>0.0246433832235039</v>
      </c>
      <c r="AH273" s="5">
        <f t="shared" si="399"/>
        <v>1.19713944765965</v>
      </c>
      <c r="AI273" s="5">
        <f t="shared" si="400"/>
        <v>1.5</v>
      </c>
      <c r="AJ273" s="5">
        <f t="shared" si="401"/>
        <v>2.08888888888889</v>
      </c>
      <c r="AL273" s="216">
        <f t="shared" si="402"/>
        <v>285</v>
      </c>
      <c r="AM273" s="220">
        <f t="shared" si="403"/>
        <v>143.282198894325</v>
      </c>
      <c r="AO273" t="str">
        <f t="shared" si="381"/>
        <v/>
      </c>
      <c r="AP273" t="str">
        <f t="shared" si="382"/>
        <v/>
      </c>
      <c r="AR273" s="192">
        <f t="shared" si="406"/>
        <v>6.97923404105159</v>
      </c>
      <c r="AS273" s="192">
        <f t="shared" si="385"/>
        <v>2.67857142857143</v>
      </c>
      <c r="AT273" s="192">
        <f t="shared" si="386"/>
        <v>4.30066261248016</v>
      </c>
      <c r="AU273" s="5">
        <f t="shared" si="387"/>
        <v>0.383791604181229</v>
      </c>
      <c r="CI273" s="227">
        <f t="shared" si="404"/>
        <v>-50</v>
      </c>
    </row>
    <row r="274" spans="5:87">
      <c r="E274" s="22">
        <v>58</v>
      </c>
      <c r="F274" s="25">
        <f t="shared" si="405"/>
        <v>0.29</v>
      </c>
      <c r="G274" s="25">
        <f t="shared" si="388"/>
        <v>0.232</v>
      </c>
      <c r="H274" s="25">
        <f t="shared" si="389"/>
        <v>5.22</v>
      </c>
      <c r="I274" s="25">
        <f t="shared" si="390"/>
        <v>1.16</v>
      </c>
      <c r="J274" s="212">
        <f t="shared" si="356"/>
        <v>14</v>
      </c>
      <c r="K274" s="131">
        <f t="shared" si="357"/>
        <v>8.57384888014151</v>
      </c>
      <c r="L274" s="131">
        <f t="shared" si="358"/>
        <v>26.2728</v>
      </c>
      <c r="M274" s="131"/>
      <c r="N274" s="25">
        <f t="shared" si="359"/>
        <v>0.467129502755702</v>
      </c>
      <c r="O274" s="27">
        <f t="shared" si="391"/>
        <v>3.61176038267022</v>
      </c>
      <c r="P274" s="27">
        <f t="shared" si="392"/>
        <v>0.80261341837116</v>
      </c>
      <c r="Q274" s="25">
        <f t="shared" si="362"/>
        <v>0.20065335459279</v>
      </c>
      <c r="R274" s="25">
        <f t="shared" si="393"/>
        <v>0.722352076534044</v>
      </c>
      <c r="S274" s="25">
        <f t="shared" si="394"/>
        <v>12.4543461471387</v>
      </c>
      <c r="T274" s="25">
        <f t="shared" si="395"/>
        <v>1.5</v>
      </c>
      <c r="U274" s="25">
        <f t="shared" si="366"/>
        <v>2.67857142857143</v>
      </c>
      <c r="V274" s="25">
        <f t="shared" si="367"/>
        <v>4.37376498282543</v>
      </c>
      <c r="W274" s="24">
        <f t="shared" si="368"/>
        <v>350</v>
      </c>
      <c r="X274" s="131">
        <f t="shared" si="369"/>
        <v>141.796979279655</v>
      </c>
      <c r="Z274" s="25">
        <f t="shared" si="370"/>
        <v>0.607701339769952</v>
      </c>
      <c r="AA274" s="5">
        <f t="shared" si="371"/>
        <v>1.77196189326794</v>
      </c>
      <c r="AB274" s="5">
        <f t="shared" si="396"/>
        <v>0.102839102707903</v>
      </c>
      <c r="AC274" s="5"/>
      <c r="AD274" s="5">
        <f t="shared" si="373"/>
        <v>0.874752996565087</v>
      </c>
      <c r="AE274" s="216">
        <f t="shared" si="397"/>
        <v>4049.91251450592</v>
      </c>
      <c r="AF274" s="217">
        <f t="shared" si="398"/>
        <v>0.0250622697740874</v>
      </c>
      <c r="AH274" s="5">
        <f t="shared" si="399"/>
        <v>1.20759501252933</v>
      </c>
      <c r="AI274" s="5">
        <f t="shared" si="400"/>
        <v>1.5</v>
      </c>
      <c r="AJ274" s="5">
        <f t="shared" si="401"/>
        <v>2.08888888888889</v>
      </c>
      <c r="AL274" s="216">
        <f t="shared" si="402"/>
        <v>290</v>
      </c>
      <c r="AM274" s="220">
        <f t="shared" si="403"/>
        <v>141.796979279655</v>
      </c>
      <c r="AO274" t="str">
        <f t="shared" si="381"/>
        <v/>
      </c>
      <c r="AP274" t="str">
        <f t="shared" si="382"/>
        <v/>
      </c>
      <c r="AR274" s="192">
        <f t="shared" si="406"/>
        <v>7.05233641139686</v>
      </c>
      <c r="AS274" s="192">
        <f t="shared" si="385"/>
        <v>2.67857142857143</v>
      </c>
      <c r="AT274" s="192">
        <f t="shared" si="386"/>
        <v>4.37376498282543</v>
      </c>
      <c r="AU274" s="5">
        <f t="shared" si="387"/>
        <v>0.37981333735622</v>
      </c>
      <c r="CI274" s="227">
        <f t="shared" si="404"/>
        <v>-50</v>
      </c>
    </row>
    <row r="275" spans="5:87">
      <c r="E275" s="22">
        <v>59</v>
      </c>
      <c r="F275" s="25">
        <f t="shared" si="405"/>
        <v>0.295</v>
      </c>
      <c r="G275" s="25">
        <f t="shared" si="388"/>
        <v>0.236</v>
      </c>
      <c r="H275" s="25">
        <f t="shared" si="389"/>
        <v>5.31</v>
      </c>
      <c r="I275" s="25">
        <f t="shared" si="390"/>
        <v>1.18</v>
      </c>
      <c r="J275" s="212">
        <f t="shared" si="356"/>
        <v>14</v>
      </c>
      <c r="K275" s="131">
        <f t="shared" si="357"/>
        <v>8.43305144149504</v>
      </c>
      <c r="L275" s="131">
        <f t="shared" si="358"/>
        <v>26.2728</v>
      </c>
      <c r="M275" s="131"/>
      <c r="N275" s="25">
        <f t="shared" si="359"/>
        <v>0.467129502755702</v>
      </c>
      <c r="O275" s="27">
        <f t="shared" si="391"/>
        <v>3.61176038267022</v>
      </c>
      <c r="P275" s="27">
        <f t="shared" si="392"/>
        <v>0.80261341837116</v>
      </c>
      <c r="Q275" s="25">
        <f t="shared" si="362"/>
        <v>0.20065335459279</v>
      </c>
      <c r="R275" s="25">
        <f t="shared" si="393"/>
        <v>0.722352076534044</v>
      </c>
      <c r="S275" s="25">
        <f t="shared" si="394"/>
        <v>12.2432555344753</v>
      </c>
      <c r="T275" s="25">
        <f t="shared" si="395"/>
        <v>1.5</v>
      </c>
      <c r="U275" s="25">
        <f t="shared" si="366"/>
        <v>2.67857142857143</v>
      </c>
      <c r="V275" s="25">
        <f t="shared" si="367"/>
        <v>4.44678895417148</v>
      </c>
      <c r="W275" s="24">
        <f t="shared" si="368"/>
        <v>350</v>
      </c>
      <c r="X275" s="131">
        <f t="shared" si="369"/>
        <v>140.343778599876</v>
      </c>
      <c r="Z275" s="25">
        <f t="shared" si="370"/>
        <v>0.601473336856613</v>
      </c>
      <c r="AA275" s="5">
        <f t="shared" si="371"/>
        <v>1.78308332704176</v>
      </c>
      <c r="AB275" s="5">
        <f t="shared" si="396"/>
        <v>0.102423998455085</v>
      </c>
      <c r="AC275" s="5"/>
      <c r="AD275" s="5">
        <f t="shared" si="373"/>
        <v>0.889357790834295</v>
      </c>
      <c r="AE275" s="216">
        <f t="shared" si="397"/>
        <v>4052.08535401209</v>
      </c>
      <c r="AF275" s="217">
        <f t="shared" si="398"/>
        <v>0.0254807070877145</v>
      </c>
      <c r="AH275" s="5">
        <f t="shared" si="399"/>
        <v>1.2179608250796</v>
      </c>
      <c r="AI275" s="5">
        <f t="shared" si="400"/>
        <v>1.5</v>
      </c>
      <c r="AJ275" s="5">
        <f t="shared" si="401"/>
        <v>2.08888888888889</v>
      </c>
      <c r="AL275" s="216">
        <f t="shared" si="402"/>
        <v>295</v>
      </c>
      <c r="AM275" s="220">
        <f t="shared" si="403"/>
        <v>140.343778599876</v>
      </c>
      <c r="AO275" t="str">
        <f t="shared" si="381"/>
        <v/>
      </c>
      <c r="AP275" t="str">
        <f t="shared" si="382"/>
        <v/>
      </c>
      <c r="AR275" s="192">
        <f t="shared" si="406"/>
        <v>7.12536038274291</v>
      </c>
      <c r="AS275" s="192">
        <f t="shared" si="385"/>
        <v>2.67857142857143</v>
      </c>
      <c r="AT275" s="192">
        <f t="shared" si="386"/>
        <v>4.44678895417148</v>
      </c>
      <c r="AU275" s="5">
        <f t="shared" si="387"/>
        <v>0.375920835535383</v>
      </c>
      <c r="CI275" s="227">
        <f t="shared" si="404"/>
        <v>-50</v>
      </c>
    </row>
    <row r="276" spans="5:87">
      <c r="E276" s="22">
        <v>60</v>
      </c>
      <c r="F276" s="25">
        <f t="shared" si="405"/>
        <v>0.3</v>
      </c>
      <c r="G276" s="25">
        <f t="shared" si="388"/>
        <v>0.24</v>
      </c>
      <c r="H276" s="25">
        <f t="shared" si="389"/>
        <v>5.4</v>
      </c>
      <c r="I276" s="25">
        <f t="shared" si="390"/>
        <v>1.2</v>
      </c>
      <c r="J276" s="212">
        <f t="shared" si="356"/>
        <v>14</v>
      </c>
      <c r="K276" s="131">
        <f t="shared" si="357"/>
        <v>8.29694725080346</v>
      </c>
      <c r="L276" s="131">
        <f t="shared" si="358"/>
        <v>26.2728</v>
      </c>
      <c r="M276" s="131"/>
      <c r="N276" s="25">
        <f t="shared" si="359"/>
        <v>0.467129502755702</v>
      </c>
      <c r="O276" s="27">
        <f t="shared" si="391"/>
        <v>3.61176038267022</v>
      </c>
      <c r="P276" s="27">
        <f t="shared" si="392"/>
        <v>0.80261341837116</v>
      </c>
      <c r="Q276" s="25">
        <f t="shared" si="362"/>
        <v>0.20065335459279</v>
      </c>
      <c r="R276" s="25">
        <f t="shared" si="393"/>
        <v>0.722352076534044</v>
      </c>
      <c r="S276" s="25">
        <f t="shared" si="394"/>
        <v>12.0392012755674</v>
      </c>
      <c r="T276" s="25">
        <f t="shared" si="395"/>
        <v>1.5</v>
      </c>
      <c r="U276" s="25">
        <f t="shared" si="366"/>
        <v>2.67857142857143</v>
      </c>
      <c r="V276" s="25">
        <f t="shared" si="367"/>
        <v>4.51973465256978</v>
      </c>
      <c r="W276" s="24">
        <f t="shared" si="368"/>
        <v>350</v>
      </c>
      <c r="X276" s="131">
        <f t="shared" si="369"/>
        <v>138.921572482156</v>
      </c>
      <c r="Z276" s="25">
        <f t="shared" si="370"/>
        <v>0.595378167780667</v>
      </c>
      <c r="AA276" s="5">
        <f t="shared" si="371"/>
        <v>1.79396755753452</v>
      </c>
      <c r="AB276" s="5">
        <f t="shared" si="396"/>
        <v>0.10200493819297</v>
      </c>
      <c r="AC276" s="5"/>
      <c r="AD276" s="5">
        <f t="shared" si="373"/>
        <v>0.903946930513957</v>
      </c>
      <c r="AE276" s="216">
        <f t="shared" si="397"/>
        <v>4054.25819351827</v>
      </c>
      <c r="AF276" s="217">
        <f t="shared" si="398"/>
        <v>0.0258986958866775</v>
      </c>
      <c r="AH276" s="5">
        <f t="shared" si="399"/>
        <v>1.22823915772598</v>
      </c>
      <c r="AI276" s="5">
        <f t="shared" si="400"/>
        <v>1.5</v>
      </c>
      <c r="AJ276" s="5">
        <f t="shared" si="401"/>
        <v>2.08888888888889</v>
      </c>
      <c r="AL276" s="216">
        <f t="shared" si="402"/>
        <v>300</v>
      </c>
      <c r="AM276" s="220">
        <f t="shared" si="403"/>
        <v>138.921572482156</v>
      </c>
      <c r="AO276" t="str">
        <f t="shared" si="381"/>
        <v/>
      </c>
      <c r="AP276" t="str">
        <f t="shared" si="382"/>
        <v/>
      </c>
      <c r="AR276" s="192">
        <f t="shared" si="406"/>
        <v>7.19830608114121</v>
      </c>
      <c r="AS276" s="192">
        <f t="shared" si="385"/>
        <v>2.67857142857143</v>
      </c>
      <c r="AT276" s="192">
        <f t="shared" si="386"/>
        <v>4.51973465256978</v>
      </c>
      <c r="AU276" s="5">
        <f t="shared" si="387"/>
        <v>0.372111354862917</v>
      </c>
      <c r="CI276" s="227">
        <f t="shared" si="404"/>
        <v>-50</v>
      </c>
    </row>
    <row r="277" spans="5:87">
      <c r="E277" s="22">
        <v>61</v>
      </c>
      <c r="F277" s="25">
        <f t="shared" si="405"/>
        <v>0.305</v>
      </c>
      <c r="G277" s="25">
        <f t="shared" si="388"/>
        <v>0.244</v>
      </c>
      <c r="H277" s="25">
        <f t="shared" si="389"/>
        <v>5.49</v>
      </c>
      <c r="I277" s="25">
        <f t="shared" si="390"/>
        <v>1.22</v>
      </c>
      <c r="J277" s="212">
        <f t="shared" si="356"/>
        <v>14</v>
      </c>
      <c r="K277" s="131">
        <f t="shared" si="357"/>
        <v>8.16530549259357</v>
      </c>
      <c r="L277" s="131">
        <f t="shared" si="358"/>
        <v>26.2728</v>
      </c>
      <c r="M277" s="131"/>
      <c r="N277" s="25">
        <f t="shared" si="359"/>
        <v>0.467129502755702</v>
      </c>
      <c r="O277" s="27">
        <f t="shared" si="391"/>
        <v>3.61176038267022</v>
      </c>
      <c r="P277" s="27">
        <f t="shared" si="392"/>
        <v>0.80261341837116</v>
      </c>
      <c r="Q277" s="25">
        <f t="shared" si="362"/>
        <v>0.20065335459279</v>
      </c>
      <c r="R277" s="25">
        <f t="shared" si="393"/>
        <v>0.722352076534044</v>
      </c>
      <c r="S277" s="25">
        <f t="shared" si="394"/>
        <v>11.8418373202302</v>
      </c>
      <c r="T277" s="25">
        <f t="shared" si="395"/>
        <v>1.5</v>
      </c>
      <c r="U277" s="25">
        <f t="shared" si="366"/>
        <v>2.67857142857143</v>
      </c>
      <c r="V277" s="25">
        <f t="shared" si="367"/>
        <v>4.59260220380178</v>
      </c>
      <c r="W277" s="24">
        <f t="shared" si="368"/>
        <v>350</v>
      </c>
      <c r="X277" s="131">
        <f t="shared" si="369"/>
        <v>137.529379789218</v>
      </c>
      <c r="Z277" s="25">
        <f t="shared" si="370"/>
        <v>0.589411627668076</v>
      </c>
      <c r="AA277" s="5">
        <f t="shared" si="371"/>
        <v>1.80462209344987</v>
      </c>
      <c r="AB277" s="5">
        <f t="shared" si="396"/>
        <v>0.101582448359201</v>
      </c>
      <c r="AC277" s="5"/>
      <c r="AD277" s="5">
        <f t="shared" si="373"/>
        <v>0.918520440760356</v>
      </c>
      <c r="AE277" s="216">
        <f t="shared" si="397"/>
        <v>4056.43103302444</v>
      </c>
      <c r="AF277" s="217">
        <f t="shared" si="398"/>
        <v>0.0263162368917211</v>
      </c>
      <c r="AH277" s="5">
        <f t="shared" si="399"/>
        <v>1.23843218858131</v>
      </c>
      <c r="AI277" s="5">
        <f t="shared" si="400"/>
        <v>1.5</v>
      </c>
      <c r="AJ277" s="5">
        <f t="shared" si="401"/>
        <v>2.08888888888889</v>
      </c>
      <c r="AL277" s="216">
        <f t="shared" si="402"/>
        <v>305</v>
      </c>
      <c r="AM277" s="220">
        <f t="shared" si="403"/>
        <v>137.529379789218</v>
      </c>
      <c r="AO277" t="str">
        <f t="shared" si="381"/>
        <v/>
      </c>
      <c r="AP277" t="str">
        <f t="shared" si="382"/>
        <v/>
      </c>
      <c r="AR277" s="192">
        <f t="shared" si="406"/>
        <v>7.27117363237321</v>
      </c>
      <c r="AS277" s="192">
        <f t="shared" si="385"/>
        <v>2.67857142857143</v>
      </c>
      <c r="AT277" s="192">
        <f t="shared" si="386"/>
        <v>4.59260220380178</v>
      </c>
      <c r="AU277" s="5">
        <f t="shared" si="387"/>
        <v>0.368382267292547</v>
      </c>
      <c r="CI277" s="227">
        <f t="shared" si="404"/>
        <v>-50</v>
      </c>
    </row>
    <row r="278" spans="5:87">
      <c r="E278" s="22">
        <v>62</v>
      </c>
      <c r="F278" s="25">
        <f t="shared" si="405"/>
        <v>0.31</v>
      </c>
      <c r="G278" s="25">
        <f t="shared" si="388"/>
        <v>0.248</v>
      </c>
      <c r="H278" s="25">
        <f t="shared" si="389"/>
        <v>5.58</v>
      </c>
      <c r="I278" s="25">
        <f t="shared" si="390"/>
        <v>1.24</v>
      </c>
      <c r="J278" s="212">
        <f t="shared" si="356"/>
        <v>14</v>
      </c>
      <c r="K278" s="131">
        <f t="shared" si="357"/>
        <v>8.03791024271302</v>
      </c>
      <c r="L278" s="131">
        <f t="shared" si="358"/>
        <v>26.2728</v>
      </c>
      <c r="M278" s="131"/>
      <c r="N278" s="25">
        <f t="shared" si="359"/>
        <v>0.467129502755702</v>
      </c>
      <c r="O278" s="27">
        <f t="shared" si="391"/>
        <v>3.61176038267022</v>
      </c>
      <c r="P278" s="27">
        <f t="shared" si="392"/>
        <v>0.80261341837116</v>
      </c>
      <c r="Q278" s="25">
        <f t="shared" si="362"/>
        <v>0.20065335459279</v>
      </c>
      <c r="R278" s="25">
        <f t="shared" si="393"/>
        <v>0.722352076534044</v>
      </c>
      <c r="S278" s="25">
        <f t="shared" si="394"/>
        <v>11.6508399440975</v>
      </c>
      <c r="T278" s="25">
        <f t="shared" si="395"/>
        <v>1.5</v>
      </c>
      <c r="U278" s="25">
        <f t="shared" si="366"/>
        <v>2.67857142857143</v>
      </c>
      <c r="V278" s="25">
        <f t="shared" si="367"/>
        <v>4.66539173337953</v>
      </c>
      <c r="W278" s="24">
        <f t="shared" si="368"/>
        <v>350</v>
      </c>
      <c r="X278" s="131">
        <f t="shared" si="369"/>
        <v>136.166260362116</v>
      </c>
      <c r="Z278" s="25">
        <f t="shared" si="370"/>
        <v>0.58356968726621</v>
      </c>
      <c r="AA278" s="5">
        <f t="shared" si="371"/>
        <v>1.81505412988177</v>
      </c>
      <c r="AB278" s="5">
        <f t="shared" si="396"/>
        <v>0.101157016822128</v>
      </c>
      <c r="AC278" s="5"/>
      <c r="AD278" s="5">
        <f t="shared" si="373"/>
        <v>0.933078346675907</v>
      </c>
      <c r="AE278" s="216">
        <f t="shared" si="397"/>
        <v>4058.60387253061</v>
      </c>
      <c r="AF278" s="217">
        <f t="shared" si="398"/>
        <v>0.0267333308220466</v>
      </c>
      <c r="AH278" s="5">
        <f t="shared" si="399"/>
        <v>1.24854200684524</v>
      </c>
      <c r="AI278" s="5">
        <f t="shared" si="400"/>
        <v>1.5</v>
      </c>
      <c r="AJ278" s="5">
        <f t="shared" si="401"/>
        <v>2.08888888888889</v>
      </c>
      <c r="AL278" s="216">
        <f t="shared" si="402"/>
        <v>310</v>
      </c>
      <c r="AM278" s="220">
        <f t="shared" si="403"/>
        <v>136.166260362116</v>
      </c>
      <c r="AO278" t="str">
        <f t="shared" si="381"/>
        <v/>
      </c>
      <c r="AP278" t="str">
        <f t="shared" si="382"/>
        <v/>
      </c>
      <c r="AR278" s="192">
        <f t="shared" si="406"/>
        <v>7.34396316195096</v>
      </c>
      <c r="AS278" s="192">
        <f t="shared" si="385"/>
        <v>2.67857142857143</v>
      </c>
      <c r="AT278" s="192">
        <f t="shared" si="386"/>
        <v>4.66539173337954</v>
      </c>
      <c r="AU278" s="5">
        <f t="shared" si="387"/>
        <v>0.364731054541381</v>
      </c>
      <c r="CI278" s="227">
        <f t="shared" si="404"/>
        <v>-50</v>
      </c>
    </row>
    <row r="279" spans="5:87">
      <c r="E279" s="22">
        <v>63</v>
      </c>
      <c r="F279" s="25">
        <f t="shared" si="405"/>
        <v>0.315</v>
      </c>
      <c r="G279" s="25">
        <f t="shared" si="388"/>
        <v>0.252</v>
      </c>
      <c r="H279" s="25">
        <f t="shared" si="389"/>
        <v>5.67</v>
      </c>
      <c r="I279" s="25">
        <f t="shared" si="390"/>
        <v>1.26</v>
      </c>
      <c r="J279" s="212">
        <f t="shared" si="356"/>
        <v>14</v>
      </c>
      <c r="K279" s="131">
        <f t="shared" si="357"/>
        <v>7.91455928647948</v>
      </c>
      <c r="L279" s="131">
        <f t="shared" si="358"/>
        <v>26.2728</v>
      </c>
      <c r="M279" s="131"/>
      <c r="N279" s="25">
        <f t="shared" si="359"/>
        <v>0.467129502755702</v>
      </c>
      <c r="O279" s="27">
        <f t="shared" si="391"/>
        <v>3.61176038267022</v>
      </c>
      <c r="P279" s="27">
        <f t="shared" si="392"/>
        <v>0.80261341837116</v>
      </c>
      <c r="Q279" s="25">
        <f t="shared" si="362"/>
        <v>0.20065335459279</v>
      </c>
      <c r="R279" s="25">
        <f t="shared" si="393"/>
        <v>0.722352076534044</v>
      </c>
      <c r="S279" s="25">
        <f t="shared" si="394"/>
        <v>11.4659059767309</v>
      </c>
      <c r="T279" s="25">
        <f t="shared" si="395"/>
        <v>1.5</v>
      </c>
      <c r="U279" s="25">
        <f t="shared" si="366"/>
        <v>2.67857142857143</v>
      </c>
      <c r="V279" s="25">
        <f t="shared" si="367"/>
        <v>4.73810336654646</v>
      </c>
      <c r="W279" s="24">
        <f t="shared" si="368"/>
        <v>350</v>
      </c>
      <c r="X279" s="131">
        <f t="shared" si="369"/>
        <v>134.831312902955</v>
      </c>
      <c r="Z279" s="25">
        <f t="shared" si="370"/>
        <v>0.577848483869807</v>
      </c>
      <c r="AA279" s="5">
        <f t="shared" si="371"/>
        <v>1.8252705645182</v>
      </c>
      <c r="AB279" s="5">
        <f t="shared" si="396"/>
        <v>0.100729095721534</v>
      </c>
      <c r="AC279" s="5"/>
      <c r="AD279" s="5">
        <f t="shared" si="373"/>
        <v>0.947620673309293</v>
      </c>
      <c r="AE279" s="216">
        <f t="shared" si="397"/>
        <v>4060.77671203678</v>
      </c>
      <c r="AF279" s="217">
        <f t="shared" si="398"/>
        <v>0.0271499783953158</v>
      </c>
      <c r="AH279" s="5">
        <f t="shared" si="399"/>
        <v>1.25857061780418</v>
      </c>
      <c r="AI279" s="5">
        <f t="shared" si="400"/>
        <v>1.5</v>
      </c>
      <c r="AJ279" s="5">
        <f t="shared" si="401"/>
        <v>2.08888888888889</v>
      </c>
      <c r="AL279" s="216">
        <f t="shared" si="402"/>
        <v>315</v>
      </c>
      <c r="AM279" s="220">
        <f t="shared" si="403"/>
        <v>134.831312902955</v>
      </c>
      <c r="AO279" t="str">
        <f t="shared" si="381"/>
        <v/>
      </c>
      <c r="AP279" t="str">
        <f t="shared" si="382"/>
        <v/>
      </c>
      <c r="AR279" s="192">
        <f t="shared" si="406"/>
        <v>7.41667479511789</v>
      </c>
      <c r="AS279" s="192">
        <f t="shared" si="385"/>
        <v>2.67857142857143</v>
      </c>
      <c r="AT279" s="192">
        <f t="shared" si="386"/>
        <v>4.73810336654646</v>
      </c>
      <c r="AU279" s="5">
        <f t="shared" si="387"/>
        <v>0.361155302418629</v>
      </c>
      <c r="CI279" s="227">
        <f t="shared" si="404"/>
        <v>-50</v>
      </c>
    </row>
    <row r="280" spans="5:87">
      <c r="E280" s="22">
        <v>64</v>
      </c>
      <c r="F280" s="25">
        <f t="shared" si="405"/>
        <v>0.32</v>
      </c>
      <c r="G280" s="25">
        <f t="shared" ref="G280:G316" si="407">IF(PLOT_TYPE=1,E280/100*Iout2,min_I*EXP(Q280*rr/100))</f>
        <v>0.256</v>
      </c>
      <c r="H280" s="25">
        <f t="shared" ref="H280:H316" si="408">F280*Vout</f>
        <v>5.76</v>
      </c>
      <c r="I280" s="25">
        <f t="shared" ref="I280:I316" si="409">Vout2*G280</f>
        <v>1.28</v>
      </c>
      <c r="J280" s="212">
        <f t="shared" ref="J280:J316" si="410">VIN_max</f>
        <v>14</v>
      </c>
      <c r="K280" s="131">
        <f t="shared" ref="K280:K316" si="411">(S280+Vfwd1)*Nps</f>
        <v>7.79506304762824</v>
      </c>
      <c r="L280" s="131">
        <f t="shared" ref="L280:L316" si="412">(Vout+Vfwd1)*Nps+J280</f>
        <v>26.2728</v>
      </c>
      <c r="M280" s="131"/>
      <c r="N280" s="25">
        <f t="shared" ref="N280:N316" si="413">(Vout+Vfwd1)*Nps/((Vout+Vfwd1)*Nps+J280)</f>
        <v>0.467129502755702</v>
      </c>
      <c r="O280" s="27">
        <f t="shared" ref="O280:O311" si="414">N280*J280*Isw_max*0.5*Efficiency*Pout/(Pout+Pout2)</f>
        <v>3.61176038267022</v>
      </c>
      <c r="P280" s="27">
        <f t="shared" ref="P280:P316" si="415">N280*J280*Isw_max*0.5*Efficiency*(Pout2/Pout_total)</f>
        <v>0.80261341837116</v>
      </c>
      <c r="Q280" s="25">
        <f t="shared" ref="Q280:Q316" si="416">O280/Vout</f>
        <v>0.20065335459279</v>
      </c>
      <c r="R280" s="25">
        <f t="shared" ref="R280:R316" si="417">O280/Vout2</f>
        <v>0.722352076534044</v>
      </c>
      <c r="S280" s="25">
        <f t="shared" ref="S280:S316" si="418">MIN(Vout,O280/F280)</f>
        <v>11.2867511958444</v>
      </c>
      <c r="T280" s="25">
        <f t="shared" ref="T280:T316" si="419">MIN(2*(Vout*F280+Vout2*G280)/(Efficiency*J280*N280),Isw_max)</f>
        <v>1.5</v>
      </c>
      <c r="U280" s="25">
        <f t="shared" ref="U280:U316" si="420">L*T280/J280*1000000</f>
        <v>2.67857142857143</v>
      </c>
      <c r="V280" s="25">
        <f t="shared" ref="V280:V316" si="421">L*T280/K280*1000000</f>
        <v>4.81073722827809</v>
      </c>
      <c r="W280" s="24">
        <f t="shared" ref="W280:W316" si="422">IF(1/((350000*L)*(1/J280+1/K280))&gt;Isw_min,350,0.001/((Isw_min*L)*(1/J280+1/K280)))</f>
        <v>350</v>
      </c>
      <c r="X280" s="131">
        <f t="shared" ref="X280:X316" si="423">MIN(1/(U280+V280)*1000,350)</f>
        <v>133.52367298755</v>
      </c>
      <c r="Z280" s="25">
        <f t="shared" ref="Z280:Z316" si="424">1/((W280*1000*L)*(1/J280+1/K280))</f>
        <v>0.572244312803785</v>
      </c>
      <c r="AA280" s="5">
        <f t="shared" ref="AA280:AA316" si="425">L*Z280/K280*1000000</f>
        <v>1.83527801285038</v>
      </c>
      <c r="AB280" s="5">
        <f t="shared" ref="AB280:AB311" si="426">0.5*AA280*Z280*Nps*W280/1000*(Pout/(Pout+Pout2))</f>
        <v>0.100299104083509</v>
      </c>
      <c r="AC280" s="5"/>
      <c r="AD280" s="5">
        <f t="shared" ref="AD280:AD316" si="427">L*Isw_min/K280*1000000</f>
        <v>0.962147445655617</v>
      </c>
      <c r="AE280" s="216">
        <f t="shared" ref="AE280:AE311" si="428">MAX(10,F280/(0.5*AD280/1000000*Isw_min*Nps)/1000*Pout_total/Pout)</f>
        <v>4062.94955154295</v>
      </c>
      <c r="AF280" s="217">
        <f t="shared" ref="AF280:AF316" si="429">0.5*AD280/1000000*Isw_min*Nps*W280*1000*(Pout/Pout_total)</f>
        <v>0.0275661803276555</v>
      </c>
      <c r="AH280" s="5">
        <f t="shared" ref="AH280:AH316" si="430">SQRT((H280+I280)/(0.5*L*Fsw_DCM))</f>
        <v>1.26851994747535</v>
      </c>
      <c r="AI280" s="5">
        <f t="shared" ref="AI280:AI311" si="431">MAX(IF(F280&gt;AB280,T280,AH280),Isw_min)</f>
        <v>1.5</v>
      </c>
      <c r="AJ280" s="5">
        <f t="shared" ref="AJ280:AJ311" si="432">IF(F280&gt;AF280,(AI280-Isw_min)/1.08*0.8+1.2,AE280*0.2/350+1)</f>
        <v>2.08888888888889</v>
      </c>
      <c r="AL280" s="216">
        <f t="shared" ref="AL280:AL316" si="433">F280*1000</f>
        <v>320</v>
      </c>
      <c r="AM280" s="220">
        <f t="shared" ref="AM280:AM316" si="434">IF(F280&gt;AF280,X280,AE280)</f>
        <v>133.52367298755</v>
      </c>
      <c r="AO280" t="str">
        <f t="shared" ref="AO280:AO316" si="435">IF(H280&gt;O280,"",AL280)</f>
        <v/>
      </c>
      <c r="AP280" t="str">
        <f t="shared" ref="AP280:AP316" si="436">IF(H280&gt;O280,"",AM280)</f>
        <v/>
      </c>
      <c r="AR280" s="192">
        <f t="shared" si="406"/>
        <v>7.48930865684951</v>
      </c>
      <c r="AS280" s="192">
        <f t="shared" si="385"/>
        <v>2.67857142857143</v>
      </c>
      <c r="AT280" s="192">
        <f t="shared" si="386"/>
        <v>4.81073722827808</v>
      </c>
      <c r="AU280" s="5">
        <f t="shared" si="387"/>
        <v>0.357652695502365</v>
      </c>
      <c r="CI280" s="227">
        <f t="shared" ref="CI280:CI316" si="437">IF(ABS(F280-Ioutmax_Vinmax)&lt;Iout/200,AM280,-50)</f>
        <v>-50</v>
      </c>
    </row>
    <row r="281" spans="5:87">
      <c r="E281" s="22">
        <v>65</v>
      </c>
      <c r="F281" s="25">
        <f t="shared" ref="F281:F312" si="438">IF(PLOT_TYPE=1,E281/100*Iout_max,min_I*EXP(O281*rr/100))</f>
        <v>0.325</v>
      </c>
      <c r="G281" s="25">
        <f t="shared" si="407"/>
        <v>0.26</v>
      </c>
      <c r="H281" s="25">
        <f t="shared" si="408"/>
        <v>5.85</v>
      </c>
      <c r="I281" s="25">
        <f t="shared" si="409"/>
        <v>1.3</v>
      </c>
      <c r="J281" s="212">
        <f t="shared" si="410"/>
        <v>14</v>
      </c>
      <c r="K281" s="131">
        <f t="shared" si="411"/>
        <v>7.67924361612627</v>
      </c>
      <c r="L281" s="131">
        <f t="shared" si="412"/>
        <v>26.2728</v>
      </c>
      <c r="M281" s="131"/>
      <c r="N281" s="25">
        <f t="shared" si="413"/>
        <v>0.467129502755702</v>
      </c>
      <c r="O281" s="27">
        <f t="shared" si="414"/>
        <v>3.61176038267022</v>
      </c>
      <c r="P281" s="27">
        <f t="shared" si="415"/>
        <v>0.80261341837116</v>
      </c>
      <c r="Q281" s="25">
        <f t="shared" si="416"/>
        <v>0.20065335459279</v>
      </c>
      <c r="R281" s="25">
        <f t="shared" si="417"/>
        <v>0.722352076534044</v>
      </c>
      <c r="S281" s="25">
        <f t="shared" si="418"/>
        <v>11.1131088697545</v>
      </c>
      <c r="T281" s="25">
        <f t="shared" si="419"/>
        <v>1.5</v>
      </c>
      <c r="U281" s="25">
        <f t="shared" si="420"/>
        <v>2.67857142857143</v>
      </c>
      <c r="V281" s="25">
        <f t="shared" si="421"/>
        <v>4.88329344328271</v>
      </c>
      <c r="W281" s="24">
        <f t="shared" si="422"/>
        <v>350</v>
      </c>
      <c r="X281" s="131">
        <f t="shared" si="423"/>
        <v>132.242511198802</v>
      </c>
      <c r="Z281" s="25">
        <f t="shared" si="424"/>
        <v>0.566753619423438</v>
      </c>
      <c r="AA281" s="5">
        <f t="shared" si="425"/>
        <v>1.84508282245815</v>
      </c>
      <c r="AB281" s="5">
        <f t="shared" si="426"/>
        <v>0.099867430229132</v>
      </c>
      <c r="AC281" s="5"/>
      <c r="AD281" s="5">
        <f t="shared" si="427"/>
        <v>0.976658688656542</v>
      </c>
      <c r="AE281" s="216">
        <f t="shared" si="428"/>
        <v>4065.12239104913</v>
      </c>
      <c r="AF281" s="217">
        <f t="shared" si="429"/>
        <v>0.0279819373336613</v>
      </c>
      <c r="AH281" s="5">
        <f t="shared" si="430"/>
        <v>1.27839184692555</v>
      </c>
      <c r="AI281" s="5">
        <f t="shared" si="431"/>
        <v>1.5</v>
      </c>
      <c r="AJ281" s="5">
        <f t="shared" si="432"/>
        <v>2.08888888888889</v>
      </c>
      <c r="AL281" s="216">
        <f t="shared" si="433"/>
        <v>325</v>
      </c>
      <c r="AM281" s="220">
        <f t="shared" si="434"/>
        <v>132.242511198802</v>
      </c>
      <c r="AO281" t="str">
        <f t="shared" si="435"/>
        <v/>
      </c>
      <c r="AP281" t="str">
        <f t="shared" si="436"/>
        <v/>
      </c>
      <c r="AR281" s="192">
        <f t="shared" si="406"/>
        <v>7.56186487185414</v>
      </c>
      <c r="AS281" s="192">
        <f t="shared" si="385"/>
        <v>2.67857142857143</v>
      </c>
      <c r="AT281" s="192">
        <f t="shared" si="386"/>
        <v>4.88329344328271</v>
      </c>
      <c r="AU281" s="5">
        <f t="shared" si="387"/>
        <v>0.354221012139649</v>
      </c>
      <c r="CI281" s="227">
        <f t="shared" si="437"/>
        <v>-50</v>
      </c>
    </row>
    <row r="282" spans="5:87">
      <c r="E282" s="22">
        <v>66</v>
      </c>
      <c r="F282" s="25">
        <f t="shared" si="438"/>
        <v>0.33</v>
      </c>
      <c r="G282" s="25">
        <f t="shared" si="407"/>
        <v>0.264</v>
      </c>
      <c r="H282" s="25">
        <f t="shared" si="408"/>
        <v>5.94</v>
      </c>
      <c r="I282" s="25">
        <f t="shared" si="409"/>
        <v>1.32</v>
      </c>
      <c r="J282" s="212">
        <f t="shared" si="410"/>
        <v>14</v>
      </c>
      <c r="K282" s="131">
        <f t="shared" si="411"/>
        <v>7.56693386436678</v>
      </c>
      <c r="L282" s="131">
        <f t="shared" si="412"/>
        <v>26.2728</v>
      </c>
      <c r="M282" s="131"/>
      <c r="N282" s="25">
        <f t="shared" si="413"/>
        <v>0.467129502755702</v>
      </c>
      <c r="O282" s="27">
        <f t="shared" si="414"/>
        <v>3.61176038267022</v>
      </c>
      <c r="P282" s="27">
        <f t="shared" si="415"/>
        <v>0.80261341837116</v>
      </c>
      <c r="Q282" s="25">
        <f t="shared" si="416"/>
        <v>0.20065335459279</v>
      </c>
      <c r="R282" s="25">
        <f t="shared" si="417"/>
        <v>0.722352076534044</v>
      </c>
      <c r="S282" s="25">
        <f t="shared" si="418"/>
        <v>10.944728432334</v>
      </c>
      <c r="T282" s="25">
        <f t="shared" si="419"/>
        <v>1.5</v>
      </c>
      <c r="U282" s="25">
        <f t="shared" si="420"/>
        <v>2.67857142857143</v>
      </c>
      <c r="V282" s="25">
        <f t="shared" si="421"/>
        <v>4.95577213600216</v>
      </c>
      <c r="W282" s="24">
        <f t="shared" si="422"/>
        <v>350</v>
      </c>
      <c r="X282" s="131">
        <f t="shared" si="423"/>
        <v>130.987031372337</v>
      </c>
      <c r="Z282" s="25">
        <f t="shared" si="424"/>
        <v>0.561372991595731</v>
      </c>
      <c r="AA282" s="5">
        <f t="shared" si="425"/>
        <v>1.8546910864362</v>
      </c>
      <c r="AB282" s="5">
        <f t="shared" si="426"/>
        <v>0.0994344339946805</v>
      </c>
      <c r="AC282" s="5"/>
      <c r="AD282" s="5">
        <f t="shared" si="427"/>
        <v>0.991154427200431</v>
      </c>
      <c r="AE282" s="216">
        <f t="shared" si="428"/>
        <v>4067.2952305553</v>
      </c>
      <c r="AF282" s="217">
        <f t="shared" si="429"/>
        <v>0.0283972501264018</v>
      </c>
      <c r="AH282" s="5">
        <f t="shared" si="430"/>
        <v>1.28818809629206</v>
      </c>
      <c r="AI282" s="5">
        <f t="shared" si="431"/>
        <v>1.5</v>
      </c>
      <c r="AJ282" s="5">
        <f t="shared" si="432"/>
        <v>2.08888888888889</v>
      </c>
      <c r="AL282" s="216">
        <f t="shared" si="433"/>
        <v>330</v>
      </c>
      <c r="AM282" s="220">
        <f t="shared" si="434"/>
        <v>130.987031372337</v>
      </c>
      <c r="AO282" t="str">
        <f t="shared" si="435"/>
        <v/>
      </c>
      <c r="AP282" t="str">
        <f t="shared" si="436"/>
        <v/>
      </c>
      <c r="AR282" s="192">
        <f t="shared" si="406"/>
        <v>7.63434356457359</v>
      </c>
      <c r="AS282" s="192">
        <f t="shared" si="385"/>
        <v>2.67857142857143</v>
      </c>
      <c r="AT282" s="192">
        <f t="shared" si="386"/>
        <v>4.95577213600216</v>
      </c>
      <c r="AU282" s="5">
        <f t="shared" si="387"/>
        <v>0.350858119747331</v>
      </c>
      <c r="CI282" s="227">
        <f t="shared" si="437"/>
        <v>-50</v>
      </c>
    </row>
    <row r="283" spans="5:87">
      <c r="E283" s="22">
        <v>67</v>
      </c>
      <c r="F283" s="25">
        <f t="shared" si="438"/>
        <v>0.335</v>
      </c>
      <c r="G283" s="25">
        <f t="shared" si="407"/>
        <v>0.268</v>
      </c>
      <c r="H283" s="25">
        <f t="shared" si="408"/>
        <v>6.03</v>
      </c>
      <c r="I283" s="25">
        <f t="shared" si="409"/>
        <v>1.34</v>
      </c>
      <c r="J283" s="212">
        <f t="shared" si="410"/>
        <v>14</v>
      </c>
      <c r="K283" s="131">
        <f t="shared" si="411"/>
        <v>7.45797664251056</v>
      </c>
      <c r="L283" s="131">
        <f t="shared" si="412"/>
        <v>26.2728</v>
      </c>
      <c r="M283" s="131"/>
      <c r="N283" s="25">
        <f t="shared" si="413"/>
        <v>0.467129502755702</v>
      </c>
      <c r="O283" s="27">
        <f t="shared" si="414"/>
        <v>3.61176038267022</v>
      </c>
      <c r="P283" s="27">
        <f t="shared" si="415"/>
        <v>0.80261341837116</v>
      </c>
      <c r="Q283" s="25">
        <f t="shared" si="416"/>
        <v>0.20065335459279</v>
      </c>
      <c r="R283" s="25">
        <f t="shared" si="417"/>
        <v>0.722352076534044</v>
      </c>
      <c r="S283" s="25">
        <f t="shared" si="418"/>
        <v>10.7813742766275</v>
      </c>
      <c r="T283" s="25">
        <f t="shared" si="419"/>
        <v>1.5</v>
      </c>
      <c r="U283" s="25">
        <f t="shared" si="420"/>
        <v>2.67857142857143</v>
      </c>
      <c r="V283" s="25">
        <f t="shared" si="421"/>
        <v>5.02817343061247</v>
      </c>
      <c r="W283" s="24">
        <f t="shared" si="422"/>
        <v>350</v>
      </c>
      <c r="X283" s="131">
        <f t="shared" si="423"/>
        <v>129.756468946592</v>
      </c>
      <c r="Z283" s="25">
        <f t="shared" si="424"/>
        <v>0.55609915262825</v>
      </c>
      <c r="AA283" s="5">
        <f t="shared" si="425"/>
        <v>1.86410865602098</v>
      </c>
      <c r="AB283" s="5">
        <f t="shared" si="426"/>
        <v>0.0990004487794888</v>
      </c>
      <c r="AC283" s="5"/>
      <c r="AD283" s="5">
        <f t="shared" si="427"/>
        <v>1.00563468612249</v>
      </c>
      <c r="AE283" s="216">
        <f t="shared" si="428"/>
        <v>4069.46807006147</v>
      </c>
      <c r="AF283" s="217">
        <f t="shared" si="429"/>
        <v>0.0288121194174227</v>
      </c>
      <c r="AH283" s="5">
        <f t="shared" si="430"/>
        <v>1.29791040853035</v>
      </c>
      <c r="AI283" s="5">
        <f t="shared" si="431"/>
        <v>1.5</v>
      </c>
      <c r="AJ283" s="5">
        <f t="shared" si="432"/>
        <v>2.08888888888889</v>
      </c>
      <c r="AL283" s="216">
        <f t="shared" si="433"/>
        <v>335</v>
      </c>
      <c r="AM283" s="220">
        <f t="shared" si="434"/>
        <v>129.756468946592</v>
      </c>
      <c r="AO283" t="str">
        <f t="shared" si="435"/>
        <v/>
      </c>
      <c r="AP283" t="str">
        <f t="shared" si="436"/>
        <v/>
      </c>
      <c r="AR283" s="192">
        <f t="shared" si="406"/>
        <v>7.7067448591839</v>
      </c>
      <c r="AS283" s="192">
        <f t="shared" si="385"/>
        <v>2.67857142857143</v>
      </c>
      <c r="AT283" s="192">
        <f t="shared" si="386"/>
        <v>5.02817343061247</v>
      </c>
      <c r="AU283" s="5">
        <f t="shared" si="387"/>
        <v>0.347561970392656</v>
      </c>
      <c r="CI283" s="227">
        <f t="shared" si="437"/>
        <v>-50</v>
      </c>
    </row>
    <row r="284" spans="5:87">
      <c r="E284" s="22">
        <v>68</v>
      </c>
      <c r="F284" s="25">
        <f t="shared" si="438"/>
        <v>0.34</v>
      </c>
      <c r="G284" s="25">
        <f t="shared" si="407"/>
        <v>0.272</v>
      </c>
      <c r="H284" s="25">
        <f t="shared" si="408"/>
        <v>6.12</v>
      </c>
      <c r="I284" s="25">
        <f t="shared" si="409"/>
        <v>1.36</v>
      </c>
      <c r="J284" s="212">
        <f t="shared" si="410"/>
        <v>14</v>
      </c>
      <c r="K284" s="131">
        <f t="shared" si="411"/>
        <v>7.35222404482658</v>
      </c>
      <c r="L284" s="131">
        <f t="shared" si="412"/>
        <v>26.2728</v>
      </c>
      <c r="M284" s="131"/>
      <c r="N284" s="25">
        <f t="shared" si="413"/>
        <v>0.467129502755702</v>
      </c>
      <c r="O284" s="27">
        <f t="shared" si="414"/>
        <v>3.61176038267022</v>
      </c>
      <c r="P284" s="27">
        <f t="shared" si="415"/>
        <v>0.80261341837116</v>
      </c>
      <c r="Q284" s="25">
        <f t="shared" si="416"/>
        <v>0.20065335459279</v>
      </c>
      <c r="R284" s="25">
        <f t="shared" si="417"/>
        <v>0.722352076534044</v>
      </c>
      <c r="S284" s="25">
        <f t="shared" si="418"/>
        <v>10.6228246549124</v>
      </c>
      <c r="T284" s="25">
        <f t="shared" si="419"/>
        <v>1.5</v>
      </c>
      <c r="U284" s="25">
        <f t="shared" si="420"/>
        <v>2.67857142857143</v>
      </c>
      <c r="V284" s="25">
        <f t="shared" si="421"/>
        <v>5.10049745102464</v>
      </c>
      <c r="W284" s="24">
        <f t="shared" si="422"/>
        <v>350</v>
      </c>
      <c r="X284" s="131">
        <f t="shared" si="423"/>
        <v>128.550089410177</v>
      </c>
      <c r="Z284" s="25">
        <f t="shared" si="424"/>
        <v>0.550928954615045</v>
      </c>
      <c r="AA284" s="5">
        <f t="shared" si="425"/>
        <v>1.87334115247313</v>
      </c>
      <c r="AB284" s="5">
        <f t="shared" si="426"/>
        <v>0.0985657834360263</v>
      </c>
      <c r="AC284" s="5"/>
      <c r="AD284" s="5">
        <f t="shared" si="427"/>
        <v>1.02009949020493</v>
      </c>
      <c r="AE284" s="216">
        <f t="shared" si="428"/>
        <v>4071.64090956765</v>
      </c>
      <c r="AF284" s="217">
        <f t="shared" si="429"/>
        <v>0.0292265459167509</v>
      </c>
      <c r="AH284" s="5">
        <f t="shared" si="430"/>
        <v>1.30756043291096</v>
      </c>
      <c r="AI284" s="5">
        <f t="shared" si="431"/>
        <v>1.5</v>
      </c>
      <c r="AJ284" s="5">
        <f t="shared" si="432"/>
        <v>2.08888888888889</v>
      </c>
      <c r="AL284" s="216">
        <f t="shared" si="433"/>
        <v>340</v>
      </c>
      <c r="AM284" s="220">
        <f t="shared" si="434"/>
        <v>128.550089410177</v>
      </c>
      <c r="AO284" t="str">
        <f t="shared" si="435"/>
        <v/>
      </c>
      <c r="AP284" t="str">
        <f t="shared" si="436"/>
        <v/>
      </c>
      <c r="AR284" s="192">
        <f t="shared" si="406"/>
        <v>7.77906887959606</v>
      </c>
      <c r="AS284" s="192">
        <f t="shared" si="385"/>
        <v>2.67857142857143</v>
      </c>
      <c r="AT284" s="192">
        <f t="shared" si="386"/>
        <v>5.10049745102464</v>
      </c>
      <c r="AU284" s="5">
        <f t="shared" si="387"/>
        <v>0.344330596634403</v>
      </c>
      <c r="CI284" s="227">
        <f t="shared" si="437"/>
        <v>-50</v>
      </c>
    </row>
    <row r="285" spans="5:87">
      <c r="E285" s="22">
        <v>69</v>
      </c>
      <c r="F285" s="25">
        <f t="shared" si="438"/>
        <v>0.345</v>
      </c>
      <c r="G285" s="25">
        <f t="shared" si="407"/>
        <v>0.276</v>
      </c>
      <c r="H285" s="25">
        <f t="shared" si="408"/>
        <v>6.21</v>
      </c>
      <c r="I285" s="25">
        <f t="shared" si="409"/>
        <v>1.38</v>
      </c>
      <c r="J285" s="212">
        <f t="shared" si="410"/>
        <v>14</v>
      </c>
      <c r="K285" s="131">
        <f t="shared" si="411"/>
        <v>7.24953673982909</v>
      </c>
      <c r="L285" s="131">
        <f t="shared" si="412"/>
        <v>26.2728</v>
      </c>
      <c r="M285" s="131"/>
      <c r="N285" s="25">
        <f t="shared" si="413"/>
        <v>0.467129502755702</v>
      </c>
      <c r="O285" s="27">
        <f t="shared" si="414"/>
        <v>3.61176038267022</v>
      </c>
      <c r="P285" s="27">
        <f t="shared" si="415"/>
        <v>0.80261341837116</v>
      </c>
      <c r="Q285" s="25">
        <f t="shared" si="416"/>
        <v>0.20065335459279</v>
      </c>
      <c r="R285" s="25">
        <f t="shared" si="417"/>
        <v>0.722352076534044</v>
      </c>
      <c r="S285" s="25">
        <f t="shared" si="418"/>
        <v>10.4688706744064</v>
      </c>
      <c r="T285" s="25">
        <f t="shared" si="419"/>
        <v>1.5</v>
      </c>
      <c r="U285" s="25">
        <f t="shared" si="420"/>
        <v>2.67857142857143</v>
      </c>
      <c r="V285" s="25">
        <f t="shared" si="421"/>
        <v>5.17274432088526</v>
      </c>
      <c r="W285" s="24">
        <f t="shared" si="422"/>
        <v>350</v>
      </c>
      <c r="X285" s="131">
        <f t="shared" si="423"/>
        <v>127.367186839887</v>
      </c>
      <c r="Z285" s="25">
        <f t="shared" si="424"/>
        <v>0.545859372170945</v>
      </c>
      <c r="AA285" s="5">
        <f t="shared" si="425"/>
        <v>1.88239397826617</v>
      </c>
      <c r="AB285" s="5">
        <f t="shared" si="426"/>
        <v>0.0981307240154484</v>
      </c>
      <c r="AC285" s="5"/>
      <c r="AD285" s="5">
        <f t="shared" si="427"/>
        <v>1.03454886417705</v>
      </c>
      <c r="AE285" s="216">
        <f t="shared" si="428"/>
        <v>4073.81374907382</v>
      </c>
      <c r="AF285" s="217">
        <f t="shared" si="429"/>
        <v>0.0296405303328981</v>
      </c>
      <c r="AH285" s="5">
        <f t="shared" si="430"/>
        <v>1.31713975828579</v>
      </c>
      <c r="AI285" s="5">
        <f t="shared" si="431"/>
        <v>1.5</v>
      </c>
      <c r="AJ285" s="5">
        <f t="shared" si="432"/>
        <v>2.08888888888889</v>
      </c>
      <c r="AL285" s="216">
        <f t="shared" si="433"/>
        <v>345</v>
      </c>
      <c r="AM285" s="220">
        <f t="shared" si="434"/>
        <v>127.367186839887</v>
      </c>
      <c r="AO285" t="str">
        <f t="shared" si="435"/>
        <v/>
      </c>
      <c r="AP285" t="str">
        <f t="shared" si="436"/>
        <v/>
      </c>
      <c r="AR285" s="192">
        <f t="shared" si="406"/>
        <v>7.85131574945669</v>
      </c>
      <c r="AS285" s="192">
        <f t="shared" si="385"/>
        <v>2.67857142857143</v>
      </c>
      <c r="AT285" s="192">
        <f t="shared" si="386"/>
        <v>5.17274432088526</v>
      </c>
      <c r="AU285" s="5">
        <f t="shared" si="387"/>
        <v>0.341162107606841</v>
      </c>
      <c r="CI285" s="227">
        <f t="shared" si="437"/>
        <v>-50</v>
      </c>
    </row>
    <row r="286" spans="5:87">
      <c r="E286" s="22">
        <v>70</v>
      </c>
      <c r="F286" s="25">
        <f t="shared" si="438"/>
        <v>0.35</v>
      </c>
      <c r="G286" s="25">
        <f t="shared" si="407"/>
        <v>0.28</v>
      </c>
      <c r="H286" s="25">
        <f t="shared" si="408"/>
        <v>6.3</v>
      </c>
      <c r="I286" s="25">
        <f t="shared" si="409"/>
        <v>1.4</v>
      </c>
      <c r="J286" s="212">
        <f t="shared" si="410"/>
        <v>14</v>
      </c>
      <c r="K286" s="131">
        <f t="shared" si="411"/>
        <v>7.14978335783154</v>
      </c>
      <c r="L286" s="131">
        <f t="shared" si="412"/>
        <v>26.2728</v>
      </c>
      <c r="M286" s="131"/>
      <c r="N286" s="25">
        <f t="shared" si="413"/>
        <v>0.467129502755702</v>
      </c>
      <c r="O286" s="27">
        <f t="shared" si="414"/>
        <v>3.61176038267022</v>
      </c>
      <c r="P286" s="27">
        <f t="shared" si="415"/>
        <v>0.80261341837116</v>
      </c>
      <c r="Q286" s="25">
        <f t="shared" si="416"/>
        <v>0.20065335459279</v>
      </c>
      <c r="R286" s="25">
        <f t="shared" si="417"/>
        <v>0.722352076534044</v>
      </c>
      <c r="S286" s="25">
        <f t="shared" si="418"/>
        <v>10.3193153790578</v>
      </c>
      <c r="T286" s="25">
        <f t="shared" si="419"/>
        <v>1.5</v>
      </c>
      <c r="U286" s="25">
        <f t="shared" si="420"/>
        <v>2.67857142857143</v>
      </c>
      <c r="V286" s="25">
        <f t="shared" si="421"/>
        <v>5.24491416357731</v>
      </c>
      <c r="W286" s="24">
        <f t="shared" si="422"/>
        <v>350</v>
      </c>
      <c r="X286" s="131">
        <f t="shared" si="423"/>
        <v>126.207082523238</v>
      </c>
      <c r="Z286" s="25">
        <f t="shared" si="424"/>
        <v>0.540887496528161</v>
      </c>
      <c r="AA286" s="5">
        <f t="shared" si="425"/>
        <v>1.89127232762828</v>
      </c>
      <c r="AB286" s="5">
        <f t="shared" si="426"/>
        <v>0.0976955353806526</v>
      </c>
      <c r="AC286" s="5"/>
      <c r="AD286" s="5">
        <f t="shared" si="427"/>
        <v>1.04898283271546</v>
      </c>
      <c r="AE286" s="216">
        <f t="shared" si="428"/>
        <v>4075.98658858</v>
      </c>
      <c r="AF286" s="217">
        <f t="shared" si="429"/>
        <v>0.0300540733728658</v>
      </c>
      <c r="AH286" s="5">
        <f t="shared" si="430"/>
        <v>1.32664991614216</v>
      </c>
      <c r="AI286" s="5">
        <f t="shared" si="431"/>
        <v>1.5</v>
      </c>
      <c r="AJ286" s="5">
        <f t="shared" si="432"/>
        <v>2.08888888888889</v>
      </c>
      <c r="AL286" s="216">
        <f t="shared" si="433"/>
        <v>350</v>
      </c>
      <c r="AM286" s="220">
        <f t="shared" si="434"/>
        <v>126.207082523238</v>
      </c>
      <c r="AO286" t="str">
        <f t="shared" si="435"/>
        <v/>
      </c>
      <c r="AP286" t="str">
        <f t="shared" si="436"/>
        <v/>
      </c>
      <c r="AR286" s="192">
        <f t="shared" si="406"/>
        <v>7.92348559214874</v>
      </c>
      <c r="AS286" s="192">
        <f t="shared" si="385"/>
        <v>2.67857142857143</v>
      </c>
      <c r="AT286" s="192">
        <f t="shared" si="386"/>
        <v>5.24491416357731</v>
      </c>
      <c r="AU286" s="5">
        <f t="shared" si="387"/>
        <v>0.338054685330101</v>
      </c>
      <c r="CI286" s="227">
        <f t="shared" si="437"/>
        <v>-50</v>
      </c>
    </row>
    <row r="287" spans="5:87">
      <c r="E287" s="22">
        <v>71</v>
      </c>
      <c r="F287" s="25">
        <f t="shared" si="438"/>
        <v>0.355</v>
      </c>
      <c r="G287" s="25">
        <f t="shared" si="407"/>
        <v>0.284</v>
      </c>
      <c r="H287" s="25">
        <f t="shared" si="408"/>
        <v>6.39</v>
      </c>
      <c r="I287" s="25">
        <f t="shared" si="409"/>
        <v>1.42</v>
      </c>
      <c r="J287" s="212">
        <f t="shared" si="410"/>
        <v>14</v>
      </c>
      <c r="K287" s="131">
        <f t="shared" si="411"/>
        <v>7.05283993025644</v>
      </c>
      <c r="L287" s="131">
        <f t="shared" si="412"/>
        <v>26.2728</v>
      </c>
      <c r="M287" s="131"/>
      <c r="N287" s="25">
        <f t="shared" si="413"/>
        <v>0.467129502755702</v>
      </c>
      <c r="O287" s="27">
        <f t="shared" si="414"/>
        <v>3.61176038267022</v>
      </c>
      <c r="P287" s="27">
        <f t="shared" si="415"/>
        <v>0.80261341837116</v>
      </c>
      <c r="Q287" s="25">
        <f t="shared" si="416"/>
        <v>0.20065335459279</v>
      </c>
      <c r="R287" s="25">
        <f t="shared" si="417"/>
        <v>0.722352076534044</v>
      </c>
      <c r="S287" s="25">
        <f t="shared" si="418"/>
        <v>10.1739729089302</v>
      </c>
      <c r="T287" s="25">
        <f t="shared" si="419"/>
        <v>1.5</v>
      </c>
      <c r="U287" s="25">
        <f t="shared" si="420"/>
        <v>2.67857142857143</v>
      </c>
      <c r="V287" s="25">
        <f t="shared" si="421"/>
        <v>5.31700710222081</v>
      </c>
      <c r="W287" s="24">
        <f t="shared" si="422"/>
        <v>350</v>
      </c>
      <c r="X287" s="131">
        <f t="shared" si="423"/>
        <v>125.069123659888</v>
      </c>
      <c r="Z287" s="25">
        <f t="shared" si="424"/>
        <v>0.536010529970949</v>
      </c>
      <c r="AA287" s="5">
        <f t="shared" si="425"/>
        <v>1.89998119648045</v>
      </c>
      <c r="AB287" s="5">
        <f t="shared" si="426"/>
        <v>0.0972604626977791</v>
      </c>
      <c r="AC287" s="5"/>
      <c r="AD287" s="5">
        <f t="shared" si="427"/>
        <v>1.06340142044416</v>
      </c>
      <c r="AE287" s="216">
        <f t="shared" si="428"/>
        <v>4078.15942808616</v>
      </c>
      <c r="AF287" s="217">
        <f t="shared" si="429"/>
        <v>0.0304671757421483</v>
      </c>
      <c r="AH287" s="5">
        <f t="shared" si="430"/>
        <v>1.33609238346114</v>
      </c>
      <c r="AI287" s="5">
        <f t="shared" si="431"/>
        <v>1.5</v>
      </c>
      <c r="AJ287" s="5">
        <f t="shared" si="432"/>
        <v>2.08888888888889</v>
      </c>
      <c r="AL287" s="216">
        <f t="shared" si="433"/>
        <v>355</v>
      </c>
      <c r="AM287" s="220">
        <f t="shared" si="434"/>
        <v>125.069123659888</v>
      </c>
      <c r="AO287" t="str">
        <f t="shared" si="435"/>
        <v/>
      </c>
      <c r="AP287" t="str">
        <f t="shared" si="436"/>
        <v/>
      </c>
      <c r="AR287" s="192">
        <f t="shared" si="406"/>
        <v>7.99557853079224</v>
      </c>
      <c r="AS287" s="192">
        <f t="shared" si="385"/>
        <v>2.67857142857143</v>
      </c>
      <c r="AT287" s="192">
        <f t="shared" si="386"/>
        <v>5.31700710222081</v>
      </c>
      <c r="AU287" s="5">
        <f t="shared" si="387"/>
        <v>0.335006581231843</v>
      </c>
      <c r="CI287" s="227">
        <f t="shared" si="437"/>
        <v>-50</v>
      </c>
    </row>
    <row r="288" spans="5:87">
      <c r="E288" s="22">
        <v>72</v>
      </c>
      <c r="F288" s="25">
        <f t="shared" si="438"/>
        <v>0.36</v>
      </c>
      <c r="G288" s="25">
        <f t="shared" si="407"/>
        <v>0.288</v>
      </c>
      <c r="H288" s="25">
        <f t="shared" si="408"/>
        <v>6.48</v>
      </c>
      <c r="I288" s="25">
        <f t="shared" si="409"/>
        <v>1.44</v>
      </c>
      <c r="J288" s="212">
        <f t="shared" si="410"/>
        <v>14</v>
      </c>
      <c r="K288" s="131">
        <f t="shared" si="411"/>
        <v>6.95858937566955</v>
      </c>
      <c r="L288" s="131">
        <f t="shared" si="412"/>
        <v>26.2728</v>
      </c>
      <c r="M288" s="131"/>
      <c r="N288" s="25">
        <f t="shared" si="413"/>
        <v>0.467129502755702</v>
      </c>
      <c r="O288" s="27">
        <f t="shared" si="414"/>
        <v>3.61176038267022</v>
      </c>
      <c r="P288" s="27">
        <f t="shared" si="415"/>
        <v>0.80261341837116</v>
      </c>
      <c r="Q288" s="25">
        <f t="shared" si="416"/>
        <v>0.20065335459279</v>
      </c>
      <c r="R288" s="25">
        <f t="shared" si="417"/>
        <v>0.722352076534044</v>
      </c>
      <c r="S288" s="25">
        <f t="shared" si="418"/>
        <v>10.0326677296395</v>
      </c>
      <c r="T288" s="25">
        <f t="shared" si="419"/>
        <v>1.5</v>
      </c>
      <c r="U288" s="25">
        <f t="shared" si="420"/>
        <v>2.67857142857143</v>
      </c>
      <c r="V288" s="25">
        <f t="shared" si="421"/>
        <v>5.38902325967349</v>
      </c>
      <c r="W288" s="24">
        <f t="shared" si="422"/>
        <v>350</v>
      </c>
      <c r="X288" s="131">
        <f t="shared" si="423"/>
        <v>123.952682136731</v>
      </c>
      <c r="Z288" s="25">
        <f t="shared" si="424"/>
        <v>0.531225780585989</v>
      </c>
      <c r="AA288" s="5">
        <f t="shared" si="425"/>
        <v>1.90852539181073</v>
      </c>
      <c r="AB288" s="5">
        <f t="shared" si="426"/>
        <v>0.0968257328161156</v>
      </c>
      <c r="AC288" s="5"/>
      <c r="AD288" s="5">
        <f t="shared" si="427"/>
        <v>1.0778046519347</v>
      </c>
      <c r="AE288" s="216">
        <f t="shared" si="428"/>
        <v>4080.33226759234</v>
      </c>
      <c r="AF288" s="217">
        <f t="shared" si="429"/>
        <v>0.0308798381447372</v>
      </c>
      <c r="AH288" s="5">
        <f t="shared" si="430"/>
        <v>1.34546858539533</v>
      </c>
      <c r="AI288" s="5">
        <f t="shared" si="431"/>
        <v>1.5</v>
      </c>
      <c r="AJ288" s="5">
        <f t="shared" si="432"/>
        <v>2.08888888888889</v>
      </c>
      <c r="AL288" s="216">
        <f t="shared" si="433"/>
        <v>360</v>
      </c>
      <c r="AM288" s="220">
        <f t="shared" si="434"/>
        <v>123.952682136731</v>
      </c>
      <c r="AO288" t="str">
        <f t="shared" si="435"/>
        <v/>
      </c>
      <c r="AP288" t="str">
        <f t="shared" si="436"/>
        <v/>
      </c>
      <c r="AR288" s="192">
        <f t="shared" si="406"/>
        <v>8.06759468824491</v>
      </c>
      <c r="AS288" s="192">
        <f t="shared" si="385"/>
        <v>2.67857142857143</v>
      </c>
      <c r="AT288" s="192">
        <f t="shared" si="386"/>
        <v>5.38902325967349</v>
      </c>
      <c r="AU288" s="5">
        <f t="shared" si="387"/>
        <v>0.332016112866243</v>
      </c>
      <c r="CI288" s="227">
        <f t="shared" si="437"/>
        <v>-50</v>
      </c>
    </row>
    <row r="289" spans="5:87">
      <c r="E289" s="22">
        <v>73</v>
      </c>
      <c r="F289" s="25">
        <f t="shared" si="438"/>
        <v>0.365</v>
      </c>
      <c r="G289" s="25">
        <f t="shared" si="407"/>
        <v>0.292</v>
      </c>
      <c r="H289" s="25">
        <f t="shared" si="408"/>
        <v>6.57</v>
      </c>
      <c r="I289" s="25">
        <f t="shared" si="409"/>
        <v>1.46</v>
      </c>
      <c r="J289" s="212">
        <f t="shared" si="410"/>
        <v>14</v>
      </c>
      <c r="K289" s="131">
        <f t="shared" si="411"/>
        <v>6.86692102805764</v>
      </c>
      <c r="L289" s="131">
        <f t="shared" si="412"/>
        <v>26.2728</v>
      </c>
      <c r="M289" s="131"/>
      <c r="N289" s="25">
        <f t="shared" si="413"/>
        <v>0.467129502755702</v>
      </c>
      <c r="O289" s="27">
        <f t="shared" si="414"/>
        <v>3.61176038267022</v>
      </c>
      <c r="P289" s="27">
        <f t="shared" si="415"/>
        <v>0.80261341837116</v>
      </c>
      <c r="Q289" s="25">
        <f t="shared" si="416"/>
        <v>0.20065335459279</v>
      </c>
      <c r="R289" s="25">
        <f t="shared" si="417"/>
        <v>0.722352076534044</v>
      </c>
      <c r="S289" s="25">
        <f t="shared" si="418"/>
        <v>9.89523392512389</v>
      </c>
      <c r="T289" s="25">
        <f t="shared" si="419"/>
        <v>1.5</v>
      </c>
      <c r="U289" s="25">
        <f t="shared" si="420"/>
        <v>2.67857142857143</v>
      </c>
      <c r="V289" s="25">
        <f t="shared" si="421"/>
        <v>5.46096275853156</v>
      </c>
      <c r="W289" s="24">
        <f t="shared" si="422"/>
        <v>350</v>
      </c>
      <c r="X289" s="131">
        <f t="shared" si="423"/>
        <v>122.85715337181</v>
      </c>
      <c r="Z289" s="25">
        <f t="shared" si="424"/>
        <v>0.526530657307756</v>
      </c>
      <c r="AA289" s="5">
        <f t="shared" si="425"/>
        <v>1.91690954052186</v>
      </c>
      <c r="AB289" s="5">
        <f t="shared" si="426"/>
        <v>0.0963915555454732</v>
      </c>
      <c r="AC289" s="5"/>
      <c r="AD289" s="5">
        <f t="shared" si="427"/>
        <v>1.09219255170631</v>
      </c>
      <c r="AE289" s="216">
        <f t="shared" si="428"/>
        <v>4082.50510709851</v>
      </c>
      <c r="AF289" s="217">
        <f t="shared" si="429"/>
        <v>0.0312920612831256</v>
      </c>
      <c r="AH289" s="5">
        <f t="shared" si="430"/>
        <v>1.35477989777992</v>
      </c>
      <c r="AI289" s="5">
        <f t="shared" si="431"/>
        <v>1.5</v>
      </c>
      <c r="AJ289" s="5">
        <f t="shared" si="432"/>
        <v>2.08888888888889</v>
      </c>
      <c r="AL289" s="216">
        <f t="shared" si="433"/>
        <v>365</v>
      </c>
      <c r="AM289" s="220">
        <f t="shared" si="434"/>
        <v>122.85715337181</v>
      </c>
      <c r="AO289" t="str">
        <f t="shared" si="435"/>
        <v/>
      </c>
      <c r="AP289" t="str">
        <f t="shared" si="436"/>
        <v/>
      </c>
      <c r="AR289" s="192">
        <f t="shared" si="406"/>
        <v>8.13953418710299</v>
      </c>
      <c r="AS289" s="192">
        <f t="shared" si="385"/>
        <v>2.67857142857143</v>
      </c>
      <c r="AT289" s="192">
        <f t="shared" si="386"/>
        <v>5.46096275853156</v>
      </c>
      <c r="AU289" s="5">
        <f t="shared" si="387"/>
        <v>0.329081660817347</v>
      </c>
      <c r="CI289" s="227">
        <f t="shared" si="437"/>
        <v>-50</v>
      </c>
    </row>
    <row r="290" spans="5:87">
      <c r="E290" s="22">
        <v>74</v>
      </c>
      <c r="F290" s="25">
        <f t="shared" si="438"/>
        <v>0.37</v>
      </c>
      <c r="G290" s="25">
        <f t="shared" si="407"/>
        <v>0.296</v>
      </c>
      <c r="H290" s="25">
        <f t="shared" si="408"/>
        <v>6.66</v>
      </c>
      <c r="I290" s="25">
        <f t="shared" si="409"/>
        <v>1.48</v>
      </c>
      <c r="J290" s="212">
        <f t="shared" si="410"/>
        <v>14</v>
      </c>
      <c r="K290" s="131">
        <f t="shared" si="411"/>
        <v>6.77773020335416</v>
      </c>
      <c r="L290" s="131">
        <f t="shared" si="412"/>
        <v>26.2728</v>
      </c>
      <c r="M290" s="131"/>
      <c r="N290" s="25">
        <f t="shared" si="413"/>
        <v>0.467129502755702</v>
      </c>
      <c r="O290" s="27">
        <f t="shared" si="414"/>
        <v>3.61176038267022</v>
      </c>
      <c r="P290" s="27">
        <f t="shared" si="415"/>
        <v>0.80261341837116</v>
      </c>
      <c r="Q290" s="25">
        <f t="shared" si="416"/>
        <v>0.20065335459279</v>
      </c>
      <c r="R290" s="25">
        <f t="shared" si="417"/>
        <v>0.722352076534044</v>
      </c>
      <c r="S290" s="25">
        <f t="shared" si="418"/>
        <v>9.76151454775735</v>
      </c>
      <c r="T290" s="25">
        <f t="shared" si="419"/>
        <v>1.5</v>
      </c>
      <c r="U290" s="25">
        <f t="shared" si="420"/>
        <v>2.67857142857143</v>
      </c>
      <c r="V290" s="25">
        <f t="shared" si="421"/>
        <v>5.53282572113036</v>
      </c>
      <c r="W290" s="24">
        <f t="shared" si="422"/>
        <v>350</v>
      </c>
      <c r="X290" s="131">
        <f t="shared" si="423"/>
        <v>121.781955222604</v>
      </c>
      <c r="Z290" s="25">
        <f t="shared" si="424"/>
        <v>0.521922665239731</v>
      </c>
      <c r="AA290" s="5">
        <f t="shared" si="425"/>
        <v>1.92513809778619</v>
      </c>
      <c r="AB290" s="5">
        <f t="shared" si="426"/>
        <v>0.095958124839302</v>
      </c>
      <c r="AC290" s="5"/>
      <c r="AD290" s="5">
        <f t="shared" si="427"/>
        <v>1.10656514422607</v>
      </c>
      <c r="AE290" s="216">
        <f t="shared" si="428"/>
        <v>4084.67794660469</v>
      </c>
      <c r="AF290" s="217">
        <f t="shared" si="429"/>
        <v>0.0317038458583117</v>
      </c>
      <c r="AH290" s="5">
        <f t="shared" si="430"/>
        <v>1.36402764948935</v>
      </c>
      <c r="AI290" s="5">
        <f t="shared" si="431"/>
        <v>1.5</v>
      </c>
      <c r="AJ290" s="5">
        <f t="shared" si="432"/>
        <v>2.08888888888889</v>
      </c>
      <c r="AL290" s="216">
        <f t="shared" si="433"/>
        <v>370</v>
      </c>
      <c r="AM290" s="220">
        <f t="shared" si="434"/>
        <v>121.781955222604</v>
      </c>
      <c r="AO290" t="str">
        <f t="shared" si="435"/>
        <v/>
      </c>
      <c r="AP290" t="str">
        <f t="shared" si="436"/>
        <v/>
      </c>
      <c r="AR290" s="192">
        <f t="shared" si="406"/>
        <v>8.21139714970179</v>
      </c>
      <c r="AS290" s="192">
        <f t="shared" si="385"/>
        <v>2.67857142857143</v>
      </c>
      <c r="AT290" s="192">
        <f t="shared" si="386"/>
        <v>5.53282572113036</v>
      </c>
      <c r="AU290" s="5">
        <f t="shared" si="387"/>
        <v>0.326201665774832</v>
      </c>
      <c r="CI290" s="227">
        <f t="shared" si="437"/>
        <v>-50</v>
      </c>
    </row>
    <row r="291" spans="5:87">
      <c r="E291" s="22">
        <v>75</v>
      </c>
      <c r="F291" s="25">
        <f t="shared" si="438"/>
        <v>0.375</v>
      </c>
      <c r="G291" s="25">
        <f t="shared" si="407"/>
        <v>0.3</v>
      </c>
      <c r="H291" s="25">
        <f t="shared" si="408"/>
        <v>6.75</v>
      </c>
      <c r="I291" s="25">
        <f t="shared" si="409"/>
        <v>1.5</v>
      </c>
      <c r="J291" s="212">
        <f t="shared" si="410"/>
        <v>14</v>
      </c>
      <c r="K291" s="131">
        <f t="shared" si="411"/>
        <v>6.69091780064277</v>
      </c>
      <c r="L291" s="131">
        <f t="shared" si="412"/>
        <v>26.2728</v>
      </c>
      <c r="M291" s="131"/>
      <c r="N291" s="25">
        <f t="shared" si="413"/>
        <v>0.467129502755702</v>
      </c>
      <c r="O291" s="27">
        <f t="shared" si="414"/>
        <v>3.61176038267022</v>
      </c>
      <c r="P291" s="27">
        <f t="shared" si="415"/>
        <v>0.80261341837116</v>
      </c>
      <c r="Q291" s="25">
        <f t="shared" si="416"/>
        <v>0.20065335459279</v>
      </c>
      <c r="R291" s="25">
        <f t="shared" si="417"/>
        <v>0.722352076534044</v>
      </c>
      <c r="S291" s="25">
        <f t="shared" si="418"/>
        <v>9.63136102045392</v>
      </c>
      <c r="T291" s="25">
        <f t="shared" si="419"/>
        <v>1.5</v>
      </c>
      <c r="U291" s="25">
        <f t="shared" si="420"/>
        <v>2.67857142857143</v>
      </c>
      <c r="V291" s="25">
        <f t="shared" si="421"/>
        <v>5.60461226954507</v>
      </c>
      <c r="W291" s="24">
        <f t="shared" si="422"/>
        <v>350</v>
      </c>
      <c r="X291" s="131">
        <f t="shared" si="423"/>
        <v>120.726526954532</v>
      </c>
      <c r="Z291" s="25">
        <f t="shared" si="424"/>
        <v>0.517399401233708</v>
      </c>
      <c r="AA291" s="5">
        <f t="shared" si="425"/>
        <v>1.93321535493981</v>
      </c>
      <c r="AB291" s="5">
        <f t="shared" si="426"/>
        <v>0.0955256198910889</v>
      </c>
      <c r="AC291" s="5"/>
      <c r="AD291" s="5">
        <f t="shared" si="427"/>
        <v>1.12092245390901</v>
      </c>
      <c r="AE291" s="216">
        <f t="shared" si="428"/>
        <v>4086.85078611086</v>
      </c>
      <c r="AF291" s="217">
        <f t="shared" si="429"/>
        <v>0.0321151925698028</v>
      </c>
      <c r="AH291" s="5">
        <f t="shared" si="430"/>
        <v>1.37321312465119</v>
      </c>
      <c r="AI291" s="5">
        <f t="shared" si="431"/>
        <v>1.5</v>
      </c>
      <c r="AJ291" s="5">
        <f t="shared" si="432"/>
        <v>2.08888888888889</v>
      </c>
      <c r="AL291" s="216">
        <f t="shared" si="433"/>
        <v>375</v>
      </c>
      <c r="AM291" s="220">
        <f t="shared" si="434"/>
        <v>120.726526954532</v>
      </c>
      <c r="AO291" t="str">
        <f t="shared" si="435"/>
        <v/>
      </c>
      <c r="AP291" t="str">
        <f t="shared" si="436"/>
        <v/>
      </c>
      <c r="AR291" s="192">
        <f t="shared" si="406"/>
        <v>8.2831836981165</v>
      </c>
      <c r="AS291" s="192">
        <f t="shared" si="385"/>
        <v>2.67857142857143</v>
      </c>
      <c r="AT291" s="192">
        <f t="shared" si="386"/>
        <v>5.60461226954507</v>
      </c>
      <c r="AU291" s="5">
        <f t="shared" si="387"/>
        <v>0.323374625771067</v>
      </c>
      <c r="CI291" s="227">
        <f t="shared" si="437"/>
        <v>-50</v>
      </c>
    </row>
    <row r="292" spans="5:87">
      <c r="E292" s="22">
        <v>76</v>
      </c>
      <c r="F292" s="25">
        <f t="shared" si="438"/>
        <v>0.38</v>
      </c>
      <c r="G292" s="25">
        <f t="shared" si="407"/>
        <v>0.304</v>
      </c>
      <c r="H292" s="25">
        <f t="shared" si="408"/>
        <v>6.84</v>
      </c>
      <c r="I292" s="25">
        <f t="shared" si="409"/>
        <v>1.52</v>
      </c>
      <c r="J292" s="212">
        <f t="shared" si="410"/>
        <v>14</v>
      </c>
      <c r="K292" s="131">
        <f t="shared" si="411"/>
        <v>6.60638993484484</v>
      </c>
      <c r="L292" s="131">
        <f t="shared" si="412"/>
        <v>26.2728</v>
      </c>
      <c r="M292" s="131"/>
      <c r="N292" s="25">
        <f t="shared" si="413"/>
        <v>0.467129502755702</v>
      </c>
      <c r="O292" s="27">
        <f t="shared" si="414"/>
        <v>3.61176038267022</v>
      </c>
      <c r="P292" s="27">
        <f t="shared" si="415"/>
        <v>0.80261341837116</v>
      </c>
      <c r="Q292" s="25">
        <f t="shared" si="416"/>
        <v>0.20065335459279</v>
      </c>
      <c r="R292" s="25">
        <f t="shared" si="417"/>
        <v>0.722352076534044</v>
      </c>
      <c r="S292" s="25">
        <f t="shared" si="418"/>
        <v>9.50463258597427</v>
      </c>
      <c r="T292" s="25">
        <f t="shared" si="419"/>
        <v>1.5</v>
      </c>
      <c r="U292" s="25">
        <f t="shared" si="420"/>
        <v>2.67857142857143</v>
      </c>
      <c r="V292" s="25">
        <f t="shared" si="421"/>
        <v>5.67632252559139</v>
      </c>
      <c r="W292" s="24">
        <f t="shared" si="422"/>
        <v>350</v>
      </c>
      <c r="X292" s="131">
        <f t="shared" si="423"/>
        <v>119.690328265836</v>
      </c>
      <c r="Z292" s="25">
        <f t="shared" si="424"/>
        <v>0.512958549710728</v>
      </c>
      <c r="AA292" s="5">
        <f t="shared" si="425"/>
        <v>1.94114544694513</v>
      </c>
      <c r="AB292" s="5">
        <f t="shared" si="426"/>
        <v>0.0950942061509215</v>
      </c>
      <c r="AC292" s="5"/>
      <c r="AD292" s="5">
        <f t="shared" si="427"/>
        <v>1.13526450511828</v>
      </c>
      <c r="AE292" s="216">
        <f t="shared" si="428"/>
        <v>4089.02362561703</v>
      </c>
      <c r="AF292" s="217">
        <f t="shared" si="429"/>
        <v>0.0325261021156194</v>
      </c>
      <c r="AH292" s="5">
        <f t="shared" si="430"/>
        <v>1.38233756472764</v>
      </c>
      <c r="AI292" s="5">
        <f t="shared" si="431"/>
        <v>1.5</v>
      </c>
      <c r="AJ292" s="5">
        <f t="shared" si="432"/>
        <v>2.08888888888889</v>
      </c>
      <c r="AL292" s="216">
        <f t="shared" si="433"/>
        <v>380</v>
      </c>
      <c r="AM292" s="220">
        <f t="shared" si="434"/>
        <v>119.690328265836</v>
      </c>
      <c r="AO292" t="str">
        <f t="shared" si="435"/>
        <v/>
      </c>
      <c r="AP292" t="str">
        <f t="shared" si="436"/>
        <v/>
      </c>
      <c r="AR292" s="192">
        <f t="shared" si="406"/>
        <v>8.35489395416282</v>
      </c>
      <c r="AS292" s="192">
        <f t="shared" si="385"/>
        <v>2.67857142857143</v>
      </c>
      <c r="AT292" s="192">
        <f t="shared" si="386"/>
        <v>5.67632252559139</v>
      </c>
      <c r="AU292" s="5">
        <f t="shared" si="387"/>
        <v>0.320599093569205</v>
      </c>
      <c r="CI292" s="227">
        <f t="shared" si="437"/>
        <v>-50</v>
      </c>
    </row>
    <row r="293" spans="5:87">
      <c r="E293" s="22">
        <v>77</v>
      </c>
      <c r="F293" s="25">
        <f t="shared" si="438"/>
        <v>0.385</v>
      </c>
      <c r="G293" s="25">
        <f t="shared" si="407"/>
        <v>0.308</v>
      </c>
      <c r="H293" s="25">
        <f t="shared" si="408"/>
        <v>6.93</v>
      </c>
      <c r="I293" s="25">
        <f t="shared" si="409"/>
        <v>1.54</v>
      </c>
      <c r="J293" s="212">
        <f t="shared" si="410"/>
        <v>14</v>
      </c>
      <c r="K293" s="131">
        <f t="shared" si="411"/>
        <v>6.52405759802867</v>
      </c>
      <c r="L293" s="131">
        <f t="shared" si="412"/>
        <v>26.2728</v>
      </c>
      <c r="M293" s="131"/>
      <c r="N293" s="25">
        <f t="shared" si="413"/>
        <v>0.467129502755702</v>
      </c>
      <c r="O293" s="27">
        <f t="shared" si="414"/>
        <v>3.61176038267022</v>
      </c>
      <c r="P293" s="27">
        <f t="shared" si="415"/>
        <v>0.80261341837116</v>
      </c>
      <c r="Q293" s="25">
        <f t="shared" si="416"/>
        <v>0.20065335459279</v>
      </c>
      <c r="R293" s="25">
        <f t="shared" si="417"/>
        <v>0.722352076534044</v>
      </c>
      <c r="S293" s="25">
        <f t="shared" si="418"/>
        <v>9.38119579914343</v>
      </c>
      <c r="T293" s="25">
        <f t="shared" si="419"/>
        <v>1.5</v>
      </c>
      <c r="U293" s="25">
        <f t="shared" si="420"/>
        <v>2.67857142857143</v>
      </c>
      <c r="V293" s="25">
        <f t="shared" si="421"/>
        <v>5.74795661082623</v>
      </c>
      <c r="W293" s="24">
        <f t="shared" si="422"/>
        <v>350</v>
      </c>
      <c r="X293" s="131">
        <f t="shared" si="423"/>
        <v>118.672838365287</v>
      </c>
      <c r="Z293" s="25">
        <f t="shared" si="424"/>
        <v>0.508597878708374</v>
      </c>
      <c r="AA293" s="5">
        <f t="shared" si="425"/>
        <v>1.94893235944933</v>
      </c>
      <c r="AB293" s="5">
        <f t="shared" si="426"/>
        <v>0.0946640362685104</v>
      </c>
      <c r="AC293" s="5"/>
      <c r="AD293" s="5">
        <f t="shared" si="427"/>
        <v>1.14959132216525</v>
      </c>
      <c r="AE293" s="216">
        <f t="shared" si="428"/>
        <v>4091.1964651232</v>
      </c>
      <c r="AF293" s="217">
        <f t="shared" si="429"/>
        <v>0.0329365751922994</v>
      </c>
      <c r="AH293" s="5">
        <f t="shared" si="430"/>
        <v>1.39140217047409</v>
      </c>
      <c r="AI293" s="5">
        <f t="shared" si="431"/>
        <v>1.5</v>
      </c>
      <c r="AJ293" s="5">
        <f t="shared" si="432"/>
        <v>2.08888888888889</v>
      </c>
      <c r="AL293" s="216">
        <f t="shared" si="433"/>
        <v>385</v>
      </c>
      <c r="AM293" s="220">
        <f t="shared" si="434"/>
        <v>118.672838365287</v>
      </c>
      <c r="AO293" t="str">
        <f t="shared" si="435"/>
        <v/>
      </c>
      <c r="AP293" t="str">
        <f t="shared" si="436"/>
        <v/>
      </c>
      <c r="AR293" s="192">
        <f t="shared" si="406"/>
        <v>8.42652803939766</v>
      </c>
      <c r="AS293" s="192">
        <f t="shared" si="385"/>
        <v>2.67857142857143</v>
      </c>
      <c r="AT293" s="192">
        <f t="shared" si="386"/>
        <v>5.74795661082623</v>
      </c>
      <c r="AU293" s="5">
        <f t="shared" si="387"/>
        <v>0.317873674192734</v>
      </c>
      <c r="CI293" s="227">
        <f t="shared" si="437"/>
        <v>-50</v>
      </c>
    </row>
    <row r="294" spans="5:87">
      <c r="E294" s="22">
        <v>78</v>
      </c>
      <c r="F294" s="25">
        <f t="shared" si="438"/>
        <v>0.39</v>
      </c>
      <c r="G294" s="25">
        <f t="shared" si="407"/>
        <v>0.312</v>
      </c>
      <c r="H294" s="25">
        <f t="shared" si="408"/>
        <v>7.02</v>
      </c>
      <c r="I294" s="25">
        <f t="shared" si="409"/>
        <v>1.56</v>
      </c>
      <c r="J294" s="212">
        <f t="shared" si="410"/>
        <v>14</v>
      </c>
      <c r="K294" s="131">
        <f t="shared" si="411"/>
        <v>6.44383634677189</v>
      </c>
      <c r="L294" s="131">
        <f t="shared" si="412"/>
        <v>26.2728</v>
      </c>
      <c r="M294" s="131"/>
      <c r="N294" s="25">
        <f t="shared" si="413"/>
        <v>0.467129502755702</v>
      </c>
      <c r="O294" s="27">
        <f t="shared" si="414"/>
        <v>3.61176038267022</v>
      </c>
      <c r="P294" s="27">
        <f t="shared" si="415"/>
        <v>0.80261341837116</v>
      </c>
      <c r="Q294" s="25">
        <f t="shared" si="416"/>
        <v>0.20065335459279</v>
      </c>
      <c r="R294" s="25">
        <f t="shared" si="417"/>
        <v>0.722352076534044</v>
      </c>
      <c r="S294" s="25">
        <f t="shared" si="418"/>
        <v>9.26092405812877</v>
      </c>
      <c r="T294" s="25">
        <f t="shared" si="419"/>
        <v>1.5</v>
      </c>
      <c r="U294" s="25">
        <f t="shared" si="420"/>
        <v>2.67857142857143</v>
      </c>
      <c r="V294" s="25">
        <f t="shared" si="421"/>
        <v>5.81951464654841</v>
      </c>
      <c r="W294" s="24">
        <f t="shared" si="422"/>
        <v>350</v>
      </c>
      <c r="X294" s="131">
        <f t="shared" si="423"/>
        <v>117.673555099393</v>
      </c>
      <c r="Z294" s="25">
        <f t="shared" si="424"/>
        <v>0.504315236140257</v>
      </c>
      <c r="AA294" s="5">
        <f t="shared" si="425"/>
        <v>1.95657993546383</v>
      </c>
      <c r="AB294" s="5">
        <f t="shared" si="426"/>
        <v>0.0942352509684236</v>
      </c>
      <c r="AC294" s="5"/>
      <c r="AD294" s="5">
        <f t="shared" si="427"/>
        <v>1.16390292930968</v>
      </c>
      <c r="AE294" s="216">
        <f t="shared" si="428"/>
        <v>4093.36930462938</v>
      </c>
      <c r="AF294" s="217">
        <f t="shared" si="429"/>
        <v>0.0333466124949014</v>
      </c>
      <c r="AH294" s="5">
        <f t="shared" si="430"/>
        <v>1.40040810378363</v>
      </c>
      <c r="AI294" s="5">
        <f t="shared" si="431"/>
        <v>1.5</v>
      </c>
      <c r="AJ294" s="5">
        <f t="shared" si="432"/>
        <v>2.08888888888889</v>
      </c>
      <c r="AL294" s="216">
        <f t="shared" si="433"/>
        <v>390</v>
      </c>
      <c r="AM294" s="220">
        <f t="shared" si="434"/>
        <v>117.673555099393</v>
      </c>
      <c r="AO294" t="str">
        <f t="shared" si="435"/>
        <v/>
      </c>
      <c r="AP294" t="str">
        <f t="shared" si="436"/>
        <v/>
      </c>
      <c r="AR294" s="192">
        <f t="shared" si="406"/>
        <v>8.49808607511984</v>
      </c>
      <c r="AS294" s="192">
        <f t="shared" si="385"/>
        <v>2.67857142857143</v>
      </c>
      <c r="AT294" s="192">
        <f t="shared" si="386"/>
        <v>5.81951464654841</v>
      </c>
      <c r="AU294" s="5">
        <f t="shared" si="387"/>
        <v>0.31519702258766</v>
      </c>
      <c r="CI294" s="227">
        <f t="shared" si="437"/>
        <v>-50</v>
      </c>
    </row>
    <row r="295" spans="5:87">
      <c r="E295" s="22">
        <v>79</v>
      </c>
      <c r="F295" s="25">
        <f t="shared" si="438"/>
        <v>0.395</v>
      </c>
      <c r="G295" s="25">
        <f t="shared" si="407"/>
        <v>0.316</v>
      </c>
      <c r="H295" s="25">
        <f t="shared" si="408"/>
        <v>7.11</v>
      </c>
      <c r="I295" s="25">
        <f t="shared" si="409"/>
        <v>1.58</v>
      </c>
      <c r="J295" s="212">
        <f t="shared" si="410"/>
        <v>14</v>
      </c>
      <c r="K295" s="131">
        <f t="shared" si="411"/>
        <v>6.36564601326845</v>
      </c>
      <c r="L295" s="131">
        <f t="shared" si="412"/>
        <v>26.2728</v>
      </c>
      <c r="M295" s="131"/>
      <c r="N295" s="25">
        <f t="shared" si="413"/>
        <v>0.467129502755702</v>
      </c>
      <c r="O295" s="27">
        <f t="shared" si="414"/>
        <v>3.61176038267022</v>
      </c>
      <c r="P295" s="27">
        <f t="shared" si="415"/>
        <v>0.80261341837116</v>
      </c>
      <c r="Q295" s="25">
        <f t="shared" si="416"/>
        <v>0.20065335459279</v>
      </c>
      <c r="R295" s="25">
        <f t="shared" si="417"/>
        <v>0.722352076534044</v>
      </c>
      <c r="S295" s="25">
        <f t="shared" si="418"/>
        <v>9.14369717131701</v>
      </c>
      <c r="T295" s="25">
        <f t="shared" si="419"/>
        <v>1.5</v>
      </c>
      <c r="U295" s="25">
        <f t="shared" si="420"/>
        <v>2.67857142857143</v>
      </c>
      <c r="V295" s="25">
        <f t="shared" si="421"/>
        <v>5.89099675379932</v>
      </c>
      <c r="W295" s="24">
        <f t="shared" si="422"/>
        <v>350</v>
      </c>
      <c r="X295" s="131">
        <f t="shared" si="423"/>
        <v>116.691994126051</v>
      </c>
      <c r="Z295" s="25">
        <f t="shared" si="424"/>
        <v>0.500108546254504</v>
      </c>
      <c r="AA295" s="5">
        <f t="shared" si="425"/>
        <v>1.96409188168839</v>
      </c>
      <c r="AB295" s="5">
        <f t="shared" si="426"/>
        <v>0.0938079798627951</v>
      </c>
      <c r="AC295" s="5"/>
      <c r="AD295" s="5">
        <f t="shared" si="427"/>
        <v>1.17819935075986</v>
      </c>
      <c r="AE295" s="216">
        <f t="shared" si="428"/>
        <v>4095.54214413555</v>
      </c>
      <c r="AF295" s="217">
        <f t="shared" si="429"/>
        <v>0.0337562147170092</v>
      </c>
      <c r="AH295" s="5">
        <f t="shared" si="430"/>
        <v>1.40935648942548</v>
      </c>
      <c r="AI295" s="5">
        <f t="shared" si="431"/>
        <v>1.5</v>
      </c>
      <c r="AJ295" s="5">
        <f t="shared" si="432"/>
        <v>2.08888888888889</v>
      </c>
      <c r="AL295" s="216">
        <f t="shared" si="433"/>
        <v>395</v>
      </c>
      <c r="AM295" s="220">
        <f t="shared" si="434"/>
        <v>116.691994126051</v>
      </c>
      <c r="AO295" t="str">
        <f t="shared" si="435"/>
        <v/>
      </c>
      <c r="AP295" t="str">
        <f t="shared" si="436"/>
        <v/>
      </c>
      <c r="AR295" s="192">
        <f t="shared" si="406"/>
        <v>8.56956818237074</v>
      </c>
      <c r="AS295" s="192">
        <f t="shared" si="385"/>
        <v>2.67857142857143</v>
      </c>
      <c r="AT295" s="192">
        <f t="shared" si="386"/>
        <v>5.89099675379932</v>
      </c>
      <c r="AU295" s="5">
        <f t="shared" si="387"/>
        <v>0.312567841409065</v>
      </c>
      <c r="CI295" s="227">
        <f t="shared" si="437"/>
        <v>-50</v>
      </c>
    </row>
    <row r="296" spans="5:87">
      <c r="E296" s="22">
        <v>80</v>
      </c>
      <c r="F296" s="25">
        <f t="shared" si="438"/>
        <v>0.4</v>
      </c>
      <c r="G296" s="25">
        <f t="shared" si="407"/>
        <v>0.32</v>
      </c>
      <c r="H296" s="25">
        <f t="shared" si="408"/>
        <v>7.2</v>
      </c>
      <c r="I296" s="25">
        <f t="shared" si="409"/>
        <v>1.6</v>
      </c>
      <c r="J296" s="212">
        <f t="shared" si="410"/>
        <v>14</v>
      </c>
      <c r="K296" s="131">
        <f t="shared" si="411"/>
        <v>6.28941043810259</v>
      </c>
      <c r="L296" s="131">
        <f t="shared" si="412"/>
        <v>26.2728</v>
      </c>
      <c r="M296" s="131"/>
      <c r="N296" s="25">
        <f t="shared" si="413"/>
        <v>0.467129502755702</v>
      </c>
      <c r="O296" s="27">
        <f t="shared" si="414"/>
        <v>3.61176038267022</v>
      </c>
      <c r="P296" s="27">
        <f t="shared" si="415"/>
        <v>0.80261341837116</v>
      </c>
      <c r="Q296" s="25">
        <f t="shared" si="416"/>
        <v>0.20065335459279</v>
      </c>
      <c r="R296" s="25">
        <f t="shared" si="417"/>
        <v>0.722352076534044</v>
      </c>
      <c r="S296" s="25">
        <f t="shared" si="418"/>
        <v>9.02940095667555</v>
      </c>
      <c r="T296" s="25">
        <f t="shared" si="419"/>
        <v>1.5</v>
      </c>
      <c r="U296" s="25">
        <f t="shared" si="420"/>
        <v>2.67857142857143</v>
      </c>
      <c r="V296" s="25">
        <f t="shared" si="421"/>
        <v>5.96240305336364</v>
      </c>
      <c r="W296" s="24">
        <f t="shared" si="422"/>
        <v>350</v>
      </c>
      <c r="X296" s="131">
        <f t="shared" si="423"/>
        <v>115.727688131774</v>
      </c>
      <c r="Z296" s="25">
        <f t="shared" si="424"/>
        <v>0.495975806279032</v>
      </c>
      <c r="AA296" s="5">
        <f t="shared" si="425"/>
        <v>1.97147177450173</v>
      </c>
      <c r="AB296" s="5">
        <f t="shared" si="426"/>
        <v>0.0933823422063293</v>
      </c>
      <c r="AC296" s="5"/>
      <c r="AD296" s="5">
        <f t="shared" si="427"/>
        <v>1.19248061067273</v>
      </c>
      <c r="AE296" s="216">
        <f t="shared" si="428"/>
        <v>4097.71498364172</v>
      </c>
      <c r="AF296" s="217">
        <f t="shared" si="429"/>
        <v>0.0341653825507355</v>
      </c>
      <c r="AH296" s="5">
        <f t="shared" si="430"/>
        <v>1.41824841668467</v>
      </c>
      <c r="AI296" s="5">
        <f t="shared" si="431"/>
        <v>1.5</v>
      </c>
      <c r="AJ296" s="5">
        <f t="shared" si="432"/>
        <v>2.08888888888889</v>
      </c>
      <c r="AL296" s="216">
        <f t="shared" si="433"/>
        <v>400</v>
      </c>
      <c r="AM296" s="220">
        <f t="shared" si="434"/>
        <v>115.727688131774</v>
      </c>
      <c r="AO296" t="str">
        <f t="shared" si="435"/>
        <v/>
      </c>
      <c r="AP296" t="str">
        <f t="shared" si="436"/>
        <v/>
      </c>
      <c r="AR296" s="192">
        <f t="shared" si="406"/>
        <v>8.64097448193506</v>
      </c>
      <c r="AS296" s="192">
        <f t="shared" si="385"/>
        <v>2.67857142857143</v>
      </c>
      <c r="AT296" s="192">
        <f t="shared" si="386"/>
        <v>5.96240305336364</v>
      </c>
      <c r="AU296" s="5">
        <f t="shared" si="387"/>
        <v>0.309984878924395</v>
      </c>
      <c r="CI296" s="227">
        <f t="shared" si="437"/>
        <v>-50</v>
      </c>
    </row>
    <row r="297" spans="5:87">
      <c r="E297" s="22">
        <v>81</v>
      </c>
      <c r="F297" s="25">
        <f t="shared" si="438"/>
        <v>0.405</v>
      </c>
      <c r="G297" s="25">
        <f t="shared" si="407"/>
        <v>0.324</v>
      </c>
      <c r="H297" s="25">
        <f t="shared" si="408"/>
        <v>7.29</v>
      </c>
      <c r="I297" s="25">
        <f t="shared" si="409"/>
        <v>1.62</v>
      </c>
      <c r="J297" s="212">
        <f t="shared" si="410"/>
        <v>14</v>
      </c>
      <c r="K297" s="131">
        <f t="shared" si="411"/>
        <v>6.21505722281738</v>
      </c>
      <c r="L297" s="131">
        <f t="shared" si="412"/>
        <v>26.2728</v>
      </c>
      <c r="M297" s="131"/>
      <c r="N297" s="25">
        <f t="shared" si="413"/>
        <v>0.467129502755702</v>
      </c>
      <c r="O297" s="27">
        <f t="shared" si="414"/>
        <v>3.61176038267022</v>
      </c>
      <c r="P297" s="27">
        <f t="shared" si="415"/>
        <v>0.80261341837116</v>
      </c>
      <c r="Q297" s="25">
        <f t="shared" si="416"/>
        <v>0.20065335459279</v>
      </c>
      <c r="R297" s="25">
        <f t="shared" si="417"/>
        <v>0.722352076534044</v>
      </c>
      <c r="S297" s="25">
        <f t="shared" si="418"/>
        <v>8.91792687079067</v>
      </c>
      <c r="T297" s="25">
        <f t="shared" si="419"/>
        <v>1.5</v>
      </c>
      <c r="U297" s="25">
        <f t="shared" si="420"/>
        <v>2.67857142857143</v>
      </c>
      <c r="V297" s="25">
        <f t="shared" si="421"/>
        <v>6.03373366576996</v>
      </c>
      <c r="W297" s="24">
        <f t="shared" si="422"/>
        <v>350</v>
      </c>
      <c r="X297" s="131">
        <f t="shared" si="423"/>
        <v>114.780186089844</v>
      </c>
      <c r="Z297" s="25">
        <f t="shared" si="424"/>
        <v>0.491915083242188</v>
      </c>
      <c r="AA297" s="5">
        <f t="shared" si="425"/>
        <v>1.97872306563895</v>
      </c>
      <c r="AB297" s="5">
        <f t="shared" si="426"/>
        <v>0.0929584475980168</v>
      </c>
      <c r="AC297" s="5"/>
      <c r="AD297" s="5">
        <f t="shared" si="427"/>
        <v>1.20674673315399</v>
      </c>
      <c r="AE297" s="216">
        <f t="shared" si="428"/>
        <v>4099.8878231479</v>
      </c>
      <c r="AF297" s="217">
        <f t="shared" si="429"/>
        <v>0.0345741166867254</v>
      </c>
      <c r="AH297" s="5">
        <f t="shared" si="430"/>
        <v>1.42708494090977</v>
      </c>
      <c r="AI297" s="5">
        <f t="shared" si="431"/>
        <v>1.5</v>
      </c>
      <c r="AJ297" s="5">
        <f t="shared" si="432"/>
        <v>2.08888888888889</v>
      </c>
      <c r="AL297" s="216">
        <f t="shared" si="433"/>
        <v>405</v>
      </c>
      <c r="AM297" s="220">
        <f t="shared" si="434"/>
        <v>114.780186089844</v>
      </c>
      <c r="AO297" t="str">
        <f t="shared" si="435"/>
        <v/>
      </c>
      <c r="AP297" t="str">
        <f t="shared" si="436"/>
        <v/>
      </c>
      <c r="AR297" s="192">
        <f t="shared" si="406"/>
        <v>8.71230509434139</v>
      </c>
      <c r="AS297" s="192">
        <f t="shared" si="385"/>
        <v>2.67857142857143</v>
      </c>
      <c r="AT297" s="192">
        <f t="shared" si="386"/>
        <v>6.03373366576996</v>
      </c>
      <c r="AU297" s="5">
        <f t="shared" si="387"/>
        <v>0.307446927026368</v>
      </c>
      <c r="CI297" s="227">
        <f t="shared" si="437"/>
        <v>-50</v>
      </c>
    </row>
    <row r="298" spans="5:87">
      <c r="E298" s="22">
        <v>82</v>
      </c>
      <c r="F298" s="25">
        <f t="shared" si="438"/>
        <v>0.41</v>
      </c>
      <c r="G298" s="25">
        <f t="shared" si="407"/>
        <v>0.328</v>
      </c>
      <c r="H298" s="25">
        <f t="shared" si="408"/>
        <v>7.38</v>
      </c>
      <c r="I298" s="25">
        <f t="shared" si="409"/>
        <v>1.64</v>
      </c>
      <c r="J298" s="212">
        <f t="shared" si="410"/>
        <v>14</v>
      </c>
      <c r="K298" s="131">
        <f t="shared" si="411"/>
        <v>6.1425175005879</v>
      </c>
      <c r="L298" s="131">
        <f t="shared" si="412"/>
        <v>26.2728</v>
      </c>
      <c r="M298" s="131"/>
      <c r="N298" s="25">
        <f t="shared" si="413"/>
        <v>0.467129502755702</v>
      </c>
      <c r="O298" s="27">
        <f t="shared" si="414"/>
        <v>3.61176038267022</v>
      </c>
      <c r="P298" s="27">
        <f t="shared" si="415"/>
        <v>0.80261341837116</v>
      </c>
      <c r="Q298" s="25">
        <f t="shared" si="416"/>
        <v>0.20065335459279</v>
      </c>
      <c r="R298" s="25">
        <f t="shared" si="417"/>
        <v>0.722352076534044</v>
      </c>
      <c r="S298" s="25">
        <f t="shared" si="418"/>
        <v>8.80917166504932</v>
      </c>
      <c r="T298" s="25">
        <f t="shared" si="419"/>
        <v>1.5</v>
      </c>
      <c r="U298" s="25">
        <f t="shared" si="420"/>
        <v>2.67857142857143</v>
      </c>
      <c r="V298" s="25">
        <f t="shared" si="421"/>
        <v>6.10498871129156</v>
      </c>
      <c r="W298" s="24">
        <f t="shared" si="422"/>
        <v>350</v>
      </c>
      <c r="X298" s="131">
        <f t="shared" si="423"/>
        <v>113.849052556905</v>
      </c>
      <c r="Z298" s="25">
        <f t="shared" si="424"/>
        <v>0.487924510958165</v>
      </c>
      <c r="AA298" s="5">
        <f t="shared" si="425"/>
        <v>1.9858490875747</v>
      </c>
      <c r="AB298" s="5">
        <f t="shared" si="426"/>
        <v>0.0925363966336141</v>
      </c>
      <c r="AC298" s="5"/>
      <c r="AD298" s="5">
        <f t="shared" si="427"/>
        <v>1.22099774225831</v>
      </c>
      <c r="AE298" s="216">
        <f t="shared" si="428"/>
        <v>4102.06066265407</v>
      </c>
      <c r="AF298" s="217">
        <f t="shared" si="429"/>
        <v>0.0349824178141613</v>
      </c>
      <c r="AH298" s="5">
        <f t="shared" si="430"/>
        <v>1.43586708497489</v>
      </c>
      <c r="AI298" s="5">
        <f t="shared" si="431"/>
        <v>1.5</v>
      </c>
      <c r="AJ298" s="5">
        <f t="shared" si="432"/>
        <v>2.08888888888889</v>
      </c>
      <c r="AL298" s="216">
        <f t="shared" si="433"/>
        <v>410</v>
      </c>
      <c r="AM298" s="220">
        <f t="shared" si="434"/>
        <v>113.849052556905</v>
      </c>
      <c r="AO298" t="str">
        <f t="shared" si="435"/>
        <v/>
      </c>
      <c r="AP298" t="str">
        <f t="shared" si="436"/>
        <v/>
      </c>
      <c r="AR298" s="192">
        <f t="shared" si="406"/>
        <v>8.78356013986299</v>
      </c>
      <c r="AS298" s="192">
        <f t="shared" si="385"/>
        <v>2.67857142857143</v>
      </c>
      <c r="AT298" s="192">
        <f t="shared" si="386"/>
        <v>6.10498871129156</v>
      </c>
      <c r="AU298" s="5">
        <f t="shared" si="387"/>
        <v>0.304952819348853</v>
      </c>
      <c r="CI298" s="227">
        <f t="shared" si="437"/>
        <v>-50</v>
      </c>
    </row>
    <row r="299" spans="5:87">
      <c r="E299" s="22">
        <v>83</v>
      </c>
      <c r="F299" s="25">
        <f t="shared" si="438"/>
        <v>0.415</v>
      </c>
      <c r="G299" s="25">
        <f t="shared" si="407"/>
        <v>0.332</v>
      </c>
      <c r="H299" s="25">
        <f t="shared" si="408"/>
        <v>7.47</v>
      </c>
      <c r="I299" s="25">
        <f t="shared" si="409"/>
        <v>1.66</v>
      </c>
      <c r="J299" s="212">
        <f t="shared" si="410"/>
        <v>14</v>
      </c>
      <c r="K299" s="131">
        <f t="shared" si="411"/>
        <v>6.07172572347238</v>
      </c>
      <c r="L299" s="131">
        <f t="shared" si="412"/>
        <v>26.2728</v>
      </c>
      <c r="M299" s="131"/>
      <c r="N299" s="25">
        <f t="shared" si="413"/>
        <v>0.467129502755702</v>
      </c>
      <c r="O299" s="27">
        <f t="shared" si="414"/>
        <v>3.61176038267022</v>
      </c>
      <c r="P299" s="27">
        <f t="shared" si="415"/>
        <v>0.80261341837116</v>
      </c>
      <c r="Q299" s="25">
        <f t="shared" si="416"/>
        <v>0.20065335459279</v>
      </c>
      <c r="R299" s="25">
        <f t="shared" si="417"/>
        <v>0.722352076534044</v>
      </c>
      <c r="S299" s="25">
        <f t="shared" si="418"/>
        <v>8.70303706667523</v>
      </c>
      <c r="T299" s="25">
        <f t="shared" si="419"/>
        <v>1.5</v>
      </c>
      <c r="U299" s="25">
        <f t="shared" si="420"/>
        <v>2.67857142857143</v>
      </c>
      <c r="V299" s="25">
        <f t="shared" si="421"/>
        <v>6.17616830994698</v>
      </c>
      <c r="W299" s="24">
        <f t="shared" si="422"/>
        <v>350</v>
      </c>
      <c r="X299" s="131">
        <f t="shared" si="423"/>
        <v>112.933867005709</v>
      </c>
      <c r="Z299" s="25">
        <f t="shared" si="424"/>
        <v>0.484002287167322</v>
      </c>
      <c r="AA299" s="5">
        <f t="shared" si="425"/>
        <v>1.99285305862978</v>
      </c>
      <c r="AB299" s="5">
        <f t="shared" si="426"/>
        <v>0.0921162815126009</v>
      </c>
      <c r="AC299" s="5"/>
      <c r="AD299" s="5">
        <f t="shared" si="427"/>
        <v>1.2352336619894</v>
      </c>
      <c r="AE299" s="216">
        <f t="shared" si="428"/>
        <v>4104.23350216024</v>
      </c>
      <c r="AF299" s="217">
        <f t="shared" si="429"/>
        <v>0.0353902866207657</v>
      </c>
      <c r="AH299" s="5">
        <f t="shared" si="430"/>
        <v>1.44459584066172</v>
      </c>
      <c r="AI299" s="5">
        <f t="shared" si="431"/>
        <v>1.5</v>
      </c>
      <c r="AJ299" s="5">
        <f t="shared" si="432"/>
        <v>2.08888888888889</v>
      </c>
      <c r="AL299" s="216">
        <f t="shared" si="433"/>
        <v>415</v>
      </c>
      <c r="AM299" s="220">
        <f t="shared" si="434"/>
        <v>112.933867005709</v>
      </c>
      <c r="AO299" t="str">
        <f t="shared" si="435"/>
        <v/>
      </c>
      <c r="AP299" t="str">
        <f t="shared" si="436"/>
        <v/>
      </c>
      <c r="AR299" s="192">
        <f t="shared" si="406"/>
        <v>8.85473973851841</v>
      </c>
      <c r="AS299" s="192">
        <f t="shared" si="385"/>
        <v>2.67857142857143</v>
      </c>
      <c r="AT299" s="192">
        <f t="shared" si="386"/>
        <v>6.17616830994698</v>
      </c>
      <c r="AU299" s="5">
        <f t="shared" si="387"/>
        <v>0.302501429479576</v>
      </c>
      <c r="CI299" s="227">
        <f t="shared" si="437"/>
        <v>-50</v>
      </c>
    </row>
    <row r="300" spans="5:87">
      <c r="E300" s="22">
        <v>84</v>
      </c>
      <c r="F300" s="25">
        <f t="shared" si="438"/>
        <v>0.42</v>
      </c>
      <c r="G300" s="25">
        <f t="shared" si="407"/>
        <v>0.336</v>
      </c>
      <c r="H300" s="25">
        <f t="shared" si="408"/>
        <v>7.56</v>
      </c>
      <c r="I300" s="25">
        <f t="shared" si="409"/>
        <v>1.68</v>
      </c>
      <c r="J300" s="212">
        <f t="shared" si="410"/>
        <v>14</v>
      </c>
      <c r="K300" s="131">
        <f t="shared" si="411"/>
        <v>6.00261946485961</v>
      </c>
      <c r="L300" s="131">
        <f t="shared" si="412"/>
        <v>26.2728</v>
      </c>
      <c r="M300" s="131"/>
      <c r="N300" s="25">
        <f t="shared" si="413"/>
        <v>0.467129502755702</v>
      </c>
      <c r="O300" s="27">
        <f t="shared" si="414"/>
        <v>3.61176038267022</v>
      </c>
      <c r="P300" s="27">
        <f t="shared" si="415"/>
        <v>0.80261341837116</v>
      </c>
      <c r="Q300" s="25">
        <f t="shared" si="416"/>
        <v>0.20065335459279</v>
      </c>
      <c r="R300" s="25">
        <f t="shared" si="417"/>
        <v>0.722352076534044</v>
      </c>
      <c r="S300" s="25">
        <f t="shared" si="418"/>
        <v>8.59942948254814</v>
      </c>
      <c r="T300" s="25">
        <f t="shared" si="419"/>
        <v>1.5</v>
      </c>
      <c r="U300" s="25">
        <f t="shared" si="420"/>
        <v>2.67857142857143</v>
      </c>
      <c r="V300" s="25">
        <f t="shared" si="421"/>
        <v>6.24727258150073</v>
      </c>
      <c r="W300" s="24">
        <f t="shared" si="422"/>
        <v>350</v>
      </c>
      <c r="X300" s="131">
        <f t="shared" si="423"/>
        <v>112.034223191843</v>
      </c>
      <c r="Z300" s="25">
        <f t="shared" si="424"/>
        <v>0.480146670822185</v>
      </c>
      <c r="AA300" s="5">
        <f t="shared" si="425"/>
        <v>1.99973808781753</v>
      </c>
      <c r="AB300" s="5">
        <f t="shared" si="426"/>
        <v>0.0916981866030299</v>
      </c>
      <c r="AC300" s="5"/>
      <c r="AD300" s="5">
        <f t="shared" si="427"/>
        <v>1.24945451630015</v>
      </c>
      <c r="AE300" s="216">
        <f t="shared" si="428"/>
        <v>4106.40634166641</v>
      </c>
      <c r="AF300" s="217">
        <f t="shared" si="429"/>
        <v>0.0357977237928057</v>
      </c>
      <c r="AH300" s="5">
        <f t="shared" si="430"/>
        <v>1.4532721699668</v>
      </c>
      <c r="AI300" s="5">
        <f t="shared" si="431"/>
        <v>1.5</v>
      </c>
      <c r="AJ300" s="5">
        <f t="shared" si="432"/>
        <v>2.08888888888889</v>
      </c>
      <c r="AL300" s="216">
        <f t="shared" si="433"/>
        <v>420</v>
      </c>
      <c r="AM300" s="220">
        <f t="shared" si="434"/>
        <v>112.034223191843</v>
      </c>
      <c r="AO300" t="str">
        <f t="shared" si="435"/>
        <v/>
      </c>
      <c r="AP300" t="str">
        <f t="shared" si="436"/>
        <v/>
      </c>
      <c r="AR300" s="192">
        <f t="shared" si="406"/>
        <v>8.92584401007215</v>
      </c>
      <c r="AS300" s="192">
        <f t="shared" si="385"/>
        <v>2.67857142857143</v>
      </c>
      <c r="AT300" s="192">
        <f t="shared" si="386"/>
        <v>6.24727258150073</v>
      </c>
      <c r="AU300" s="5">
        <f t="shared" si="387"/>
        <v>0.300091669263866</v>
      </c>
      <c r="CI300" s="227">
        <f t="shared" si="437"/>
        <v>-50</v>
      </c>
    </row>
    <row r="301" spans="5:87">
      <c r="E301" s="22">
        <v>85</v>
      </c>
      <c r="F301" s="25">
        <f t="shared" si="438"/>
        <v>0.425</v>
      </c>
      <c r="G301" s="25">
        <f t="shared" si="407"/>
        <v>0.34</v>
      </c>
      <c r="H301" s="25">
        <f t="shared" si="408"/>
        <v>7.65</v>
      </c>
      <c r="I301" s="25">
        <f t="shared" si="409"/>
        <v>1.7</v>
      </c>
      <c r="J301" s="212">
        <f t="shared" si="410"/>
        <v>14</v>
      </c>
      <c r="K301" s="131">
        <f t="shared" si="411"/>
        <v>5.93513923586127</v>
      </c>
      <c r="L301" s="131">
        <f t="shared" si="412"/>
        <v>26.2728</v>
      </c>
      <c r="M301" s="131"/>
      <c r="N301" s="25">
        <f t="shared" si="413"/>
        <v>0.467129502755702</v>
      </c>
      <c r="O301" s="27">
        <f t="shared" si="414"/>
        <v>3.61176038267022</v>
      </c>
      <c r="P301" s="27">
        <f t="shared" si="415"/>
        <v>0.80261341837116</v>
      </c>
      <c r="Q301" s="25">
        <f t="shared" si="416"/>
        <v>0.20065335459279</v>
      </c>
      <c r="R301" s="25">
        <f t="shared" si="417"/>
        <v>0.722352076534044</v>
      </c>
      <c r="S301" s="25">
        <f t="shared" si="418"/>
        <v>8.49825972392993</v>
      </c>
      <c r="T301" s="25">
        <f t="shared" si="419"/>
        <v>1.5</v>
      </c>
      <c r="U301" s="25">
        <f t="shared" si="420"/>
        <v>2.67857142857143</v>
      </c>
      <c r="V301" s="25">
        <f t="shared" si="421"/>
        <v>6.31830164546397</v>
      </c>
      <c r="W301" s="24">
        <f t="shared" si="422"/>
        <v>350</v>
      </c>
      <c r="X301" s="131">
        <f t="shared" si="423"/>
        <v>111.149728552463</v>
      </c>
      <c r="Z301" s="25">
        <f t="shared" si="424"/>
        <v>0.476355979510557</v>
      </c>
      <c r="AA301" s="5">
        <f t="shared" si="425"/>
        <v>2.00650717944543</v>
      </c>
      <c r="AB301" s="5">
        <f t="shared" si="426"/>
        <v>0.0912821889674028</v>
      </c>
      <c r="AC301" s="5"/>
      <c r="AD301" s="5">
        <f t="shared" si="427"/>
        <v>1.26366032909279</v>
      </c>
      <c r="AE301" s="216">
        <f t="shared" si="428"/>
        <v>4108.57918117259</v>
      </c>
      <c r="AF301" s="217">
        <f t="shared" si="429"/>
        <v>0.0362047300150965</v>
      </c>
      <c r="AH301" s="5">
        <f t="shared" si="430"/>
        <v>1.46189700633897</v>
      </c>
      <c r="AI301" s="5">
        <f t="shared" si="431"/>
        <v>1.5</v>
      </c>
      <c r="AJ301" s="5">
        <f t="shared" si="432"/>
        <v>2.08888888888889</v>
      </c>
      <c r="AL301" s="216">
        <f t="shared" si="433"/>
        <v>425</v>
      </c>
      <c r="AM301" s="220">
        <f t="shared" si="434"/>
        <v>111.149728552463</v>
      </c>
      <c r="AO301" t="str">
        <f t="shared" si="435"/>
        <v/>
      </c>
      <c r="AP301" t="str">
        <f t="shared" si="436"/>
        <v/>
      </c>
      <c r="AR301" s="192">
        <f t="shared" si="406"/>
        <v>8.9968730740354</v>
      </c>
      <c r="AS301" s="192">
        <f t="shared" si="385"/>
        <v>2.67857142857143</v>
      </c>
      <c r="AT301" s="192">
        <f t="shared" si="386"/>
        <v>6.31830164546397</v>
      </c>
      <c r="AU301" s="5">
        <f t="shared" si="387"/>
        <v>0.297722487194098</v>
      </c>
      <c r="CI301" s="227">
        <f t="shared" si="437"/>
        <v>-50</v>
      </c>
    </row>
    <row r="302" spans="5:87">
      <c r="E302" s="22">
        <v>86</v>
      </c>
      <c r="F302" s="25">
        <f t="shared" si="438"/>
        <v>0.43</v>
      </c>
      <c r="G302" s="25">
        <f t="shared" si="407"/>
        <v>0.344</v>
      </c>
      <c r="H302" s="25">
        <f t="shared" si="408"/>
        <v>7.74</v>
      </c>
      <c r="I302" s="25">
        <f t="shared" si="409"/>
        <v>1.72</v>
      </c>
      <c r="J302" s="212">
        <f t="shared" si="410"/>
        <v>14</v>
      </c>
      <c r="K302" s="131">
        <f t="shared" si="411"/>
        <v>5.86922831451404</v>
      </c>
      <c r="L302" s="131">
        <f t="shared" si="412"/>
        <v>26.2728</v>
      </c>
      <c r="M302" s="131"/>
      <c r="N302" s="25">
        <f t="shared" si="413"/>
        <v>0.467129502755702</v>
      </c>
      <c r="O302" s="27">
        <f t="shared" si="414"/>
        <v>3.61176038267022</v>
      </c>
      <c r="P302" s="27">
        <f t="shared" si="415"/>
        <v>0.80261341837116</v>
      </c>
      <c r="Q302" s="25">
        <f t="shared" si="416"/>
        <v>0.20065335459279</v>
      </c>
      <c r="R302" s="25">
        <f t="shared" si="417"/>
        <v>0.722352076534044</v>
      </c>
      <c r="S302" s="25">
        <f t="shared" si="418"/>
        <v>8.39944275039586</v>
      </c>
      <c r="T302" s="25">
        <f t="shared" si="419"/>
        <v>1.5</v>
      </c>
      <c r="U302" s="25">
        <f t="shared" si="420"/>
        <v>2.67857142857143</v>
      </c>
      <c r="V302" s="25">
        <f t="shared" si="421"/>
        <v>6.38925562109521</v>
      </c>
      <c r="W302" s="24">
        <f t="shared" si="422"/>
        <v>350</v>
      </c>
      <c r="X302" s="131">
        <f t="shared" si="423"/>
        <v>110.280003635134</v>
      </c>
      <c r="Z302" s="25">
        <f t="shared" si="424"/>
        <v>0.472628587007716</v>
      </c>
      <c r="AA302" s="5">
        <f t="shared" si="425"/>
        <v>2.01316323748622</v>
      </c>
      <c r="AB302" s="5">
        <f t="shared" si="426"/>
        <v>0.0908683588524568</v>
      </c>
      <c r="AC302" s="5"/>
      <c r="AD302" s="5">
        <f t="shared" si="427"/>
        <v>1.27785112421904</v>
      </c>
      <c r="AE302" s="216">
        <f t="shared" si="428"/>
        <v>4110.75202067876</v>
      </c>
      <c r="AF302" s="217">
        <f t="shared" si="429"/>
        <v>0.0366113059710057</v>
      </c>
      <c r="AH302" s="5">
        <f t="shared" si="430"/>
        <v>1.47047125585158</v>
      </c>
      <c r="AI302" s="5">
        <f t="shared" si="431"/>
        <v>1.5</v>
      </c>
      <c r="AJ302" s="5">
        <f t="shared" si="432"/>
        <v>2.08888888888889</v>
      </c>
      <c r="AL302" s="216">
        <f t="shared" si="433"/>
        <v>430</v>
      </c>
      <c r="AM302" s="220">
        <f t="shared" si="434"/>
        <v>110.280003635134</v>
      </c>
      <c r="AO302" t="str">
        <f t="shared" si="435"/>
        <v/>
      </c>
      <c r="AP302" t="str">
        <f t="shared" si="436"/>
        <v/>
      </c>
      <c r="AR302" s="192">
        <f t="shared" si="406"/>
        <v>9.06782704966664</v>
      </c>
      <c r="AS302" s="192">
        <f t="shared" si="385"/>
        <v>2.67857142857143</v>
      </c>
      <c r="AT302" s="192">
        <f t="shared" si="386"/>
        <v>6.38925562109521</v>
      </c>
      <c r="AU302" s="5">
        <f t="shared" si="387"/>
        <v>0.295392866879822</v>
      </c>
      <c r="CI302" s="227">
        <f t="shared" si="437"/>
        <v>-50</v>
      </c>
    </row>
    <row r="303" spans="5:87">
      <c r="E303" s="22">
        <v>87</v>
      </c>
      <c r="F303" s="25">
        <f t="shared" si="438"/>
        <v>0.435</v>
      </c>
      <c r="G303" s="25">
        <f t="shared" si="407"/>
        <v>0.348</v>
      </c>
      <c r="H303" s="25">
        <f t="shared" si="408"/>
        <v>7.83</v>
      </c>
      <c r="I303" s="25">
        <f t="shared" si="409"/>
        <v>1.74</v>
      </c>
      <c r="J303" s="212">
        <f t="shared" si="410"/>
        <v>14</v>
      </c>
      <c r="K303" s="131">
        <f t="shared" si="411"/>
        <v>5.80483258676101</v>
      </c>
      <c r="L303" s="131">
        <f t="shared" si="412"/>
        <v>26.2728</v>
      </c>
      <c r="M303" s="131"/>
      <c r="N303" s="25">
        <f t="shared" si="413"/>
        <v>0.467129502755702</v>
      </c>
      <c r="O303" s="27">
        <f t="shared" si="414"/>
        <v>3.61176038267022</v>
      </c>
      <c r="P303" s="27">
        <f t="shared" si="415"/>
        <v>0.80261341837116</v>
      </c>
      <c r="Q303" s="25">
        <f t="shared" si="416"/>
        <v>0.20065335459279</v>
      </c>
      <c r="R303" s="25">
        <f t="shared" si="417"/>
        <v>0.722352076534044</v>
      </c>
      <c r="S303" s="25">
        <f t="shared" si="418"/>
        <v>8.30289743142579</v>
      </c>
      <c r="T303" s="25">
        <f t="shared" si="419"/>
        <v>1.5</v>
      </c>
      <c r="U303" s="25">
        <f t="shared" si="420"/>
        <v>2.67857142857143</v>
      </c>
      <c r="V303" s="25">
        <f t="shared" si="421"/>
        <v>6.46013462740091</v>
      </c>
      <c r="W303" s="24">
        <f t="shared" si="422"/>
        <v>350</v>
      </c>
      <c r="X303" s="131">
        <f t="shared" si="423"/>
        <v>109.424681555052</v>
      </c>
      <c r="Z303" s="25">
        <f t="shared" si="424"/>
        <v>0.468962920950224</v>
      </c>
      <c r="AA303" s="5">
        <f t="shared" si="425"/>
        <v>2.01970906973174</v>
      </c>
      <c r="AB303" s="5">
        <f t="shared" si="426"/>
        <v>0.0904567601455123</v>
      </c>
      <c r="AC303" s="5"/>
      <c r="AD303" s="5">
        <f t="shared" si="427"/>
        <v>1.29202692548018</v>
      </c>
      <c r="AE303" s="216">
        <f t="shared" si="428"/>
        <v>4112.92486018493</v>
      </c>
      <c r="AF303" s="217">
        <f t="shared" si="429"/>
        <v>0.0370174523424564</v>
      </c>
      <c r="AH303" s="5">
        <f t="shared" si="430"/>
        <v>1.47899579831336</v>
      </c>
      <c r="AI303" s="5">
        <f t="shared" si="431"/>
        <v>1.5</v>
      </c>
      <c r="AJ303" s="5">
        <f t="shared" si="432"/>
        <v>2.08888888888889</v>
      </c>
      <c r="AL303" s="216">
        <f t="shared" si="433"/>
        <v>435</v>
      </c>
      <c r="AM303" s="220">
        <f t="shared" si="434"/>
        <v>109.424681555052</v>
      </c>
      <c r="AO303" t="str">
        <f t="shared" si="435"/>
        <v/>
      </c>
      <c r="AP303" t="str">
        <f t="shared" si="436"/>
        <v/>
      </c>
      <c r="AR303" s="192">
        <f t="shared" si="406"/>
        <v>9.13870605597234</v>
      </c>
      <c r="AS303" s="192">
        <f t="shared" si="385"/>
        <v>2.67857142857143</v>
      </c>
      <c r="AT303" s="192">
        <f t="shared" si="386"/>
        <v>6.46013462740091</v>
      </c>
      <c r="AU303" s="5">
        <f t="shared" si="387"/>
        <v>0.29310182559389</v>
      </c>
      <c r="CI303" s="227">
        <f t="shared" si="437"/>
        <v>-50</v>
      </c>
    </row>
    <row r="304" spans="5:87">
      <c r="E304" s="22">
        <v>88</v>
      </c>
      <c r="F304" s="25">
        <f t="shared" si="438"/>
        <v>0.44</v>
      </c>
      <c r="G304" s="25">
        <f t="shared" si="407"/>
        <v>0.352</v>
      </c>
      <c r="H304" s="25">
        <f t="shared" si="408"/>
        <v>7.92</v>
      </c>
      <c r="I304" s="25">
        <f t="shared" si="409"/>
        <v>1.76</v>
      </c>
      <c r="J304" s="212">
        <f t="shared" si="410"/>
        <v>14</v>
      </c>
      <c r="K304" s="131">
        <f t="shared" si="411"/>
        <v>5.74190039827509</v>
      </c>
      <c r="L304" s="131">
        <f t="shared" si="412"/>
        <v>26.2728</v>
      </c>
      <c r="M304" s="131"/>
      <c r="N304" s="25">
        <f t="shared" si="413"/>
        <v>0.467129502755702</v>
      </c>
      <c r="O304" s="27">
        <f t="shared" si="414"/>
        <v>3.61176038267022</v>
      </c>
      <c r="P304" s="27">
        <f t="shared" si="415"/>
        <v>0.80261341837116</v>
      </c>
      <c r="Q304" s="25">
        <f t="shared" si="416"/>
        <v>0.20065335459279</v>
      </c>
      <c r="R304" s="25">
        <f t="shared" si="417"/>
        <v>0.722352076534044</v>
      </c>
      <c r="S304" s="25">
        <f t="shared" si="418"/>
        <v>8.2085463242505</v>
      </c>
      <c r="T304" s="25">
        <f t="shared" si="419"/>
        <v>1.5</v>
      </c>
      <c r="U304" s="25">
        <f t="shared" si="420"/>
        <v>2.67857142857143</v>
      </c>
      <c r="V304" s="25">
        <f t="shared" si="421"/>
        <v>6.5309387831362</v>
      </c>
      <c r="W304" s="24">
        <f t="shared" si="422"/>
        <v>350</v>
      </c>
      <c r="X304" s="131">
        <f t="shared" si="423"/>
        <v>108.583407479015</v>
      </c>
      <c r="Z304" s="25">
        <f t="shared" si="424"/>
        <v>0.46535746062435</v>
      </c>
      <c r="AA304" s="5">
        <f t="shared" si="425"/>
        <v>2.02614739174223</v>
      </c>
      <c r="AB304" s="5">
        <f t="shared" si="426"/>
        <v>0.0900474507998245</v>
      </c>
      <c r="AC304" s="5"/>
      <c r="AD304" s="5">
        <f t="shared" si="427"/>
        <v>1.30618775662724</v>
      </c>
      <c r="AE304" s="216">
        <f t="shared" si="428"/>
        <v>4115.09769969111</v>
      </c>
      <c r="AF304" s="217">
        <f t="shared" si="429"/>
        <v>0.0374231698099318</v>
      </c>
      <c r="AH304" s="5">
        <f t="shared" si="430"/>
        <v>1.48747148832219</v>
      </c>
      <c r="AI304" s="5">
        <f t="shared" si="431"/>
        <v>1.5</v>
      </c>
      <c r="AJ304" s="5">
        <f t="shared" si="432"/>
        <v>2.08888888888889</v>
      </c>
      <c r="AL304" s="216">
        <f t="shared" si="433"/>
        <v>440</v>
      </c>
      <c r="AM304" s="220">
        <f t="shared" si="434"/>
        <v>108.583407479015</v>
      </c>
      <c r="AO304" t="str">
        <f t="shared" si="435"/>
        <v/>
      </c>
      <c r="AP304" t="str">
        <f t="shared" si="436"/>
        <v/>
      </c>
      <c r="AR304" s="192">
        <f t="shared" si="406"/>
        <v>9.20951021170763</v>
      </c>
      <c r="AS304" s="192">
        <f t="shared" si="385"/>
        <v>2.67857142857143</v>
      </c>
      <c r="AT304" s="192">
        <f t="shared" si="386"/>
        <v>6.53093878313621</v>
      </c>
      <c r="AU304" s="5">
        <f t="shared" si="387"/>
        <v>0.290848412890219</v>
      </c>
      <c r="CI304" s="227">
        <f t="shared" si="437"/>
        <v>-50</v>
      </c>
    </row>
    <row r="305" spans="5:87">
      <c r="E305" s="22">
        <v>89</v>
      </c>
      <c r="F305" s="25">
        <f t="shared" si="438"/>
        <v>0.445</v>
      </c>
      <c r="G305" s="25">
        <f t="shared" si="407"/>
        <v>0.356</v>
      </c>
      <c r="H305" s="25">
        <f t="shared" si="408"/>
        <v>8.01</v>
      </c>
      <c r="I305" s="25">
        <f t="shared" si="409"/>
        <v>1.78</v>
      </c>
      <c r="J305" s="212">
        <f t="shared" si="410"/>
        <v>14</v>
      </c>
      <c r="K305" s="131">
        <f t="shared" si="411"/>
        <v>5.68038241627199</v>
      </c>
      <c r="L305" s="131">
        <f t="shared" si="412"/>
        <v>26.2728</v>
      </c>
      <c r="M305" s="131"/>
      <c r="N305" s="25">
        <f t="shared" si="413"/>
        <v>0.467129502755702</v>
      </c>
      <c r="O305" s="27">
        <f t="shared" si="414"/>
        <v>3.61176038267022</v>
      </c>
      <c r="P305" s="27">
        <f t="shared" si="415"/>
        <v>0.80261341837116</v>
      </c>
      <c r="Q305" s="25">
        <f t="shared" si="416"/>
        <v>0.20065335459279</v>
      </c>
      <c r="R305" s="25">
        <f t="shared" si="417"/>
        <v>0.722352076534044</v>
      </c>
      <c r="S305" s="25">
        <f t="shared" si="418"/>
        <v>8.11631546667465</v>
      </c>
      <c r="T305" s="25">
        <f t="shared" si="419"/>
        <v>1.5</v>
      </c>
      <c r="U305" s="25">
        <f t="shared" si="420"/>
        <v>2.67857142857143</v>
      </c>
      <c r="V305" s="25">
        <f t="shared" si="421"/>
        <v>6.60166820680554</v>
      </c>
      <c r="W305" s="24">
        <f t="shared" si="422"/>
        <v>350</v>
      </c>
      <c r="X305" s="131">
        <f t="shared" si="423"/>
        <v>107.755838134602</v>
      </c>
      <c r="Z305" s="25">
        <f t="shared" si="424"/>
        <v>0.461810734862581</v>
      </c>
      <c r="AA305" s="5">
        <f t="shared" si="425"/>
        <v>2.03248083060253</v>
      </c>
      <c r="AB305" s="5">
        <f t="shared" si="426"/>
        <v>0.089640483231185</v>
      </c>
      <c r="AC305" s="5"/>
      <c r="AD305" s="5">
        <f t="shared" si="427"/>
        <v>1.32033364136111</v>
      </c>
      <c r="AE305" s="216">
        <f t="shared" si="428"/>
        <v>4117.27053919727</v>
      </c>
      <c r="AF305" s="217">
        <f t="shared" si="429"/>
        <v>0.0378284590524785</v>
      </c>
      <c r="AH305" s="5">
        <f t="shared" si="430"/>
        <v>1.49589915626498</v>
      </c>
      <c r="AI305" s="5">
        <f t="shared" si="431"/>
        <v>1.5</v>
      </c>
      <c r="AJ305" s="5">
        <f t="shared" si="432"/>
        <v>2.08888888888889</v>
      </c>
      <c r="AL305" s="216">
        <f t="shared" si="433"/>
        <v>445</v>
      </c>
      <c r="AM305" s="220">
        <f t="shared" si="434"/>
        <v>107.755838134602</v>
      </c>
      <c r="AO305" t="str">
        <f t="shared" si="435"/>
        <v/>
      </c>
      <c r="AP305" t="str">
        <f t="shared" si="436"/>
        <v/>
      </c>
      <c r="AR305" s="192">
        <f t="shared" si="406"/>
        <v>9.28023963537697</v>
      </c>
      <c r="AS305" s="192">
        <f t="shared" si="385"/>
        <v>2.67857142857143</v>
      </c>
      <c r="AT305" s="192">
        <f t="shared" si="386"/>
        <v>6.60166820680554</v>
      </c>
      <c r="AU305" s="5">
        <f t="shared" si="387"/>
        <v>0.288631709289113</v>
      </c>
      <c r="CI305" s="227">
        <f t="shared" si="437"/>
        <v>-50</v>
      </c>
    </row>
    <row r="306" spans="5:87">
      <c r="E306" s="22">
        <v>90</v>
      </c>
      <c r="F306" s="25">
        <f t="shared" si="438"/>
        <v>0.45</v>
      </c>
      <c r="G306" s="25">
        <f t="shared" si="407"/>
        <v>0.36</v>
      </c>
      <c r="H306" s="25">
        <f t="shared" si="408"/>
        <v>8.1</v>
      </c>
      <c r="I306" s="25">
        <f t="shared" si="409"/>
        <v>1.8</v>
      </c>
      <c r="J306" s="212">
        <f t="shared" si="410"/>
        <v>14</v>
      </c>
      <c r="K306" s="131">
        <f t="shared" si="411"/>
        <v>5.62023150053564</v>
      </c>
      <c r="L306" s="131">
        <f t="shared" si="412"/>
        <v>26.2728</v>
      </c>
      <c r="M306" s="131"/>
      <c r="N306" s="25">
        <f t="shared" si="413"/>
        <v>0.467129502755702</v>
      </c>
      <c r="O306" s="27">
        <f t="shared" si="414"/>
        <v>3.61176038267022</v>
      </c>
      <c r="P306" s="27">
        <f t="shared" si="415"/>
        <v>0.80261341837116</v>
      </c>
      <c r="Q306" s="25">
        <f t="shared" si="416"/>
        <v>0.20065335459279</v>
      </c>
      <c r="R306" s="25">
        <f t="shared" si="417"/>
        <v>0.722352076534044</v>
      </c>
      <c r="S306" s="25">
        <f t="shared" si="418"/>
        <v>8.0261341837116</v>
      </c>
      <c r="T306" s="25">
        <f t="shared" si="419"/>
        <v>1.5</v>
      </c>
      <c r="U306" s="25">
        <f t="shared" si="420"/>
        <v>2.67857142857143</v>
      </c>
      <c r="V306" s="25">
        <f t="shared" si="421"/>
        <v>6.67232301666329</v>
      </c>
      <c r="W306" s="24">
        <f t="shared" si="422"/>
        <v>350</v>
      </c>
      <c r="X306" s="131">
        <f t="shared" si="423"/>
        <v>106.941641343156</v>
      </c>
      <c r="Z306" s="25">
        <f t="shared" si="424"/>
        <v>0.458321320042097</v>
      </c>
      <c r="AA306" s="5">
        <f t="shared" si="425"/>
        <v>2.03871192849626</v>
      </c>
      <c r="AB306" s="5">
        <f t="shared" si="426"/>
        <v>0.0892359046878505</v>
      </c>
      <c r="AC306" s="5"/>
      <c r="AD306" s="5">
        <f t="shared" si="427"/>
        <v>1.33446460333266</v>
      </c>
      <c r="AE306" s="216">
        <f t="shared" si="428"/>
        <v>4119.44337870345</v>
      </c>
      <c r="AF306" s="217">
        <f t="shared" si="429"/>
        <v>0.0382333207477102</v>
      </c>
      <c r="AH306" s="5">
        <f t="shared" si="430"/>
        <v>1.50427960926722</v>
      </c>
      <c r="AI306" s="5">
        <f t="shared" si="431"/>
        <v>1.5</v>
      </c>
      <c r="AJ306" s="5">
        <f t="shared" si="432"/>
        <v>2.08888888888889</v>
      </c>
      <c r="AL306" s="216">
        <f t="shared" si="433"/>
        <v>450</v>
      </c>
      <c r="AM306" s="220">
        <f t="shared" si="434"/>
        <v>106.941641343156</v>
      </c>
      <c r="AO306" t="str">
        <f t="shared" si="435"/>
        <v/>
      </c>
      <c r="AP306" t="str">
        <f t="shared" si="436"/>
        <v/>
      </c>
      <c r="AR306" s="192">
        <f t="shared" si="406"/>
        <v>9.35089444523472</v>
      </c>
      <c r="AS306" s="192">
        <f t="shared" si="385"/>
        <v>2.67857142857143</v>
      </c>
      <c r="AT306" s="192">
        <f t="shared" si="386"/>
        <v>6.67232301666329</v>
      </c>
      <c r="AU306" s="5">
        <f t="shared" si="387"/>
        <v>0.28645082502631</v>
      </c>
      <c r="CI306" s="227">
        <f t="shared" si="437"/>
        <v>-50</v>
      </c>
    </row>
    <row r="307" spans="5:87">
      <c r="E307" s="22">
        <v>91</v>
      </c>
      <c r="F307" s="25">
        <f t="shared" si="438"/>
        <v>0.455</v>
      </c>
      <c r="G307" s="25">
        <f t="shared" si="407"/>
        <v>0.364</v>
      </c>
      <c r="H307" s="25">
        <f t="shared" si="408"/>
        <v>8.19</v>
      </c>
      <c r="I307" s="25">
        <f t="shared" si="409"/>
        <v>1.82</v>
      </c>
      <c r="J307" s="212">
        <f t="shared" si="410"/>
        <v>14</v>
      </c>
      <c r="K307" s="131">
        <f t="shared" si="411"/>
        <v>5.56140258294733</v>
      </c>
      <c r="L307" s="131">
        <f t="shared" si="412"/>
        <v>26.2728</v>
      </c>
      <c r="M307" s="131"/>
      <c r="N307" s="25">
        <f t="shared" si="413"/>
        <v>0.467129502755702</v>
      </c>
      <c r="O307" s="27">
        <f t="shared" si="414"/>
        <v>3.61176038267022</v>
      </c>
      <c r="P307" s="27">
        <f t="shared" si="415"/>
        <v>0.80261341837116</v>
      </c>
      <c r="Q307" s="25">
        <f t="shared" si="416"/>
        <v>0.20065335459279</v>
      </c>
      <c r="R307" s="25">
        <f t="shared" si="417"/>
        <v>0.722352076534044</v>
      </c>
      <c r="S307" s="25">
        <f t="shared" si="418"/>
        <v>7.93793490696752</v>
      </c>
      <c r="T307" s="25">
        <f t="shared" si="419"/>
        <v>1.5</v>
      </c>
      <c r="U307" s="25">
        <f t="shared" si="420"/>
        <v>2.67857142857143</v>
      </c>
      <c r="V307" s="25">
        <f t="shared" si="421"/>
        <v>6.74290333071454</v>
      </c>
      <c r="W307" s="24">
        <f t="shared" si="422"/>
        <v>350</v>
      </c>
      <c r="X307" s="131">
        <f t="shared" si="423"/>
        <v>106.140495575216</v>
      </c>
      <c r="Z307" s="25">
        <f t="shared" si="424"/>
        <v>0.454887838179496</v>
      </c>
      <c r="AA307" s="5">
        <f t="shared" si="425"/>
        <v>2.04484314610804</v>
      </c>
      <c r="AB307" s="5">
        <f t="shared" si="426"/>
        <v>0.0888337575957035</v>
      </c>
      <c r="AC307" s="5"/>
      <c r="AD307" s="5">
        <f t="shared" si="427"/>
        <v>1.34858066614291</v>
      </c>
      <c r="AE307" s="216">
        <f t="shared" si="428"/>
        <v>4121.61621820962</v>
      </c>
      <c r="AF307" s="217">
        <f t="shared" si="429"/>
        <v>0.0386377555718121</v>
      </c>
      <c r="AH307" s="5">
        <f t="shared" si="430"/>
        <v>1.51261363209512</v>
      </c>
      <c r="AI307" s="5">
        <f t="shared" si="431"/>
        <v>1.5</v>
      </c>
      <c r="AJ307" s="5">
        <f t="shared" si="432"/>
        <v>2.08888888888889</v>
      </c>
      <c r="AL307" s="216">
        <f t="shared" si="433"/>
        <v>455</v>
      </c>
      <c r="AM307" s="220">
        <f t="shared" si="434"/>
        <v>106.140495575216</v>
      </c>
      <c r="AO307" t="str">
        <f t="shared" si="435"/>
        <v/>
      </c>
      <c r="AP307" t="str">
        <f t="shared" si="436"/>
        <v/>
      </c>
      <c r="AR307" s="192">
        <f t="shared" si="406"/>
        <v>9.42147475928597</v>
      </c>
      <c r="AS307" s="192">
        <f t="shared" ref="AS307:AS316" si="439">L*AI307/J307*1000000</f>
        <v>2.67857142857143</v>
      </c>
      <c r="AT307" s="192">
        <f t="shared" ref="AT307:AT316" si="440">AR307-AS307</f>
        <v>6.74290333071454</v>
      </c>
      <c r="AU307" s="5">
        <f t="shared" ref="AU307:AU316" si="441">AS307/AR307</f>
        <v>0.284304898862185</v>
      </c>
      <c r="CI307" s="227">
        <f t="shared" si="437"/>
        <v>-50</v>
      </c>
    </row>
    <row r="308" spans="5:87">
      <c r="E308" s="22">
        <v>92</v>
      </c>
      <c r="F308" s="25">
        <f t="shared" si="438"/>
        <v>0.46</v>
      </c>
      <c r="G308" s="25">
        <f t="shared" si="407"/>
        <v>0.368</v>
      </c>
      <c r="H308" s="25">
        <f t="shared" si="408"/>
        <v>8.28</v>
      </c>
      <c r="I308" s="25">
        <f t="shared" si="409"/>
        <v>1.84</v>
      </c>
      <c r="J308" s="212">
        <f t="shared" si="410"/>
        <v>14</v>
      </c>
      <c r="K308" s="131">
        <f t="shared" si="411"/>
        <v>5.50385255487182</v>
      </c>
      <c r="L308" s="131">
        <f t="shared" si="412"/>
        <v>26.2728</v>
      </c>
      <c r="M308" s="131"/>
      <c r="N308" s="25">
        <f t="shared" si="413"/>
        <v>0.467129502755702</v>
      </c>
      <c r="O308" s="27">
        <f t="shared" si="414"/>
        <v>3.61176038267022</v>
      </c>
      <c r="P308" s="27">
        <f t="shared" si="415"/>
        <v>0.80261341837116</v>
      </c>
      <c r="Q308" s="25">
        <f t="shared" si="416"/>
        <v>0.20065335459279</v>
      </c>
      <c r="R308" s="25">
        <f t="shared" si="417"/>
        <v>0.722352076534044</v>
      </c>
      <c r="S308" s="25">
        <f t="shared" si="418"/>
        <v>7.85165300580483</v>
      </c>
      <c r="T308" s="25">
        <f t="shared" si="419"/>
        <v>1.5</v>
      </c>
      <c r="U308" s="25">
        <f t="shared" si="420"/>
        <v>2.67857142857143</v>
      </c>
      <c r="V308" s="25">
        <f t="shared" si="421"/>
        <v>6.8134092667156</v>
      </c>
      <c r="W308" s="24">
        <f t="shared" si="422"/>
        <v>350</v>
      </c>
      <c r="X308" s="131">
        <f t="shared" si="423"/>
        <v>105.352089527165</v>
      </c>
      <c r="Z308" s="25">
        <f t="shared" si="424"/>
        <v>0.451508955116421</v>
      </c>
      <c r="AA308" s="5">
        <f t="shared" si="425"/>
        <v>2.05087686586353</v>
      </c>
      <c r="AB308" s="5">
        <f t="shared" si="426"/>
        <v>0.0884340798804152</v>
      </c>
      <c r="AC308" s="5"/>
      <c r="AD308" s="5">
        <f t="shared" si="427"/>
        <v>1.36268185334312</v>
      </c>
      <c r="AE308" s="216">
        <f t="shared" si="428"/>
        <v>4123.7890577158</v>
      </c>
      <c r="AF308" s="217">
        <f t="shared" si="429"/>
        <v>0.0390417641995441</v>
      </c>
      <c r="AH308" s="5">
        <f t="shared" si="430"/>
        <v>1.52090198801332</v>
      </c>
      <c r="AI308" s="5">
        <f t="shared" si="431"/>
        <v>1.5</v>
      </c>
      <c r="AJ308" s="5">
        <f t="shared" si="432"/>
        <v>2.08888888888889</v>
      </c>
      <c r="AL308" s="216">
        <f t="shared" si="433"/>
        <v>460</v>
      </c>
      <c r="AM308" s="220">
        <f t="shared" si="434"/>
        <v>105.352089527165</v>
      </c>
      <c r="AO308" t="str">
        <f t="shared" si="435"/>
        <v/>
      </c>
      <c r="AP308" t="str">
        <f t="shared" si="436"/>
        <v/>
      </c>
      <c r="AR308" s="192">
        <f t="shared" si="406"/>
        <v>9.49198069528703</v>
      </c>
      <c r="AS308" s="192">
        <f t="shared" si="439"/>
        <v>2.67857142857143</v>
      </c>
      <c r="AT308" s="192">
        <f t="shared" si="440"/>
        <v>6.8134092667156</v>
      </c>
      <c r="AU308" s="5">
        <f t="shared" si="441"/>
        <v>0.282193096947763</v>
      </c>
      <c r="CI308" s="227">
        <f t="shared" si="437"/>
        <v>-50</v>
      </c>
    </row>
    <row r="309" spans="5:87">
      <c r="E309" s="22">
        <v>93</v>
      </c>
      <c r="F309" s="25">
        <f t="shared" si="438"/>
        <v>0.465</v>
      </c>
      <c r="G309" s="25">
        <f t="shared" si="407"/>
        <v>0.372</v>
      </c>
      <c r="H309" s="25">
        <f t="shared" si="408"/>
        <v>8.37</v>
      </c>
      <c r="I309" s="25">
        <f t="shared" si="409"/>
        <v>1.86</v>
      </c>
      <c r="J309" s="212">
        <f t="shared" si="410"/>
        <v>14</v>
      </c>
      <c r="K309" s="131">
        <f t="shared" si="411"/>
        <v>5.44754016180868</v>
      </c>
      <c r="L309" s="131">
        <f t="shared" si="412"/>
        <v>26.2728</v>
      </c>
      <c r="M309" s="131"/>
      <c r="N309" s="25">
        <f t="shared" si="413"/>
        <v>0.467129502755702</v>
      </c>
      <c r="O309" s="27">
        <f t="shared" si="414"/>
        <v>3.61176038267022</v>
      </c>
      <c r="P309" s="27">
        <f t="shared" si="415"/>
        <v>0.80261341837116</v>
      </c>
      <c r="Q309" s="25">
        <f t="shared" si="416"/>
        <v>0.20065335459279</v>
      </c>
      <c r="R309" s="25">
        <f t="shared" si="417"/>
        <v>0.722352076534044</v>
      </c>
      <c r="S309" s="25">
        <f t="shared" si="418"/>
        <v>7.76722662939832</v>
      </c>
      <c r="T309" s="25">
        <f t="shared" si="419"/>
        <v>1.5</v>
      </c>
      <c r="U309" s="25">
        <f t="shared" si="420"/>
        <v>2.67857142857143</v>
      </c>
      <c r="V309" s="25">
        <f t="shared" si="421"/>
        <v>6.88384094217478</v>
      </c>
      <c r="W309" s="24">
        <f t="shared" si="422"/>
        <v>350</v>
      </c>
      <c r="X309" s="131">
        <f t="shared" si="423"/>
        <v>104.57612171791</v>
      </c>
      <c r="Z309" s="25">
        <f t="shared" si="424"/>
        <v>0.448183378791041</v>
      </c>
      <c r="AA309" s="5">
        <f t="shared" si="425"/>
        <v>2.056815395016</v>
      </c>
      <c r="AB309" s="5">
        <f t="shared" si="426"/>
        <v>0.0880369052682329</v>
      </c>
      <c r="AC309" s="5"/>
      <c r="AD309" s="5">
        <f t="shared" si="427"/>
        <v>1.37676818843496</v>
      </c>
      <c r="AE309" s="216">
        <f t="shared" si="428"/>
        <v>4125.96189722197</v>
      </c>
      <c r="AF309" s="217">
        <f t="shared" si="429"/>
        <v>0.0394453473042445</v>
      </c>
      <c r="AH309" s="5">
        <f t="shared" si="430"/>
        <v>1.52914541960067</v>
      </c>
      <c r="AI309" s="5">
        <f t="shared" si="431"/>
        <v>1.5</v>
      </c>
      <c r="AJ309" s="5">
        <f t="shared" si="432"/>
        <v>2.08888888888889</v>
      </c>
      <c r="AL309" s="216">
        <f t="shared" si="433"/>
        <v>465</v>
      </c>
      <c r="AM309" s="220">
        <f t="shared" si="434"/>
        <v>104.57612171791</v>
      </c>
      <c r="AO309" t="str">
        <f t="shared" si="435"/>
        <v/>
      </c>
      <c r="AP309" t="str">
        <f t="shared" si="436"/>
        <v/>
      </c>
      <c r="AR309" s="192">
        <f t="shared" si="406"/>
        <v>9.56241237074621</v>
      </c>
      <c r="AS309" s="192">
        <f t="shared" si="439"/>
        <v>2.67857142857143</v>
      </c>
      <c r="AT309" s="192">
        <f t="shared" si="440"/>
        <v>6.88384094217478</v>
      </c>
      <c r="AU309" s="5">
        <f t="shared" si="441"/>
        <v>0.280114611744401</v>
      </c>
      <c r="CI309" s="227">
        <f t="shared" si="437"/>
        <v>-50</v>
      </c>
    </row>
    <row r="310" spans="5:87">
      <c r="E310" s="22">
        <v>94</v>
      </c>
      <c r="F310" s="25">
        <f t="shared" si="438"/>
        <v>0.47</v>
      </c>
      <c r="G310" s="25">
        <f t="shared" si="407"/>
        <v>0.376</v>
      </c>
      <c r="H310" s="25">
        <f t="shared" si="408"/>
        <v>8.46</v>
      </c>
      <c r="I310" s="25">
        <f t="shared" si="409"/>
        <v>1.88</v>
      </c>
      <c r="J310" s="212">
        <f t="shared" si="410"/>
        <v>14</v>
      </c>
      <c r="K310" s="131">
        <f t="shared" si="411"/>
        <v>5.39242590476816</v>
      </c>
      <c r="L310" s="131">
        <f t="shared" si="412"/>
        <v>26.2728</v>
      </c>
      <c r="M310" s="131"/>
      <c r="N310" s="25">
        <f t="shared" si="413"/>
        <v>0.467129502755702</v>
      </c>
      <c r="O310" s="27">
        <f t="shared" si="414"/>
        <v>3.61176038267022</v>
      </c>
      <c r="P310" s="27">
        <f t="shared" si="415"/>
        <v>0.80261341837116</v>
      </c>
      <c r="Q310" s="25">
        <f t="shared" si="416"/>
        <v>0.20065335459279</v>
      </c>
      <c r="R310" s="25">
        <f t="shared" si="417"/>
        <v>0.722352076534044</v>
      </c>
      <c r="S310" s="25">
        <f t="shared" si="418"/>
        <v>7.68459655887281</v>
      </c>
      <c r="T310" s="25">
        <f t="shared" si="419"/>
        <v>1.5</v>
      </c>
      <c r="U310" s="25">
        <f t="shared" si="420"/>
        <v>2.67857142857143</v>
      </c>
      <c r="V310" s="25">
        <f t="shared" si="421"/>
        <v>6.95419847435294</v>
      </c>
      <c r="W310" s="24">
        <f t="shared" si="422"/>
        <v>350</v>
      </c>
      <c r="X310" s="131">
        <f t="shared" si="423"/>
        <v>103.812300104502</v>
      </c>
      <c r="Z310" s="25">
        <f t="shared" si="424"/>
        <v>0.444909857590723</v>
      </c>
      <c r="AA310" s="5">
        <f t="shared" si="425"/>
        <v>2.06266096858799</v>
      </c>
      <c r="AB310" s="5">
        <f t="shared" si="426"/>
        <v>0.0876422635668992</v>
      </c>
      <c r="AC310" s="5"/>
      <c r="AD310" s="5">
        <f t="shared" si="427"/>
        <v>1.39083969487059</v>
      </c>
      <c r="AE310" s="216">
        <f t="shared" si="428"/>
        <v>4128.13473672814</v>
      </c>
      <c r="AF310" s="217">
        <f t="shared" si="429"/>
        <v>0.0398485055578343</v>
      </c>
      <c r="AH310" s="5">
        <f t="shared" si="430"/>
        <v>1.53734464952676</v>
      </c>
      <c r="AI310" s="5">
        <f t="shared" si="431"/>
        <v>1.5</v>
      </c>
      <c r="AJ310" s="5">
        <f t="shared" si="432"/>
        <v>2.08888888888889</v>
      </c>
      <c r="AL310" s="216">
        <f t="shared" si="433"/>
        <v>470</v>
      </c>
      <c r="AM310" s="220">
        <f t="shared" si="434"/>
        <v>103.812300104502</v>
      </c>
      <c r="AO310" t="str">
        <f t="shared" si="435"/>
        <v/>
      </c>
      <c r="AP310" t="str">
        <f t="shared" si="436"/>
        <v/>
      </c>
      <c r="AR310" s="192">
        <f t="shared" si="406"/>
        <v>9.63276990292437</v>
      </c>
      <c r="AS310" s="192">
        <f t="shared" si="439"/>
        <v>2.67857142857143</v>
      </c>
      <c r="AT310" s="192">
        <f t="shared" si="440"/>
        <v>6.95419847435294</v>
      </c>
      <c r="AU310" s="5">
        <f t="shared" si="441"/>
        <v>0.278068660994202</v>
      </c>
      <c r="CI310" s="227">
        <f t="shared" si="437"/>
        <v>-50</v>
      </c>
    </row>
    <row r="311" spans="5:87">
      <c r="E311" s="22">
        <v>95</v>
      </c>
      <c r="F311" s="25">
        <f t="shared" si="438"/>
        <v>0.475</v>
      </c>
      <c r="G311" s="25">
        <f t="shared" si="407"/>
        <v>0.38</v>
      </c>
      <c r="H311" s="25">
        <f t="shared" si="408"/>
        <v>8.55</v>
      </c>
      <c r="I311" s="25">
        <f t="shared" si="409"/>
        <v>1.9</v>
      </c>
      <c r="J311" s="212">
        <f t="shared" si="410"/>
        <v>14</v>
      </c>
      <c r="K311" s="131">
        <f t="shared" si="411"/>
        <v>5.33847194787587</v>
      </c>
      <c r="L311" s="131">
        <f t="shared" si="412"/>
        <v>26.2728</v>
      </c>
      <c r="M311" s="131"/>
      <c r="N311" s="25">
        <f t="shared" si="413"/>
        <v>0.467129502755702</v>
      </c>
      <c r="O311" s="27">
        <f t="shared" si="414"/>
        <v>3.61176038267022</v>
      </c>
      <c r="P311" s="27">
        <f t="shared" si="415"/>
        <v>0.80261341837116</v>
      </c>
      <c r="Q311" s="25">
        <f t="shared" si="416"/>
        <v>0.20065335459279</v>
      </c>
      <c r="R311" s="25">
        <f t="shared" si="417"/>
        <v>0.722352076534044</v>
      </c>
      <c r="S311" s="25">
        <f t="shared" si="418"/>
        <v>7.60370606877941</v>
      </c>
      <c r="T311" s="25">
        <f t="shared" si="419"/>
        <v>1.5</v>
      </c>
      <c r="U311" s="25">
        <f t="shared" si="420"/>
        <v>2.67857142857143</v>
      </c>
      <c r="V311" s="25">
        <f t="shared" si="421"/>
        <v>7.02448198026421</v>
      </c>
      <c r="W311" s="24">
        <f t="shared" si="422"/>
        <v>350</v>
      </c>
      <c r="X311" s="131">
        <f t="shared" si="423"/>
        <v>103.06034171567</v>
      </c>
      <c r="Z311" s="25">
        <f t="shared" si="424"/>
        <v>0.441687178781444</v>
      </c>
      <c r="AA311" s="5">
        <f t="shared" si="425"/>
        <v>2.06841575217599</v>
      </c>
      <c r="AB311" s="5">
        <f t="shared" si="426"/>
        <v>0.0872501809280922</v>
      </c>
      <c r="AC311" s="5"/>
      <c r="AD311" s="5">
        <f t="shared" si="427"/>
        <v>1.40489639605284</v>
      </c>
      <c r="AE311" s="216">
        <f t="shared" si="428"/>
        <v>4130.30757623432</v>
      </c>
      <c r="AF311" s="217">
        <f t="shared" si="429"/>
        <v>0.0402512396308203</v>
      </c>
      <c r="AH311" s="5">
        <f t="shared" si="430"/>
        <v>1.54550038129126</v>
      </c>
      <c r="AI311" s="5">
        <f t="shared" si="431"/>
        <v>1.5</v>
      </c>
      <c r="AJ311" s="5">
        <f t="shared" si="432"/>
        <v>2.08888888888889</v>
      </c>
      <c r="AL311" s="216">
        <f t="shared" si="433"/>
        <v>475</v>
      </c>
      <c r="AM311" s="220">
        <f t="shared" si="434"/>
        <v>103.06034171567</v>
      </c>
      <c r="AO311" t="str">
        <f t="shared" si="435"/>
        <v/>
      </c>
      <c r="AP311" t="str">
        <f t="shared" si="436"/>
        <v/>
      </c>
      <c r="AR311" s="192">
        <f t="shared" si="406"/>
        <v>9.70305340883563</v>
      </c>
      <c r="AS311" s="192">
        <f t="shared" si="439"/>
        <v>2.67857142857143</v>
      </c>
      <c r="AT311" s="192">
        <f t="shared" si="440"/>
        <v>7.0244819802642</v>
      </c>
      <c r="AU311" s="5">
        <f t="shared" si="441"/>
        <v>0.276054486738403</v>
      </c>
      <c r="CI311" s="227">
        <f t="shared" si="437"/>
        <v>-50</v>
      </c>
    </row>
    <row r="312" spans="5:87">
      <c r="E312" s="22">
        <v>96</v>
      </c>
      <c r="F312" s="25">
        <f t="shared" si="438"/>
        <v>0.48</v>
      </c>
      <c r="G312" s="25">
        <f t="shared" si="407"/>
        <v>0.384</v>
      </c>
      <c r="H312" s="25">
        <f t="shared" si="408"/>
        <v>8.64</v>
      </c>
      <c r="I312" s="25">
        <f t="shared" si="409"/>
        <v>1.92</v>
      </c>
      <c r="J312" s="212">
        <f t="shared" si="410"/>
        <v>14</v>
      </c>
      <c r="K312" s="131">
        <f t="shared" si="411"/>
        <v>5.28564203175216</v>
      </c>
      <c r="L312" s="131">
        <f t="shared" si="412"/>
        <v>26.2728</v>
      </c>
      <c r="M312" s="131"/>
      <c r="N312" s="25">
        <f t="shared" si="413"/>
        <v>0.467129502755702</v>
      </c>
      <c r="O312" s="27">
        <f t="shared" ref="O312:O316" si="442">N312*J312*Isw_max*0.5*Efficiency*Pout/(Pout+Pout2)</f>
        <v>3.61176038267022</v>
      </c>
      <c r="P312" s="27">
        <f t="shared" si="415"/>
        <v>0.80261341837116</v>
      </c>
      <c r="Q312" s="25">
        <f t="shared" si="416"/>
        <v>0.20065335459279</v>
      </c>
      <c r="R312" s="25">
        <f t="shared" si="417"/>
        <v>0.722352076534044</v>
      </c>
      <c r="S312" s="25">
        <f t="shared" si="418"/>
        <v>7.52450079722963</v>
      </c>
      <c r="T312" s="25">
        <f t="shared" si="419"/>
        <v>1.5</v>
      </c>
      <c r="U312" s="25">
        <f t="shared" si="420"/>
        <v>2.67857142857143</v>
      </c>
      <c r="V312" s="25">
        <f t="shared" si="421"/>
        <v>7.09469157667663</v>
      </c>
      <c r="W312" s="24">
        <f t="shared" si="422"/>
        <v>350</v>
      </c>
      <c r="X312" s="131">
        <f t="shared" si="423"/>
        <v>102.319972302292</v>
      </c>
      <c r="Z312" s="25">
        <f t="shared" si="424"/>
        <v>0.438514167009824</v>
      </c>
      <c r="AA312" s="5">
        <f t="shared" si="425"/>
        <v>2.07408184462531</v>
      </c>
      <c r="AB312" s="5">
        <f t="shared" ref="AB312:AB316" si="443">0.5*AA312*Z312*Nps*W312/1000*(Pout/(Pout+Pout2))</f>
        <v>0.0868606800926715</v>
      </c>
      <c r="AC312" s="5"/>
      <c r="AD312" s="5">
        <f t="shared" si="427"/>
        <v>1.41893831533533</v>
      </c>
      <c r="AE312" s="216">
        <f t="shared" ref="AE312:AE316" si="444">MAX(10,F312/(0.5*AD312/1000000*Isw_min*Nps)/1000*Pout_total/Pout)</f>
        <v>4132.48041574049</v>
      </c>
      <c r="AF312" s="217">
        <f t="shared" si="429"/>
        <v>0.0406535501922994</v>
      </c>
      <c r="AH312" s="5">
        <f t="shared" si="430"/>
        <v>1.55361329992836</v>
      </c>
      <c r="AI312" s="5">
        <f t="shared" ref="AI312:AI316" si="445">MAX(IF(F312&gt;AB312,T312,AH312),Isw_min)</f>
        <v>1.5</v>
      </c>
      <c r="AJ312" s="5">
        <f t="shared" ref="AJ312:AJ316" si="446">IF(F312&gt;AF312,(AI312-Isw_min)/1.08*0.8+1.2,AE312*0.2/350+1)</f>
        <v>2.08888888888889</v>
      </c>
      <c r="AL312" s="216">
        <f t="shared" si="433"/>
        <v>480</v>
      </c>
      <c r="AM312" s="220">
        <f t="shared" si="434"/>
        <v>102.319972302292</v>
      </c>
      <c r="AO312" t="str">
        <f t="shared" si="435"/>
        <v/>
      </c>
      <c r="AP312" t="str">
        <f t="shared" si="436"/>
        <v/>
      </c>
      <c r="AR312" s="192">
        <f t="shared" si="406"/>
        <v>9.77326300524806</v>
      </c>
      <c r="AS312" s="192">
        <f t="shared" si="439"/>
        <v>2.67857142857143</v>
      </c>
      <c r="AT312" s="192">
        <f t="shared" si="440"/>
        <v>7.09469157667663</v>
      </c>
      <c r="AU312" s="5">
        <f t="shared" si="441"/>
        <v>0.27407135438114</v>
      </c>
      <c r="CI312" s="227">
        <f t="shared" si="437"/>
        <v>-50</v>
      </c>
    </row>
    <row r="313" spans="5:87">
      <c r="E313" s="22">
        <v>97</v>
      </c>
      <c r="F313" s="25">
        <f t="shared" ref="F313:F316" si="447">IF(PLOT_TYPE=1,E313/100*Iout_max,min_I*EXP(O313*rr/100))</f>
        <v>0.485</v>
      </c>
      <c r="G313" s="25">
        <f t="shared" si="407"/>
        <v>0.388</v>
      </c>
      <c r="H313" s="25">
        <f t="shared" si="408"/>
        <v>8.73</v>
      </c>
      <c r="I313" s="25">
        <f t="shared" si="409"/>
        <v>1.94</v>
      </c>
      <c r="J313" s="212">
        <f t="shared" si="410"/>
        <v>14</v>
      </c>
      <c r="K313" s="131">
        <f t="shared" si="411"/>
        <v>5.23390139224956</v>
      </c>
      <c r="L313" s="131">
        <f t="shared" si="412"/>
        <v>26.2728</v>
      </c>
      <c r="M313" s="131"/>
      <c r="N313" s="25">
        <f t="shared" si="413"/>
        <v>0.467129502755702</v>
      </c>
      <c r="O313" s="27">
        <f t="shared" si="442"/>
        <v>3.61176038267022</v>
      </c>
      <c r="P313" s="27">
        <f t="shared" si="415"/>
        <v>0.80261341837116</v>
      </c>
      <c r="Q313" s="25">
        <f t="shared" si="416"/>
        <v>0.20065335459279</v>
      </c>
      <c r="R313" s="25">
        <f t="shared" si="417"/>
        <v>0.722352076534044</v>
      </c>
      <c r="S313" s="25">
        <f t="shared" si="418"/>
        <v>7.44692862406231</v>
      </c>
      <c r="T313" s="25">
        <f t="shared" si="419"/>
        <v>1.5</v>
      </c>
      <c r="U313" s="25">
        <f t="shared" si="420"/>
        <v>2.67857142857143</v>
      </c>
      <c r="V313" s="25">
        <f t="shared" si="421"/>
        <v>7.16482738011277</v>
      </c>
      <c r="W313" s="24">
        <f t="shared" si="422"/>
        <v>350</v>
      </c>
      <c r="X313" s="131">
        <f t="shared" si="423"/>
        <v>101.590926003909</v>
      </c>
      <c r="Z313" s="25">
        <f t="shared" si="424"/>
        <v>0.435389682873895</v>
      </c>
      <c r="AA313" s="5">
        <f t="shared" si="425"/>
        <v>2.07966128058233</v>
      </c>
      <c r="AB313" s="5">
        <f t="shared" si="443"/>
        <v>0.0864737806199188</v>
      </c>
      <c r="AC313" s="5"/>
      <c r="AD313" s="5">
        <f t="shared" si="427"/>
        <v>1.43296547602255</v>
      </c>
      <c r="AE313" s="216">
        <f t="shared" si="444"/>
        <v>4134.65325524666</v>
      </c>
      <c r="AF313" s="217">
        <f t="shared" si="429"/>
        <v>0.0410554379099616</v>
      </c>
      <c r="AH313" s="5">
        <f t="shared" si="430"/>
        <v>1.56168407267832</v>
      </c>
      <c r="AI313" s="5">
        <f t="shared" si="445"/>
        <v>1.5</v>
      </c>
      <c r="AJ313" s="5">
        <f t="shared" si="446"/>
        <v>2.08888888888889</v>
      </c>
      <c r="AL313" s="216">
        <f t="shared" si="433"/>
        <v>485</v>
      </c>
      <c r="AM313" s="220">
        <f t="shared" si="434"/>
        <v>101.590926003909</v>
      </c>
      <c r="AO313" t="str">
        <f t="shared" si="435"/>
        <v/>
      </c>
      <c r="AP313" t="str">
        <f t="shared" si="436"/>
        <v/>
      </c>
      <c r="AR313" s="192">
        <f t="shared" si="406"/>
        <v>9.8433988086842</v>
      </c>
      <c r="AS313" s="192">
        <f t="shared" si="439"/>
        <v>2.67857142857143</v>
      </c>
      <c r="AT313" s="192">
        <f t="shared" si="440"/>
        <v>7.16482738011277</v>
      </c>
      <c r="AU313" s="5">
        <f t="shared" si="441"/>
        <v>0.272118551796184</v>
      </c>
      <c r="CI313" s="227">
        <f t="shared" si="437"/>
        <v>-50</v>
      </c>
    </row>
    <row r="314" spans="5:87">
      <c r="E314" s="22">
        <v>98</v>
      </c>
      <c r="F314" s="25">
        <f t="shared" si="447"/>
        <v>0.49</v>
      </c>
      <c r="G314" s="25">
        <f t="shared" si="407"/>
        <v>0.392</v>
      </c>
      <c r="H314" s="25">
        <f t="shared" si="408"/>
        <v>8.82</v>
      </c>
      <c r="I314" s="25">
        <f t="shared" si="409"/>
        <v>1.96</v>
      </c>
      <c r="J314" s="212">
        <f t="shared" si="410"/>
        <v>14</v>
      </c>
      <c r="K314" s="131">
        <f t="shared" si="411"/>
        <v>5.18321668416538</v>
      </c>
      <c r="L314" s="131">
        <f t="shared" si="412"/>
        <v>26.2728</v>
      </c>
      <c r="M314" s="131"/>
      <c r="N314" s="25">
        <f t="shared" si="413"/>
        <v>0.467129502755702</v>
      </c>
      <c r="O314" s="27">
        <f t="shared" si="442"/>
        <v>3.61176038267022</v>
      </c>
      <c r="P314" s="27">
        <f t="shared" si="415"/>
        <v>0.80261341837116</v>
      </c>
      <c r="Q314" s="25">
        <f t="shared" si="416"/>
        <v>0.20065335459279</v>
      </c>
      <c r="R314" s="25">
        <f t="shared" si="417"/>
        <v>0.722352076534044</v>
      </c>
      <c r="S314" s="25">
        <f t="shared" si="418"/>
        <v>7.37093955646984</v>
      </c>
      <c r="T314" s="25">
        <f t="shared" si="419"/>
        <v>1.5</v>
      </c>
      <c r="U314" s="25">
        <f t="shared" si="420"/>
        <v>2.67857142857143</v>
      </c>
      <c r="V314" s="25">
        <f t="shared" si="421"/>
        <v>7.23488950685039</v>
      </c>
      <c r="W314" s="24">
        <f t="shared" si="422"/>
        <v>350</v>
      </c>
      <c r="X314" s="131">
        <f t="shared" si="423"/>
        <v>100.872945030418</v>
      </c>
      <c r="Z314" s="25">
        <f t="shared" si="424"/>
        <v>0.432312621558934</v>
      </c>
      <c r="AA314" s="5">
        <f t="shared" si="425"/>
        <v>2.08515603293048</v>
      </c>
      <c r="AB314" s="5">
        <f t="shared" si="443"/>
        <v>0.0860894991018757</v>
      </c>
      <c r="AC314" s="5"/>
      <c r="AD314" s="5">
        <f t="shared" si="427"/>
        <v>1.44697790137008</v>
      </c>
      <c r="AE314" s="216">
        <f t="shared" si="444"/>
        <v>4136.82609475283</v>
      </c>
      <c r="AF314" s="217">
        <f t="shared" si="429"/>
        <v>0.0414569034500946</v>
      </c>
      <c r="AH314" s="5">
        <f t="shared" si="430"/>
        <v>1.56971334962789</v>
      </c>
      <c r="AI314" s="5">
        <f t="shared" si="445"/>
        <v>1.5</v>
      </c>
      <c r="AJ314" s="5">
        <f t="shared" si="446"/>
        <v>2.08888888888889</v>
      </c>
      <c r="AL314" s="216">
        <f t="shared" si="433"/>
        <v>490</v>
      </c>
      <c r="AM314" s="220">
        <f t="shared" si="434"/>
        <v>100.872945030418</v>
      </c>
      <c r="AO314" t="str">
        <f t="shared" si="435"/>
        <v/>
      </c>
      <c r="AP314" t="str">
        <f t="shared" si="436"/>
        <v/>
      </c>
      <c r="AR314" s="192">
        <f t="shared" si="406"/>
        <v>9.91346093542182</v>
      </c>
      <c r="AS314" s="192">
        <f t="shared" si="439"/>
        <v>2.67857142857143</v>
      </c>
      <c r="AT314" s="192">
        <f t="shared" si="440"/>
        <v>7.2348895068504</v>
      </c>
      <c r="AU314" s="5">
        <f t="shared" si="441"/>
        <v>0.270195388474333</v>
      </c>
      <c r="CI314" s="227">
        <f t="shared" si="437"/>
        <v>-50</v>
      </c>
    </row>
    <row r="315" spans="5:87">
      <c r="E315" s="22">
        <v>99</v>
      </c>
      <c r="F315" s="25">
        <f t="shared" si="447"/>
        <v>0.495</v>
      </c>
      <c r="G315" s="25">
        <f t="shared" si="407"/>
        <v>0.396</v>
      </c>
      <c r="H315" s="25">
        <f t="shared" si="408"/>
        <v>8.91</v>
      </c>
      <c r="I315" s="25">
        <f t="shared" si="409"/>
        <v>1.98</v>
      </c>
      <c r="J315" s="212">
        <f t="shared" si="410"/>
        <v>14</v>
      </c>
      <c r="K315" s="131">
        <f t="shared" si="411"/>
        <v>5.13355590957785</v>
      </c>
      <c r="L315" s="131">
        <f t="shared" si="412"/>
        <v>26.2728</v>
      </c>
      <c r="M315" s="131"/>
      <c r="N315" s="25">
        <f t="shared" si="413"/>
        <v>0.467129502755702</v>
      </c>
      <c r="O315" s="27">
        <f t="shared" si="442"/>
        <v>3.61176038267022</v>
      </c>
      <c r="P315" s="27">
        <f t="shared" si="415"/>
        <v>0.80261341837116</v>
      </c>
      <c r="Q315" s="25">
        <f t="shared" si="416"/>
        <v>0.20065335459279</v>
      </c>
      <c r="R315" s="25">
        <f t="shared" si="417"/>
        <v>0.722352076534044</v>
      </c>
      <c r="S315" s="25">
        <f t="shared" si="418"/>
        <v>7.296485621556</v>
      </c>
      <c r="T315" s="25">
        <f t="shared" si="419"/>
        <v>1.5</v>
      </c>
      <c r="U315" s="25">
        <f t="shared" si="420"/>
        <v>2.67857142857143</v>
      </c>
      <c r="V315" s="25">
        <f t="shared" si="421"/>
        <v>7.30487807292309</v>
      </c>
      <c r="W315" s="24">
        <f t="shared" si="422"/>
        <v>350</v>
      </c>
      <c r="X315" s="131">
        <f t="shared" si="423"/>
        <v>100.165779358157</v>
      </c>
      <c r="Z315" s="25">
        <f t="shared" si="424"/>
        <v>0.429281911534957</v>
      </c>
      <c r="AA315" s="5">
        <f t="shared" si="425"/>
        <v>2.09056801511615</v>
      </c>
      <c r="AB315" s="5">
        <f t="shared" si="443"/>
        <v>0.0857078493637956</v>
      </c>
      <c r="AC315" s="5"/>
      <c r="AD315" s="5">
        <f t="shared" si="427"/>
        <v>1.46097561458462</v>
      </c>
      <c r="AE315" s="216">
        <f t="shared" si="444"/>
        <v>4138.998934259</v>
      </c>
      <c r="AF315" s="217">
        <f t="shared" si="429"/>
        <v>0.0418579474775865</v>
      </c>
      <c r="AH315" s="5">
        <f t="shared" si="430"/>
        <v>1.5777017643214</v>
      </c>
      <c r="AI315" s="5">
        <f t="shared" si="445"/>
        <v>1.5</v>
      </c>
      <c r="AJ315" s="5">
        <f t="shared" si="446"/>
        <v>2.08888888888889</v>
      </c>
      <c r="AL315" s="216">
        <f t="shared" si="433"/>
        <v>495</v>
      </c>
      <c r="AM315" s="220">
        <f t="shared" si="434"/>
        <v>100.165779358157</v>
      </c>
      <c r="AO315" t="str">
        <f t="shared" si="435"/>
        <v/>
      </c>
      <c r="AP315" t="str">
        <f t="shared" si="436"/>
        <v/>
      </c>
      <c r="AR315" s="192">
        <f t="shared" si="406"/>
        <v>9.98344950149452</v>
      </c>
      <c r="AS315" s="192">
        <f t="shared" si="439"/>
        <v>2.67857142857143</v>
      </c>
      <c r="AT315" s="192">
        <f t="shared" si="440"/>
        <v>7.30487807292309</v>
      </c>
      <c r="AU315" s="5">
        <f t="shared" si="441"/>
        <v>0.268301194709348</v>
      </c>
      <c r="CI315" s="227">
        <f t="shared" si="437"/>
        <v>-50</v>
      </c>
    </row>
    <row r="316" spans="5:87">
      <c r="E316" s="22">
        <v>100</v>
      </c>
      <c r="F316" s="25">
        <f t="shared" si="447"/>
        <v>0.5</v>
      </c>
      <c r="G316" s="25">
        <f t="shared" si="407"/>
        <v>0.4</v>
      </c>
      <c r="H316" s="25">
        <f t="shared" si="408"/>
        <v>9</v>
      </c>
      <c r="I316" s="25">
        <f t="shared" si="409"/>
        <v>2</v>
      </c>
      <c r="J316" s="212">
        <f t="shared" si="410"/>
        <v>14</v>
      </c>
      <c r="K316" s="131">
        <f t="shared" si="411"/>
        <v>5.08488835048207</v>
      </c>
      <c r="L316" s="131">
        <f t="shared" si="412"/>
        <v>26.2728</v>
      </c>
      <c r="M316" s="131"/>
      <c r="N316" s="25">
        <f t="shared" si="413"/>
        <v>0.467129502755702</v>
      </c>
      <c r="O316" s="27">
        <f t="shared" si="442"/>
        <v>3.61176038267022</v>
      </c>
      <c r="P316" s="27">
        <f t="shared" si="415"/>
        <v>0.80261341837116</v>
      </c>
      <c r="Q316" s="25">
        <f t="shared" si="416"/>
        <v>0.20065335459279</v>
      </c>
      <c r="R316" s="25">
        <f t="shared" si="417"/>
        <v>0.722352076534044</v>
      </c>
      <c r="S316" s="25">
        <f t="shared" si="418"/>
        <v>7.22352076534044</v>
      </c>
      <c r="T316" s="25">
        <f t="shared" si="419"/>
        <v>1.5</v>
      </c>
      <c r="U316" s="25">
        <f t="shared" si="420"/>
        <v>2.67857142857143</v>
      </c>
      <c r="V316" s="25">
        <f t="shared" si="421"/>
        <v>7.37479319412094</v>
      </c>
      <c r="W316" s="24">
        <f t="shared" si="422"/>
        <v>350</v>
      </c>
      <c r="X316" s="131">
        <f t="shared" si="423"/>
        <v>99.4691864396134</v>
      </c>
      <c r="Z316" s="25">
        <f t="shared" si="424"/>
        <v>0.426296513312629</v>
      </c>
      <c r="AA316" s="5">
        <f t="shared" si="425"/>
        <v>2.09589908337031</v>
      </c>
      <c r="AB316" s="5">
        <f t="shared" si="443"/>
        <v>0.0853288426516569</v>
      </c>
      <c r="AC316" s="5"/>
      <c r="AD316" s="5">
        <f t="shared" si="427"/>
        <v>1.47495863882419</v>
      </c>
      <c r="AE316" s="216">
        <f t="shared" si="444"/>
        <v>4141.17177376517</v>
      </c>
      <c r="AF316" s="217">
        <f t="shared" si="429"/>
        <v>0.0422585706559303</v>
      </c>
      <c r="AH316" s="5">
        <f t="shared" si="430"/>
        <v>1.58564993434418</v>
      </c>
      <c r="AI316" s="5">
        <f t="shared" si="445"/>
        <v>1.5</v>
      </c>
      <c r="AJ316" s="5">
        <f t="shared" si="446"/>
        <v>2.08888888888889</v>
      </c>
      <c r="AL316" s="216">
        <f t="shared" si="433"/>
        <v>500</v>
      </c>
      <c r="AM316" s="220">
        <f t="shared" si="434"/>
        <v>99.4691864396134</v>
      </c>
      <c r="AO316" t="str">
        <f t="shared" si="435"/>
        <v/>
      </c>
      <c r="AP316" t="str">
        <f t="shared" si="436"/>
        <v/>
      </c>
      <c r="AR316" s="192">
        <f t="shared" si="406"/>
        <v>10.0533646226924</v>
      </c>
      <c r="AS316" s="192">
        <f t="shared" si="439"/>
        <v>2.67857142857143</v>
      </c>
      <c r="AT316" s="192">
        <f t="shared" si="440"/>
        <v>7.37479319412093</v>
      </c>
      <c r="AU316" s="5">
        <f t="shared" si="441"/>
        <v>0.266435320820393</v>
      </c>
      <c r="CI316" s="227">
        <f t="shared" si="437"/>
        <v>-50</v>
      </c>
    </row>
    <row r="317" spans="5:7">
      <c r="E317" s="22"/>
      <c r="F317" s="25"/>
      <c r="G317" s="25"/>
    </row>
    <row r="319" spans="4:4">
      <c r="D319" s="2" t="s">
        <v>636</v>
      </c>
    </row>
    <row r="320" spans="5:12">
      <c r="E320" s="2" t="s">
        <v>677</v>
      </c>
      <c r="K320" s="2"/>
      <c r="L320" s="2" t="s">
        <v>678</v>
      </c>
    </row>
    <row r="321" spans="6:14">
      <c r="F321" s="2" t="s">
        <v>679</v>
      </c>
      <c r="G321" s="2" t="s">
        <v>680</v>
      </c>
      <c r="M321" s="2" t="s">
        <v>681</v>
      </c>
      <c r="N321" s="2" t="s">
        <v>682</v>
      </c>
    </row>
    <row r="322" spans="6:14">
      <c r="F322">
        <f>'LM(2)518x PSR flyback converter'!E57</f>
        <v>0.005</v>
      </c>
      <c r="G322" s="232">
        <f>F322*Vout</f>
        <v>0.09</v>
      </c>
      <c r="M322">
        <f>'LM(2)518x PSR flyback converter'!L57</f>
        <v>-0.005</v>
      </c>
      <c r="N322" s="232">
        <f>M322*'LM(2)518x PSR flyback converter'!E12</f>
        <v>0.025</v>
      </c>
    </row>
    <row r="323" spans="5:12">
      <c r="E323" t="s">
        <v>644</v>
      </c>
      <c r="L323" t="s">
        <v>644</v>
      </c>
    </row>
    <row r="324" spans="6:16">
      <c r="F324" t="s">
        <v>645</v>
      </c>
      <c r="G324" t="s">
        <v>646</v>
      </c>
      <c r="H324" t="s">
        <v>647</v>
      </c>
      <c r="I324" s="2" t="s">
        <v>308</v>
      </c>
      <c r="M324" t="s">
        <v>645</v>
      </c>
      <c r="N324" t="s">
        <v>646</v>
      </c>
      <c r="O324" t="s">
        <v>647</v>
      </c>
      <c r="P324" s="2" t="s">
        <v>308</v>
      </c>
    </row>
    <row r="325" spans="6:16">
      <c r="F325" s="233">
        <v>2e-7</v>
      </c>
      <c r="G325">
        <f>VIN_max</f>
        <v>14</v>
      </c>
      <c r="H325">
        <f>15000</f>
        <v>15000</v>
      </c>
      <c r="I325">
        <f>L*0.9</f>
        <v>2.25e-5</v>
      </c>
      <c r="M325" s="233">
        <v>2e-7</v>
      </c>
      <c r="N325">
        <f>VIN_max</f>
        <v>14</v>
      </c>
      <c r="O325">
        <f>15000</f>
        <v>15000</v>
      </c>
      <c r="P325">
        <f>L*0.9</f>
        <v>2.25e-5</v>
      </c>
    </row>
    <row r="326" spans="7:14">
      <c r="G326" s="2" t="s">
        <v>648</v>
      </c>
      <c r="N326" s="2" t="s">
        <v>648</v>
      </c>
    </row>
    <row r="327" spans="7:14">
      <c r="G327" s="232">
        <f>0.5*(G325/I325*F325)^2*H325*I325</f>
        <v>0.00261333333333333</v>
      </c>
      <c r="N327" s="232">
        <f>0.5*(N325/P325*M325)^2*O325*P325</f>
        <v>0.00261333333333333</v>
      </c>
    </row>
    <row r="328" spans="5:12">
      <c r="E328" s="2" t="s">
        <v>683</v>
      </c>
      <c r="K328" s="2"/>
      <c r="L328" s="2" t="s">
        <v>684</v>
      </c>
    </row>
    <row r="329" spans="7:15">
      <c r="G329" t="str">
        <f>IF(G322+N322&lt;G327,"Yes",IF(G322&lt;G327,"Yes","No"))</f>
        <v>No</v>
      </c>
      <c r="H329">
        <f>(Vout*1.05)^2/(G327-G322)</f>
        <v>-4087.69453768691</v>
      </c>
      <c r="N329" t="str">
        <f>IF(G322+N322&lt;N327,"Yes",IF(N322&lt;N327,"Yes","No"))</f>
        <v>No</v>
      </c>
      <c r="O329">
        <f>(Vout2*1.05)^2/(N327-N322)</f>
        <v>-1231.20160810006</v>
      </c>
    </row>
    <row r="332" spans="5:5">
      <c r="E332" s="2"/>
    </row>
    <row r="333" spans="6:7">
      <c r="F333" s="2"/>
      <c r="G333" s="2"/>
    </row>
    <row r="334" spans="7:7">
      <c r="G334" s="232"/>
    </row>
    <row r="336" spans="9:9">
      <c r="I336" s="2"/>
    </row>
    <row r="337" spans="6:6">
      <c r="F337" s="233"/>
    </row>
    <row r="338" spans="7:7">
      <c r="G338" s="2"/>
    </row>
    <row r="339" spans="7:7">
      <c r="G339" s="232"/>
    </row>
    <row r="340" spans="5:5">
      <c r="E340" s="2"/>
    </row>
  </sheetData>
  <sheetProtection algorithmName="SHA-512" hashValue="D3QYxlPpmciiQI9DTTlzMOcXfFhQSbJ4eelLCjnfSbOYBlU3XWvIY47HwtKpmaPXWUUjuI4foViosAoBGwTgnw==" saltValue="hapQzPptaR3pNKeZiM38vQ==" spinCount="100000" sheet="1" objects="1" scenarios="1"/>
  <mergeCells count="1">
    <mergeCell ref="N3:Z3"/>
  </mergeCells>
  <pageMargins left="0.7" right="0.7" top="0.75" bottom="0.75" header="0.3" footer="0.3"/>
  <pageSetup paperSize="1"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C3:S106"/>
  <sheetViews>
    <sheetView workbookViewId="0">
      <selection activeCell="V6" sqref="V6"/>
    </sheetView>
  </sheetViews>
  <sheetFormatPr defaultColWidth="9" defaultRowHeight="12.5"/>
  <cols>
    <col min="3" max="3" width="7.72727272727273" customWidth="1"/>
    <col min="5" max="5" width="10.2636363636364" customWidth="1"/>
    <col min="7" max="7" width="10.7272727272727" customWidth="1"/>
    <col min="8" max="8" width="9.72727272727273" customWidth="1"/>
    <col min="9" max="9" width="9.54545454545454" customWidth="1"/>
    <col min="10" max="10" width="8.72727272727273" customWidth="1"/>
    <col min="11" max="11" width="9.81818181818182" customWidth="1"/>
    <col min="12" max="12" width="10.7272727272727" customWidth="1"/>
    <col min="13" max="13" width="15" customWidth="1"/>
    <col min="14" max="14" width="11.4545454545455" customWidth="1"/>
    <col min="15" max="16" width="11" customWidth="1"/>
    <col min="17" max="17" width="11.1818181818182" customWidth="1"/>
    <col min="18" max="18" width="11.2636363636364" customWidth="1"/>
    <col min="19" max="19" width="5.18181818181818" customWidth="1"/>
  </cols>
  <sheetData>
    <row r="3" ht="13.25"/>
    <row r="4" ht="13" spans="3:19">
      <c r="C4" s="32" t="s">
        <v>558</v>
      </c>
      <c r="D4" s="113"/>
      <c r="E4" s="114"/>
      <c r="F4" s="116" t="s">
        <v>559</v>
      </c>
      <c r="G4" s="116"/>
      <c r="H4" s="116"/>
      <c r="I4" s="116"/>
      <c r="J4" s="116"/>
      <c r="K4" s="116"/>
      <c r="L4" s="116"/>
      <c r="M4" s="116"/>
      <c r="N4" s="116"/>
      <c r="O4" s="125"/>
      <c r="P4" s="200"/>
      <c r="Q4" s="200"/>
      <c r="R4" s="200"/>
      <c r="S4" s="200"/>
    </row>
    <row r="5" ht="45" customHeight="1" spans="3:19">
      <c r="C5" s="38" t="s">
        <v>566</v>
      </c>
      <c r="D5" s="117" t="s">
        <v>569</v>
      </c>
      <c r="E5" s="118" t="s">
        <v>570</v>
      </c>
      <c r="F5" s="120" t="s">
        <v>572</v>
      </c>
      <c r="G5" s="190" t="s">
        <v>573</v>
      </c>
      <c r="H5" s="190" t="s">
        <v>575</v>
      </c>
      <c r="I5" s="190" t="s">
        <v>571</v>
      </c>
      <c r="J5" s="190" t="s">
        <v>580</v>
      </c>
      <c r="K5" s="190" t="s">
        <v>685</v>
      </c>
      <c r="L5" s="190" t="s">
        <v>686</v>
      </c>
      <c r="M5" s="129" t="s">
        <v>687</v>
      </c>
      <c r="N5" s="128" t="s">
        <v>583</v>
      </c>
      <c r="O5" s="128" t="s">
        <v>585</v>
      </c>
      <c r="P5" s="128" t="s">
        <v>688</v>
      </c>
      <c r="Q5" s="128" t="s">
        <v>587</v>
      </c>
      <c r="R5" s="128" t="s">
        <v>689</v>
      </c>
      <c r="S5" s="128"/>
    </row>
    <row r="6" spans="3:18">
      <c r="C6" s="22">
        <v>0.1</v>
      </c>
      <c r="D6" s="191">
        <f>VIN_min</f>
        <v>10</v>
      </c>
      <c r="E6" s="131">
        <f t="shared" ref="E6:E37" si="0">(Vout+Vfwd1)*Nps</f>
        <v>12.2728</v>
      </c>
      <c r="F6" s="25">
        <f t="shared" ref="F6:F37" si="1">(Vout+Vfwd1)*Nps/((Vout+Vfwd1)*Nps+D6)</f>
        <v>0.551021874214288</v>
      </c>
      <c r="G6" s="27">
        <f t="shared" ref="G6:G37" si="2">F6*D6*Isw_max*0.5*Efficiency</f>
        <v>3.71939765094645</v>
      </c>
      <c r="H6" s="25">
        <f t="shared" ref="H6:H37" si="3">G6/Vout</f>
        <v>0.206633202830358</v>
      </c>
      <c r="I6" s="131">
        <f t="shared" ref="I6:I37" si="4">(Vout+Vfwd1)*Nps+D6</f>
        <v>22.2728</v>
      </c>
      <c r="J6" s="27">
        <f t="shared" ref="J6:J37" si="5">MIN(2*Vout*Iout/(Efficiency*D6*F6),1.35)</f>
        <v>1.35</v>
      </c>
      <c r="K6" s="27">
        <f t="shared" ref="K6:K37" si="6">L*J6/D6*1000000</f>
        <v>3.375</v>
      </c>
      <c r="L6" s="27">
        <f t="shared" ref="L6:L37" si="7">L*J6/((Vout+Vfwd1)*Nps)*1000000</f>
        <v>2.74998370380027</v>
      </c>
      <c r="M6" s="131">
        <f>MIN(1/(K6+L6)*1000,350)</f>
        <v>163.265740507937</v>
      </c>
      <c r="N6" s="24">
        <f t="shared" ref="N6:N37" si="8">IF(1/((350000*L)*(1/D6+1/E6))&gt;Isw_min,350,0.001/((Isw_min*L)*(1/D6+1/E6)))</f>
        <v>350</v>
      </c>
      <c r="O6" s="25">
        <f t="shared" ref="O6:O37" si="9">1/((N6*1000*L)*(1/D6+1/E6))</f>
        <v>0.62973928481633</v>
      </c>
      <c r="P6" s="5">
        <f t="shared" ref="P6:P37" si="10">L*O6/E6*1000000</f>
        <v>1.28279464510203</v>
      </c>
      <c r="Q6" s="5">
        <f t="shared" ref="Q6:Q37" si="11">0.5*P6*O6*Nps*N6/1000</f>
        <v>0.0942935111374618</v>
      </c>
      <c r="R6" s="5">
        <f t="shared" ref="R6:R37" si="12">L*Isw_min/E6*1000000</f>
        <v>0.611107489733394</v>
      </c>
    </row>
    <row r="7" spans="3:18">
      <c r="C7" s="22">
        <v>1</v>
      </c>
      <c r="D7" s="192">
        <f t="shared" ref="D7:D38" si="13">C7/100*(VIN_max-VIN_min)+VIN_min</f>
        <v>10.04</v>
      </c>
      <c r="E7" s="131">
        <f t="shared" si="0"/>
        <v>12.2728</v>
      </c>
      <c r="F7" s="25">
        <f t="shared" si="1"/>
        <v>0.550034061166685</v>
      </c>
      <c r="G7" s="27">
        <f t="shared" si="2"/>
        <v>3.72758083252662</v>
      </c>
      <c r="H7" s="25">
        <f t="shared" si="3"/>
        <v>0.207087824029257</v>
      </c>
      <c r="I7" s="131">
        <f t="shared" si="4"/>
        <v>22.3128</v>
      </c>
      <c r="J7" s="27">
        <f t="shared" si="5"/>
        <v>1.35</v>
      </c>
      <c r="K7" s="27">
        <f t="shared" si="6"/>
        <v>3.36155378486056</v>
      </c>
      <c r="L7" s="27">
        <f t="shared" si="7"/>
        <v>2.74998370380027</v>
      </c>
      <c r="M7" s="131">
        <f t="shared" ref="M7:M70" si="14">MIN(1/(K7+L7)*1000,350)</f>
        <v>163.624947381141</v>
      </c>
      <c r="N7" s="24">
        <f t="shared" si="8"/>
        <v>350</v>
      </c>
      <c r="O7" s="25">
        <f t="shared" si="9"/>
        <v>0.631124797041544</v>
      </c>
      <c r="P7" s="5">
        <f t="shared" si="10"/>
        <v>1.28561696809519</v>
      </c>
      <c r="Q7" s="5">
        <f t="shared" si="11"/>
        <v>0.094708884717565</v>
      </c>
      <c r="R7" s="5">
        <f t="shared" si="12"/>
        <v>0.611107489733394</v>
      </c>
    </row>
    <row r="8" spans="3:18">
      <c r="C8" s="22">
        <v>2</v>
      </c>
      <c r="D8" s="192">
        <f t="shared" si="13"/>
        <v>10.08</v>
      </c>
      <c r="E8" s="131">
        <f t="shared" si="0"/>
        <v>12.2728</v>
      </c>
      <c r="F8" s="25">
        <f t="shared" si="1"/>
        <v>0.549049783472317</v>
      </c>
      <c r="G8" s="27">
        <f t="shared" si="2"/>
        <v>3.73573472674564</v>
      </c>
      <c r="H8" s="25">
        <f t="shared" si="3"/>
        <v>0.207540818152536</v>
      </c>
      <c r="I8" s="131">
        <f t="shared" si="4"/>
        <v>22.3528</v>
      </c>
      <c r="J8" s="27">
        <f t="shared" si="5"/>
        <v>1.35</v>
      </c>
      <c r="K8" s="27">
        <f t="shared" si="6"/>
        <v>3.34821428571429</v>
      </c>
      <c r="L8" s="27">
        <f t="shared" si="7"/>
        <v>2.74998370380027</v>
      </c>
      <c r="M8" s="131">
        <f t="shared" si="14"/>
        <v>163.982868663732</v>
      </c>
      <c r="N8" s="24">
        <f t="shared" si="8"/>
        <v>350</v>
      </c>
      <c r="O8" s="25">
        <f t="shared" si="9"/>
        <v>0.632505350560109</v>
      </c>
      <c r="P8" s="5">
        <f t="shared" si="10"/>
        <v>1.2884291900791</v>
      </c>
      <c r="Q8" s="5">
        <f t="shared" si="11"/>
        <v>0.0951236796674648</v>
      </c>
      <c r="R8" s="5">
        <f t="shared" si="12"/>
        <v>0.611107489733394</v>
      </c>
    </row>
    <row r="9" spans="3:18">
      <c r="C9" s="22">
        <v>3</v>
      </c>
      <c r="D9" s="192">
        <f t="shared" si="13"/>
        <v>10.12</v>
      </c>
      <c r="E9" s="131">
        <f t="shared" si="0"/>
        <v>12.2728</v>
      </c>
      <c r="F9" s="25">
        <f t="shared" si="1"/>
        <v>0.548069022185703</v>
      </c>
      <c r="G9" s="27">
        <f t="shared" si="2"/>
        <v>3.74385949055053</v>
      </c>
      <c r="H9" s="25">
        <f t="shared" si="3"/>
        <v>0.207992193919474</v>
      </c>
      <c r="I9" s="131">
        <f t="shared" si="4"/>
        <v>22.3928</v>
      </c>
      <c r="J9" s="27">
        <f t="shared" si="5"/>
        <v>1.35</v>
      </c>
      <c r="K9" s="27">
        <f t="shared" si="6"/>
        <v>3.33498023715415</v>
      </c>
      <c r="L9" s="27">
        <f t="shared" si="7"/>
        <v>2.74998370380027</v>
      </c>
      <c r="M9" s="131">
        <f t="shared" si="14"/>
        <v>164.339511245017</v>
      </c>
      <c r="N9" s="24">
        <f t="shared" si="8"/>
        <v>350</v>
      </c>
      <c r="O9" s="25">
        <f t="shared" si="9"/>
        <v>0.633880971945064</v>
      </c>
      <c r="P9" s="5">
        <f t="shared" si="10"/>
        <v>1.29123136518371</v>
      </c>
      <c r="Q9" s="5">
        <f t="shared" si="11"/>
        <v>0.0955378942309148</v>
      </c>
      <c r="R9" s="5">
        <f t="shared" si="12"/>
        <v>0.611107489733394</v>
      </c>
    </row>
    <row r="10" spans="3:18">
      <c r="C10" s="22">
        <v>4</v>
      </c>
      <c r="D10" s="192">
        <f t="shared" si="13"/>
        <v>10.16</v>
      </c>
      <c r="E10" s="131">
        <f t="shared" si="0"/>
        <v>12.2728</v>
      </c>
      <c r="F10" s="25">
        <f t="shared" si="1"/>
        <v>0.547091758496487</v>
      </c>
      <c r="G10" s="27">
        <f t="shared" si="2"/>
        <v>3.75195527976891</v>
      </c>
      <c r="H10" s="25">
        <f t="shared" si="3"/>
        <v>0.208441959987162</v>
      </c>
      <c r="I10" s="131">
        <f t="shared" si="4"/>
        <v>22.4328</v>
      </c>
      <c r="J10" s="27">
        <f t="shared" si="5"/>
        <v>1.35</v>
      </c>
      <c r="K10" s="27">
        <f t="shared" si="6"/>
        <v>3.32185039370079</v>
      </c>
      <c r="L10" s="27">
        <f t="shared" si="7"/>
        <v>2.74998370380027</v>
      </c>
      <c r="M10" s="131">
        <f t="shared" si="14"/>
        <v>164.694881965165</v>
      </c>
      <c r="N10" s="24">
        <f t="shared" si="8"/>
        <v>350</v>
      </c>
      <c r="O10" s="25">
        <f t="shared" si="9"/>
        <v>0.635251687579921</v>
      </c>
      <c r="P10" s="5">
        <f t="shared" si="10"/>
        <v>1.29402354715289</v>
      </c>
      <c r="Q10" s="5">
        <f t="shared" si="11"/>
        <v>0.095951526698776</v>
      </c>
      <c r="R10" s="5">
        <f t="shared" si="12"/>
        <v>0.611107489733394</v>
      </c>
    </row>
    <row r="11" spans="3:18">
      <c r="C11" s="22">
        <v>5</v>
      </c>
      <c r="D11" s="192">
        <f t="shared" si="13"/>
        <v>10.2</v>
      </c>
      <c r="E11" s="131">
        <f t="shared" si="0"/>
        <v>12.2728</v>
      </c>
      <c r="F11" s="25">
        <f t="shared" si="1"/>
        <v>0.54611797372824</v>
      </c>
      <c r="G11" s="27">
        <f t="shared" si="2"/>
        <v>3.76002224911893</v>
      </c>
      <c r="H11" s="25">
        <f t="shared" si="3"/>
        <v>0.208890124951052</v>
      </c>
      <c r="I11" s="131">
        <f t="shared" si="4"/>
        <v>22.4728</v>
      </c>
      <c r="J11" s="27">
        <f t="shared" si="5"/>
        <v>1.35</v>
      </c>
      <c r="K11" s="27">
        <f t="shared" si="6"/>
        <v>3.30882352941177</v>
      </c>
      <c r="L11" s="27">
        <f t="shared" si="7"/>
        <v>2.74998370380027</v>
      </c>
      <c r="M11" s="131">
        <f t="shared" si="14"/>
        <v>165.048987615646</v>
      </c>
      <c r="N11" s="24">
        <f t="shared" si="8"/>
        <v>350</v>
      </c>
      <c r="O11" s="25">
        <f t="shared" si="9"/>
        <v>0.636617523660349</v>
      </c>
      <c r="P11" s="5">
        <f t="shared" si="10"/>
        <v>1.29680578934788</v>
      </c>
      <c r="Q11" s="5">
        <f t="shared" si="11"/>
        <v>0.0963645754082895</v>
      </c>
      <c r="R11" s="5">
        <f t="shared" si="12"/>
        <v>0.611107489733394</v>
      </c>
    </row>
    <row r="12" spans="3:18">
      <c r="C12" s="22">
        <v>6</v>
      </c>
      <c r="D12" s="192">
        <f t="shared" si="13"/>
        <v>10.24</v>
      </c>
      <c r="E12" s="131">
        <f t="shared" si="0"/>
        <v>12.2728</v>
      </c>
      <c r="F12" s="25">
        <f t="shared" si="1"/>
        <v>0.545147649337266</v>
      </c>
      <c r="G12" s="27">
        <f t="shared" si="2"/>
        <v>3.76806055221918</v>
      </c>
      <c r="H12" s="25">
        <f t="shared" si="3"/>
        <v>0.20933669734551</v>
      </c>
      <c r="I12" s="131">
        <f t="shared" si="4"/>
        <v>22.5128</v>
      </c>
      <c r="J12" s="27">
        <f t="shared" si="5"/>
        <v>1.35</v>
      </c>
      <c r="K12" s="27">
        <f t="shared" si="6"/>
        <v>3.2958984375</v>
      </c>
      <c r="L12" s="27">
        <f t="shared" si="7"/>
        <v>2.74998370380027</v>
      </c>
      <c r="M12" s="131">
        <f t="shared" si="14"/>
        <v>165.401834939662</v>
      </c>
      <c r="N12" s="24">
        <f t="shared" si="8"/>
        <v>350</v>
      </c>
      <c r="O12" s="25">
        <f t="shared" si="9"/>
        <v>0.63797850619584</v>
      </c>
      <c r="P12" s="5">
        <f t="shared" si="10"/>
        <v>1.29957814475067</v>
      </c>
      <c r="Q12" s="5">
        <f t="shared" si="11"/>
        <v>0.0967770387423618</v>
      </c>
      <c r="R12" s="5">
        <f t="shared" si="12"/>
        <v>0.611107489733394</v>
      </c>
    </row>
    <row r="13" spans="3:18">
      <c r="C13" s="22">
        <v>7</v>
      </c>
      <c r="D13" s="192">
        <f t="shared" si="13"/>
        <v>10.28</v>
      </c>
      <c r="E13" s="131">
        <f t="shared" si="0"/>
        <v>12.2728</v>
      </c>
      <c r="F13" s="25">
        <f t="shared" si="1"/>
        <v>0.544180766911426</v>
      </c>
      <c r="G13" s="27">
        <f t="shared" si="2"/>
        <v>3.77607034159838</v>
      </c>
      <c r="H13" s="25">
        <f t="shared" si="3"/>
        <v>0.209781685644355</v>
      </c>
      <c r="I13" s="131">
        <f t="shared" si="4"/>
        <v>22.5528</v>
      </c>
      <c r="J13" s="27">
        <f t="shared" si="5"/>
        <v>1.35</v>
      </c>
      <c r="K13" s="27">
        <f t="shared" si="6"/>
        <v>3.28307392996109</v>
      </c>
      <c r="L13" s="27">
        <f t="shared" si="7"/>
        <v>2.74998370380027</v>
      </c>
      <c r="M13" s="131">
        <f t="shared" si="14"/>
        <v>165.753430632576</v>
      </c>
      <c r="N13" s="24">
        <f t="shared" si="8"/>
        <v>350</v>
      </c>
      <c r="O13" s="25">
        <f t="shared" si="9"/>
        <v>0.639334661011366</v>
      </c>
      <c r="P13" s="5">
        <f t="shared" si="10"/>
        <v>1.30234066596736</v>
      </c>
      <c r="Q13" s="5">
        <f t="shared" si="11"/>
        <v>0.0971889151288598</v>
      </c>
      <c r="R13" s="5">
        <f t="shared" si="12"/>
        <v>0.611107489733394</v>
      </c>
    </row>
    <row r="14" s="2" customFormat="1" spans="3:18">
      <c r="C14" s="37">
        <v>8</v>
      </c>
      <c r="D14" s="193">
        <f t="shared" si="13"/>
        <v>10.32</v>
      </c>
      <c r="E14" s="194">
        <f t="shared" si="0"/>
        <v>12.2728</v>
      </c>
      <c r="F14" s="181">
        <f t="shared" si="1"/>
        <v>0.543217308168974</v>
      </c>
      <c r="G14" s="195">
        <f t="shared" si="2"/>
        <v>3.78405176870507</v>
      </c>
      <c r="H14" s="181">
        <f t="shared" si="3"/>
        <v>0.210225098261393</v>
      </c>
      <c r="I14" s="194">
        <f t="shared" si="4"/>
        <v>22.5928</v>
      </c>
      <c r="J14" s="27">
        <f t="shared" si="5"/>
        <v>1.35</v>
      </c>
      <c r="K14" s="195">
        <f t="shared" si="6"/>
        <v>3.2703488372093</v>
      </c>
      <c r="L14" s="195">
        <f t="shared" si="7"/>
        <v>2.74998370380027</v>
      </c>
      <c r="M14" s="194">
        <f t="shared" si="14"/>
        <v>166.103781342335</v>
      </c>
      <c r="N14" s="201">
        <f t="shared" si="8"/>
        <v>350</v>
      </c>
      <c r="O14" s="181">
        <f t="shared" si="9"/>
        <v>0.640686013749007</v>
      </c>
      <c r="P14" s="5">
        <f t="shared" si="10"/>
        <v>1.3050934052315</v>
      </c>
      <c r="Q14" s="202">
        <f t="shared" si="11"/>
        <v>0.0976002030399168</v>
      </c>
      <c r="R14" s="5">
        <f t="shared" si="12"/>
        <v>0.611107489733394</v>
      </c>
    </row>
    <row r="15" spans="3:18">
      <c r="C15" s="22">
        <v>9</v>
      </c>
      <c r="D15" s="192">
        <f t="shared" si="13"/>
        <v>10.36</v>
      </c>
      <c r="E15" s="131">
        <f t="shared" si="0"/>
        <v>12.2728</v>
      </c>
      <c r="F15" s="25">
        <f t="shared" si="1"/>
        <v>0.542257254957407</v>
      </c>
      <c r="G15" s="27">
        <f t="shared" si="2"/>
        <v>3.79200498391715</v>
      </c>
      <c r="H15" s="25">
        <f t="shared" si="3"/>
        <v>0.210666943550953</v>
      </c>
      <c r="I15" s="131">
        <f t="shared" si="4"/>
        <v>22.6328</v>
      </c>
      <c r="J15" s="27">
        <f t="shared" si="5"/>
        <v>1.35</v>
      </c>
      <c r="K15" s="27">
        <f t="shared" si="6"/>
        <v>3.25772200772201</v>
      </c>
      <c r="L15" s="27">
        <f t="shared" si="7"/>
        <v>2.74998370380027</v>
      </c>
      <c r="M15" s="131">
        <f t="shared" si="14"/>
        <v>166.452893669888</v>
      </c>
      <c r="N15" s="24">
        <f t="shared" si="8"/>
        <v>350</v>
      </c>
      <c r="O15" s="25">
        <f t="shared" si="9"/>
        <v>0.64203258986957</v>
      </c>
      <c r="P15" s="5">
        <f t="shared" si="10"/>
        <v>1.30783641440741</v>
      </c>
      <c r="Q15" s="5">
        <f t="shared" si="11"/>
        <v>0.0980109009912497</v>
      </c>
      <c r="R15" s="5">
        <f t="shared" si="12"/>
        <v>0.611107489733394</v>
      </c>
    </row>
    <row r="16" spans="3:18">
      <c r="C16" s="22">
        <v>10</v>
      </c>
      <c r="D16" s="192">
        <f t="shared" si="13"/>
        <v>10.4</v>
      </c>
      <c r="E16" s="131">
        <f t="shared" si="0"/>
        <v>12.2728</v>
      </c>
      <c r="F16" s="25">
        <f t="shared" si="1"/>
        <v>0.54130058925232</v>
      </c>
      <c r="G16" s="27">
        <f t="shared" si="2"/>
        <v>3.79993013655129</v>
      </c>
      <c r="H16" s="25">
        <f t="shared" si="3"/>
        <v>0.211107229808405</v>
      </c>
      <c r="I16" s="131">
        <f t="shared" si="4"/>
        <v>22.6728</v>
      </c>
      <c r="J16" s="27">
        <f t="shared" si="5"/>
        <v>1.35</v>
      </c>
      <c r="K16" s="27">
        <f t="shared" si="6"/>
        <v>3.24519230769231</v>
      </c>
      <c r="L16" s="27">
        <f t="shared" si="7"/>
        <v>2.74998370380027</v>
      </c>
      <c r="M16" s="131">
        <f t="shared" si="14"/>
        <v>166.800774169604</v>
      </c>
      <c r="N16" s="24">
        <f t="shared" si="8"/>
        <v>350</v>
      </c>
      <c r="O16" s="25">
        <f t="shared" si="9"/>
        <v>0.643374414654186</v>
      </c>
      <c r="P16" s="5">
        <f t="shared" si="10"/>
        <v>1.31056974499337</v>
      </c>
      <c r="Q16" s="5">
        <f t="shared" si="11"/>
        <v>0.0984210075414849</v>
      </c>
      <c r="R16" s="5">
        <f t="shared" si="12"/>
        <v>0.611107489733394</v>
      </c>
    </row>
    <row r="17" spans="3:18">
      <c r="C17" s="22">
        <v>11</v>
      </c>
      <c r="D17" s="192">
        <f t="shared" si="13"/>
        <v>10.44</v>
      </c>
      <c r="E17" s="131">
        <f t="shared" si="0"/>
        <v>12.2728</v>
      </c>
      <c r="F17" s="25">
        <f t="shared" si="1"/>
        <v>0.540347293156282</v>
      </c>
      <c r="G17" s="27">
        <f t="shared" si="2"/>
        <v>3.80782737487232</v>
      </c>
      <c r="H17" s="25">
        <f t="shared" si="3"/>
        <v>0.211545965270684</v>
      </c>
      <c r="I17" s="131">
        <f t="shared" si="4"/>
        <v>22.7128</v>
      </c>
      <c r="J17" s="27">
        <f t="shared" si="5"/>
        <v>1.35</v>
      </c>
      <c r="K17" s="27">
        <f t="shared" si="6"/>
        <v>3.23275862068966</v>
      </c>
      <c r="L17" s="27">
        <f t="shared" si="7"/>
        <v>2.74998370380027</v>
      </c>
      <c r="M17" s="131">
        <f t="shared" si="14"/>
        <v>167.147429349677</v>
      </c>
      <c r="N17" s="24">
        <f t="shared" si="8"/>
        <v>350</v>
      </c>
      <c r="O17" s="25">
        <f t="shared" si="9"/>
        <v>0.644711513205895</v>
      </c>
      <c r="P17" s="5">
        <f t="shared" si="10"/>
        <v>1.31329344812491</v>
      </c>
      <c r="Q17" s="5">
        <f t="shared" si="11"/>
        <v>0.0988305212914962</v>
      </c>
      <c r="R17" s="5">
        <f t="shared" si="12"/>
        <v>0.611107489733394</v>
      </c>
    </row>
    <row r="18" spans="3:18">
      <c r="C18" s="22">
        <v>12</v>
      </c>
      <c r="D18" s="192">
        <f t="shared" si="13"/>
        <v>10.48</v>
      </c>
      <c r="E18" s="131">
        <f t="shared" si="0"/>
        <v>12.2728</v>
      </c>
      <c r="F18" s="25">
        <f t="shared" si="1"/>
        <v>0.539397348897718</v>
      </c>
      <c r="G18" s="27">
        <f t="shared" si="2"/>
        <v>3.81569684610246</v>
      </c>
      <c r="H18" s="25">
        <f t="shared" si="3"/>
        <v>0.211983158116803</v>
      </c>
      <c r="I18" s="131">
        <f t="shared" si="4"/>
        <v>22.7528</v>
      </c>
      <c r="J18" s="27">
        <f t="shared" si="5"/>
        <v>1.35</v>
      </c>
      <c r="K18" s="27">
        <f t="shared" si="6"/>
        <v>3.22041984732824</v>
      </c>
      <c r="L18" s="27">
        <f t="shared" si="7"/>
        <v>2.74998370380027</v>
      </c>
      <c r="M18" s="131">
        <f t="shared" si="14"/>
        <v>167.492865672536</v>
      </c>
      <c r="N18" s="24">
        <f t="shared" si="8"/>
        <v>350</v>
      </c>
      <c r="O18" s="25">
        <f t="shared" si="9"/>
        <v>0.64604391045121</v>
      </c>
      <c r="P18" s="5">
        <f t="shared" si="10"/>
        <v>1.31600757457795</v>
      </c>
      <c r="Q18" s="5">
        <f t="shared" si="11"/>
        <v>0.0992394408837512</v>
      </c>
      <c r="R18" s="5">
        <f t="shared" si="12"/>
        <v>0.611107489733394</v>
      </c>
    </row>
    <row r="19" spans="3:18">
      <c r="C19" s="22">
        <v>13</v>
      </c>
      <c r="D19" s="192">
        <f t="shared" si="13"/>
        <v>10.52</v>
      </c>
      <c r="E19" s="131">
        <f t="shared" si="0"/>
        <v>12.2728</v>
      </c>
      <c r="F19" s="25">
        <f t="shared" si="1"/>
        <v>0.538450738829806</v>
      </c>
      <c r="G19" s="27">
        <f t="shared" si="2"/>
        <v>3.82353869643045</v>
      </c>
      <c r="H19" s="25">
        <f t="shared" si="3"/>
        <v>0.212418816468358</v>
      </c>
      <c r="I19" s="131">
        <f t="shared" si="4"/>
        <v>22.7928</v>
      </c>
      <c r="J19" s="27">
        <f t="shared" si="5"/>
        <v>1.35</v>
      </c>
      <c r="K19" s="27">
        <f t="shared" si="6"/>
        <v>3.20817490494297</v>
      </c>
      <c r="L19" s="27">
        <f t="shared" si="7"/>
        <v>2.74998370380027</v>
      </c>
      <c r="M19" s="131">
        <f t="shared" si="14"/>
        <v>167.837089555246</v>
      </c>
      <c r="N19" s="24">
        <f t="shared" si="8"/>
        <v>350</v>
      </c>
      <c r="O19" s="25">
        <f t="shared" si="9"/>
        <v>0.647371631141664</v>
      </c>
      <c r="P19" s="5">
        <f t="shared" si="10"/>
        <v>1.31871217477198</v>
      </c>
      <c r="Q19" s="5">
        <f t="shared" si="11"/>
        <v>0.0996477650016688</v>
      </c>
      <c r="R19" s="5">
        <f t="shared" si="12"/>
        <v>0.611107489733394</v>
      </c>
    </row>
    <row r="20" spans="3:18">
      <c r="C20" s="22">
        <v>14</v>
      </c>
      <c r="D20" s="192">
        <f t="shared" si="13"/>
        <v>10.56</v>
      </c>
      <c r="E20" s="131">
        <f t="shared" si="0"/>
        <v>12.2728</v>
      </c>
      <c r="F20" s="25">
        <f t="shared" si="1"/>
        <v>0.537507445429382</v>
      </c>
      <c r="G20" s="27">
        <f t="shared" si="2"/>
        <v>3.83135307102064</v>
      </c>
      <c r="H20" s="25">
        <f t="shared" si="3"/>
        <v>0.212852948390035</v>
      </c>
      <c r="I20" s="131">
        <f t="shared" si="4"/>
        <v>22.8328</v>
      </c>
      <c r="J20" s="27">
        <f t="shared" si="5"/>
        <v>1.35</v>
      </c>
      <c r="K20" s="27">
        <f t="shared" si="6"/>
        <v>3.19602272727273</v>
      </c>
      <c r="L20" s="27">
        <f t="shared" si="7"/>
        <v>2.74998370380027</v>
      </c>
      <c r="M20" s="131">
        <f t="shared" si="14"/>
        <v>168.180107369905</v>
      </c>
      <c r="N20" s="24">
        <f t="shared" si="8"/>
        <v>350</v>
      </c>
      <c r="O20" s="25">
        <f t="shared" si="9"/>
        <v>0.648694699855346</v>
      </c>
      <c r="P20" s="5">
        <f t="shared" si="10"/>
        <v>1.32140729877319</v>
      </c>
      <c r="Q20" s="5">
        <f t="shared" si="11"/>
        <v>0.100055492368985</v>
      </c>
      <c r="R20" s="5">
        <f t="shared" si="12"/>
        <v>0.611107489733394</v>
      </c>
    </row>
    <row r="21" spans="3:18">
      <c r="C21" s="22">
        <v>15</v>
      </c>
      <c r="D21" s="192">
        <f t="shared" si="13"/>
        <v>10.6</v>
      </c>
      <c r="E21" s="131">
        <f t="shared" si="0"/>
        <v>12.2728</v>
      </c>
      <c r="F21" s="25">
        <f t="shared" si="1"/>
        <v>0.536567451295862</v>
      </c>
      <c r="G21" s="27">
        <f t="shared" si="2"/>
        <v>3.83914011402189</v>
      </c>
      <c r="H21" s="25">
        <f t="shared" si="3"/>
        <v>0.213285561890105</v>
      </c>
      <c r="I21" s="131">
        <f t="shared" si="4"/>
        <v>22.8728</v>
      </c>
      <c r="J21" s="27">
        <f t="shared" si="5"/>
        <v>1.35</v>
      </c>
      <c r="K21" s="27">
        <f t="shared" si="6"/>
        <v>3.18396226415094</v>
      </c>
      <c r="L21" s="27">
        <f t="shared" si="7"/>
        <v>2.74998370380027</v>
      </c>
      <c r="M21" s="131">
        <f t="shared" si="14"/>
        <v>168.521925444034</v>
      </c>
      <c r="N21" s="24">
        <f t="shared" si="8"/>
        <v>350</v>
      </c>
      <c r="O21" s="25">
        <f t="shared" si="9"/>
        <v>0.650013140998416</v>
      </c>
      <c r="P21" s="5">
        <f t="shared" si="10"/>
        <v>1.32409299629754</v>
      </c>
      <c r="Q21" s="5">
        <f t="shared" si="11"/>
        <v>0.10046262174913</v>
      </c>
      <c r="R21" s="5">
        <f t="shared" si="12"/>
        <v>0.611107489733394</v>
      </c>
    </row>
    <row r="22" s="3" customFormat="1" ht="13" spans="3:18">
      <c r="C22" s="196">
        <v>16</v>
      </c>
      <c r="D22" s="197">
        <f t="shared" si="13"/>
        <v>10.64</v>
      </c>
      <c r="E22" s="198">
        <f t="shared" si="0"/>
        <v>12.2728</v>
      </c>
      <c r="F22" s="199">
        <f t="shared" si="1"/>
        <v>0.535630739150169</v>
      </c>
      <c r="G22" s="188">
        <f t="shared" si="2"/>
        <v>3.84689996857652</v>
      </c>
      <c r="H22" s="199">
        <f t="shared" si="3"/>
        <v>0.213716664920918</v>
      </c>
      <c r="I22" s="198">
        <f t="shared" si="4"/>
        <v>22.9128</v>
      </c>
      <c r="J22" s="27">
        <f t="shared" si="5"/>
        <v>1.35</v>
      </c>
      <c r="K22" s="188">
        <f t="shared" si="6"/>
        <v>3.17199248120301</v>
      </c>
      <c r="L22" s="188">
        <f t="shared" si="7"/>
        <v>2.74998370380027</v>
      </c>
      <c r="M22" s="198">
        <f t="shared" si="14"/>
        <v>168.862550060972</v>
      </c>
      <c r="N22" s="185">
        <f t="shared" si="8"/>
        <v>350</v>
      </c>
      <c r="O22" s="199">
        <f t="shared" si="9"/>
        <v>0.651326978806606</v>
      </c>
      <c r="P22" s="5">
        <f t="shared" si="10"/>
        <v>1.3267693167138</v>
      </c>
      <c r="Q22" s="203">
        <f t="shared" si="11"/>
        <v>0.100869151944612</v>
      </c>
      <c r="R22" s="5">
        <f t="shared" si="12"/>
        <v>0.611107489733394</v>
      </c>
    </row>
    <row r="23" spans="3:18">
      <c r="C23" s="22">
        <v>17</v>
      </c>
      <c r="D23" s="192">
        <f t="shared" si="13"/>
        <v>10.68</v>
      </c>
      <c r="E23" s="131">
        <f t="shared" si="0"/>
        <v>12.2728</v>
      </c>
      <c r="F23" s="25">
        <f t="shared" si="1"/>
        <v>0.534697291833676</v>
      </c>
      <c r="G23" s="27">
        <f t="shared" si="2"/>
        <v>3.85463277682897</v>
      </c>
      <c r="H23" s="25">
        <f t="shared" si="3"/>
        <v>0.214146265379387</v>
      </c>
      <c r="I23" s="131">
        <f t="shared" si="4"/>
        <v>22.9528</v>
      </c>
      <c r="J23" s="27">
        <f t="shared" si="5"/>
        <v>1.35</v>
      </c>
      <c r="K23" s="27">
        <f t="shared" si="6"/>
        <v>3.16011235955056</v>
      </c>
      <c r="L23" s="27">
        <f t="shared" si="7"/>
        <v>2.74998370380027</v>
      </c>
      <c r="M23" s="131">
        <f t="shared" si="14"/>
        <v>169.201987460257</v>
      </c>
      <c r="N23" s="24">
        <f t="shared" si="8"/>
        <v>350</v>
      </c>
      <c r="O23" s="25">
        <f t="shared" si="9"/>
        <v>0.652636237346704</v>
      </c>
      <c r="P23" s="5">
        <f t="shared" si="10"/>
        <v>1.32943630904664</v>
      </c>
      <c r="Q23" s="5">
        <f t="shared" si="11"/>
        <v>0.101275081796415</v>
      </c>
      <c r="R23" s="5">
        <f t="shared" si="12"/>
        <v>0.611107489733394</v>
      </c>
    </row>
    <row r="24" spans="3:18">
      <c r="C24" s="22">
        <v>18</v>
      </c>
      <c r="D24" s="192">
        <f t="shared" si="13"/>
        <v>10.72</v>
      </c>
      <c r="E24" s="131">
        <f t="shared" si="0"/>
        <v>12.2728</v>
      </c>
      <c r="F24" s="25">
        <f t="shared" si="1"/>
        <v>0.533767092307157</v>
      </c>
      <c r="G24" s="27">
        <f t="shared" si="2"/>
        <v>3.86233867993459</v>
      </c>
      <c r="H24" s="25">
        <f t="shared" si="3"/>
        <v>0.214574371107477</v>
      </c>
      <c r="I24" s="131">
        <f t="shared" si="4"/>
        <v>22.9928</v>
      </c>
      <c r="J24" s="27">
        <f t="shared" si="5"/>
        <v>1.35</v>
      </c>
      <c r="K24" s="27">
        <f t="shared" si="6"/>
        <v>3.14832089552239</v>
      </c>
      <c r="L24" s="27">
        <f t="shared" si="7"/>
        <v>2.74998370380027</v>
      </c>
      <c r="M24" s="131">
        <f t="shared" si="14"/>
        <v>169.540243838007</v>
      </c>
      <c r="N24" s="24">
        <f t="shared" si="8"/>
        <v>350</v>
      </c>
      <c r="O24" s="25">
        <f t="shared" si="9"/>
        <v>0.653940940518025</v>
      </c>
      <c r="P24" s="5">
        <f t="shared" si="10"/>
        <v>1.33209402197955</v>
      </c>
      <c r="Q24" s="5">
        <f t="shared" si="11"/>
        <v>0.101680410183397</v>
      </c>
      <c r="R24" s="5">
        <f t="shared" si="12"/>
        <v>0.611107489733394</v>
      </c>
    </row>
    <row r="25" spans="3:18">
      <c r="C25" s="22">
        <v>19</v>
      </c>
      <c r="D25" s="192">
        <f t="shared" si="13"/>
        <v>10.76</v>
      </c>
      <c r="E25" s="131">
        <f t="shared" si="0"/>
        <v>12.2728</v>
      </c>
      <c r="F25" s="25">
        <f t="shared" si="1"/>
        <v>0.532840123649752</v>
      </c>
      <c r="G25" s="27">
        <f t="shared" si="2"/>
        <v>3.87001781806815</v>
      </c>
      <c r="H25" s="25">
        <f t="shared" si="3"/>
        <v>0.215000989892675</v>
      </c>
      <c r="I25" s="131">
        <f t="shared" si="4"/>
        <v>23.0328</v>
      </c>
      <c r="J25" s="27">
        <f t="shared" si="5"/>
        <v>1.35</v>
      </c>
      <c r="K25" s="27">
        <f t="shared" si="6"/>
        <v>3.13661710037175</v>
      </c>
      <c r="L25" s="27">
        <f t="shared" si="7"/>
        <v>2.74998370380027</v>
      </c>
      <c r="M25" s="131">
        <f t="shared" si="14"/>
        <v>169.877325347299</v>
      </c>
      <c r="N25" s="24">
        <f t="shared" si="8"/>
        <v>350</v>
      </c>
      <c r="O25" s="25">
        <f t="shared" si="9"/>
        <v>0.655241112053866</v>
      </c>
      <c r="P25" s="5">
        <f t="shared" si="10"/>
        <v>1.33474250385785</v>
      </c>
      <c r="Q25" s="5">
        <f t="shared" si="11"/>
        <v>0.102085136021709</v>
      </c>
      <c r="R25" s="5">
        <f t="shared" si="12"/>
        <v>0.611107489733394</v>
      </c>
    </row>
    <row r="26" spans="3:18">
      <c r="C26" s="22">
        <v>20</v>
      </c>
      <c r="D26" s="192">
        <f t="shared" si="13"/>
        <v>10.8</v>
      </c>
      <c r="E26" s="131">
        <f t="shared" si="0"/>
        <v>12.2728</v>
      </c>
      <c r="F26" s="25">
        <f t="shared" si="1"/>
        <v>0.531916369057938</v>
      </c>
      <c r="G26" s="27">
        <f t="shared" si="2"/>
        <v>3.87767033043237</v>
      </c>
      <c r="H26" s="25">
        <f t="shared" si="3"/>
        <v>0.215426129468465</v>
      </c>
      <c r="I26" s="131">
        <f t="shared" si="4"/>
        <v>23.0728</v>
      </c>
      <c r="J26" s="27">
        <f t="shared" si="5"/>
        <v>1.35</v>
      </c>
      <c r="K26" s="27">
        <f t="shared" si="6"/>
        <v>3.125</v>
      </c>
      <c r="L26" s="27">
        <f t="shared" si="7"/>
        <v>2.74998370380027</v>
      </c>
      <c r="M26" s="131">
        <f t="shared" si="14"/>
        <v>170.21323809854</v>
      </c>
      <c r="N26" s="24">
        <f t="shared" si="8"/>
        <v>350</v>
      </c>
      <c r="O26" s="25">
        <f t="shared" si="9"/>
        <v>0.656536775522941</v>
      </c>
      <c r="P26" s="5">
        <f t="shared" si="10"/>
        <v>1.3373818026916</v>
      </c>
      <c r="Q26" s="5">
        <f t="shared" si="11"/>
        <v>0.102489258264213</v>
      </c>
      <c r="R26" s="5">
        <f t="shared" si="12"/>
        <v>0.611107489733394</v>
      </c>
    </row>
    <row r="27" spans="3:18">
      <c r="C27" s="22">
        <v>21</v>
      </c>
      <c r="D27" s="192">
        <f t="shared" si="13"/>
        <v>10.84</v>
      </c>
      <c r="E27" s="131">
        <f t="shared" si="0"/>
        <v>12.2728</v>
      </c>
      <c r="F27" s="25">
        <f t="shared" si="1"/>
        <v>0.530995811844519</v>
      </c>
      <c r="G27" s="27">
        <f t="shared" si="2"/>
        <v>3.88529635526635</v>
      </c>
      <c r="H27" s="25">
        <f t="shared" si="3"/>
        <v>0.215849797514797</v>
      </c>
      <c r="I27" s="131">
        <f t="shared" si="4"/>
        <v>23.1128</v>
      </c>
      <c r="J27" s="27">
        <f t="shared" si="5"/>
        <v>1.35</v>
      </c>
      <c r="K27" s="27">
        <f t="shared" si="6"/>
        <v>3.11346863468635</v>
      </c>
      <c r="L27" s="27">
        <f t="shared" si="7"/>
        <v>2.74998370380027</v>
      </c>
      <c r="M27" s="131">
        <f t="shared" si="14"/>
        <v>170.54798815984</v>
      </c>
      <c r="N27" s="24">
        <f t="shared" si="8"/>
        <v>350</v>
      </c>
      <c r="O27" s="25">
        <f t="shared" si="9"/>
        <v>0.65782795433081</v>
      </c>
      <c r="P27" s="5">
        <f t="shared" si="10"/>
        <v>1.34001196615852</v>
      </c>
      <c r="Q27" s="5">
        <f t="shared" si="11"/>
        <v>0.102892775899912</v>
      </c>
      <c r="R27" s="5">
        <f t="shared" si="12"/>
        <v>0.611107489733394</v>
      </c>
    </row>
    <row r="28" spans="3:18">
      <c r="C28" s="22">
        <v>22</v>
      </c>
      <c r="D28" s="192">
        <f t="shared" si="13"/>
        <v>10.88</v>
      </c>
      <c r="E28" s="131">
        <f t="shared" si="0"/>
        <v>12.2728</v>
      </c>
      <c r="F28" s="25">
        <f t="shared" si="1"/>
        <v>0.530078435437614</v>
      </c>
      <c r="G28" s="27">
        <f t="shared" si="2"/>
        <v>3.89289602985384</v>
      </c>
      <c r="H28" s="25">
        <f t="shared" si="3"/>
        <v>0.216272001658547</v>
      </c>
      <c r="I28" s="131">
        <f t="shared" si="4"/>
        <v>23.1528</v>
      </c>
      <c r="J28" s="27">
        <f t="shared" si="5"/>
        <v>1.35</v>
      </c>
      <c r="K28" s="27">
        <f t="shared" si="6"/>
        <v>3.10202205882353</v>
      </c>
      <c r="L28" s="27">
        <f t="shared" si="7"/>
        <v>2.74998370380027</v>
      </c>
      <c r="M28" s="131">
        <f t="shared" si="14"/>
        <v>170.88158155737</v>
      </c>
      <c r="N28" s="24">
        <f t="shared" si="8"/>
        <v>350</v>
      </c>
      <c r="O28" s="25">
        <f t="shared" si="9"/>
        <v>0.659114671721285</v>
      </c>
      <c r="P28" s="5">
        <f t="shared" si="10"/>
        <v>1.34263304160682</v>
      </c>
      <c r="Q28" s="5">
        <f t="shared" si="11"/>
        <v>0.10329568795339</v>
      </c>
      <c r="R28" s="5">
        <f t="shared" si="12"/>
        <v>0.611107489733394</v>
      </c>
    </row>
    <row r="29" spans="3:18">
      <c r="C29" s="22">
        <v>23</v>
      </c>
      <c r="D29" s="192">
        <f t="shared" si="13"/>
        <v>10.92</v>
      </c>
      <c r="E29" s="131">
        <f t="shared" si="0"/>
        <v>12.2728</v>
      </c>
      <c r="F29" s="25">
        <f t="shared" si="1"/>
        <v>0.52916422337967</v>
      </c>
      <c r="G29" s="27">
        <f t="shared" si="2"/>
        <v>3.90046949053154</v>
      </c>
      <c r="H29" s="25">
        <f t="shared" si="3"/>
        <v>0.216692749473975</v>
      </c>
      <c r="I29" s="131">
        <f t="shared" si="4"/>
        <v>23.1928</v>
      </c>
      <c r="J29" s="27">
        <f t="shared" si="5"/>
        <v>1.35</v>
      </c>
      <c r="K29" s="27">
        <f t="shared" si="6"/>
        <v>3.09065934065934</v>
      </c>
      <c r="L29" s="27">
        <f t="shared" si="7"/>
        <v>2.74998370380027</v>
      </c>
      <c r="M29" s="131">
        <f t="shared" si="14"/>
        <v>171.214024275733</v>
      </c>
      <c r="N29" s="24">
        <f t="shared" si="8"/>
        <v>350</v>
      </c>
      <c r="O29" s="25">
        <f t="shared" si="9"/>
        <v>0.660396950777828</v>
      </c>
      <c r="P29" s="5">
        <f t="shared" si="10"/>
        <v>1.34524507605809</v>
      </c>
      <c r="Q29" s="5">
        <f t="shared" si="11"/>
        <v>0.103697993484258</v>
      </c>
      <c r="R29" s="5">
        <f t="shared" si="12"/>
        <v>0.611107489733394</v>
      </c>
    </row>
    <row r="30" spans="3:18">
      <c r="C30" s="22">
        <v>24</v>
      </c>
      <c r="D30" s="192">
        <f t="shared" si="13"/>
        <v>10.96</v>
      </c>
      <c r="E30" s="131">
        <f t="shared" si="0"/>
        <v>12.2728</v>
      </c>
      <c r="F30" s="25">
        <f t="shared" si="1"/>
        <v>0.528253159326469</v>
      </c>
      <c r="G30" s="27">
        <f t="shared" si="2"/>
        <v>3.90801687269722</v>
      </c>
      <c r="H30" s="25">
        <f t="shared" si="3"/>
        <v>0.217112048483179</v>
      </c>
      <c r="I30" s="131">
        <f t="shared" si="4"/>
        <v>23.2328</v>
      </c>
      <c r="J30" s="27">
        <f t="shared" si="5"/>
        <v>1.35</v>
      </c>
      <c r="K30" s="27">
        <f t="shared" si="6"/>
        <v>3.0793795620438</v>
      </c>
      <c r="L30" s="27">
        <f t="shared" si="7"/>
        <v>2.74998370380027</v>
      </c>
      <c r="M30" s="131">
        <f t="shared" si="14"/>
        <v>171.545322258314</v>
      </c>
      <c r="N30" s="24">
        <f t="shared" si="8"/>
        <v>350</v>
      </c>
      <c r="O30" s="25">
        <f t="shared" si="9"/>
        <v>0.661674814424926</v>
      </c>
      <c r="P30" s="5">
        <f t="shared" si="10"/>
        <v>1.34784811621009</v>
      </c>
      <c r="Q30" s="5">
        <f t="shared" si="11"/>
        <v>0.104099691586611</v>
      </c>
      <c r="R30" s="5">
        <f t="shared" si="12"/>
        <v>0.611107489733394</v>
      </c>
    </row>
    <row r="31" spans="3:18">
      <c r="C31" s="22">
        <v>25</v>
      </c>
      <c r="D31" s="192">
        <f t="shared" si="13"/>
        <v>11</v>
      </c>
      <c r="E31" s="131">
        <f t="shared" si="0"/>
        <v>12.2728</v>
      </c>
      <c r="F31" s="25">
        <f t="shared" si="1"/>
        <v>0.527345227046165</v>
      </c>
      <c r="G31" s="27">
        <f t="shared" si="2"/>
        <v>3.91553831081778</v>
      </c>
      <c r="H31" s="25">
        <f t="shared" si="3"/>
        <v>0.217529906156543</v>
      </c>
      <c r="I31" s="131">
        <f t="shared" si="4"/>
        <v>23.2728</v>
      </c>
      <c r="J31" s="27">
        <f t="shared" si="5"/>
        <v>1.35</v>
      </c>
      <c r="K31" s="27">
        <f t="shared" si="6"/>
        <v>3.06818181818182</v>
      </c>
      <c r="L31" s="27">
        <f t="shared" si="7"/>
        <v>2.74998370380027</v>
      </c>
      <c r="M31" s="131">
        <f t="shared" si="14"/>
        <v>171.875481407639</v>
      </c>
      <c r="N31" s="24">
        <f t="shared" si="8"/>
        <v>350</v>
      </c>
      <c r="O31" s="25">
        <f t="shared" si="9"/>
        <v>0.662948285429465</v>
      </c>
      <c r="P31" s="5">
        <f t="shared" si="10"/>
        <v>1.35044220843953</v>
      </c>
      <c r="Q31" s="5">
        <f t="shared" si="11"/>
        <v>0.104500781388488</v>
      </c>
      <c r="R31" s="5">
        <f t="shared" si="12"/>
        <v>0.611107489733394</v>
      </c>
    </row>
    <row r="32" spans="3:18">
      <c r="C32" s="22">
        <v>26</v>
      </c>
      <c r="D32" s="192">
        <f t="shared" si="13"/>
        <v>11.04</v>
      </c>
      <c r="E32" s="131">
        <f t="shared" si="0"/>
        <v>12.2728</v>
      </c>
      <c r="F32" s="25">
        <f t="shared" si="1"/>
        <v>0.526440410418311</v>
      </c>
      <c r="G32" s="27">
        <f t="shared" si="2"/>
        <v>3.92303393843725</v>
      </c>
      <c r="H32" s="25">
        <f t="shared" si="3"/>
        <v>0.217946329913181</v>
      </c>
      <c r="I32" s="131">
        <f t="shared" si="4"/>
        <v>23.3128</v>
      </c>
      <c r="J32" s="27">
        <f t="shared" si="5"/>
        <v>1.35</v>
      </c>
      <c r="K32" s="27">
        <f t="shared" si="6"/>
        <v>3.05706521739131</v>
      </c>
      <c r="L32" s="27">
        <f t="shared" si="7"/>
        <v>2.74998370380027</v>
      </c>
      <c r="M32" s="131">
        <f t="shared" si="14"/>
        <v>172.204507585723</v>
      </c>
      <c r="N32" s="24">
        <f t="shared" si="8"/>
        <v>350</v>
      </c>
      <c r="O32" s="25">
        <f t="shared" si="9"/>
        <v>0.664217386402075</v>
      </c>
      <c r="P32" s="5">
        <f t="shared" si="10"/>
        <v>1.35302739880483</v>
      </c>
      <c r="Q32" s="5">
        <f t="shared" si="11"/>
        <v>0.104901262051346</v>
      </c>
      <c r="R32" s="5">
        <f t="shared" si="12"/>
        <v>0.611107489733394</v>
      </c>
    </row>
    <row r="33" spans="3:18">
      <c r="C33" s="22">
        <v>27</v>
      </c>
      <c r="D33" s="192">
        <f t="shared" si="13"/>
        <v>11.08</v>
      </c>
      <c r="E33" s="131">
        <f t="shared" si="0"/>
        <v>12.2728</v>
      </c>
      <c r="F33" s="25">
        <f t="shared" si="1"/>
        <v>0.525538693432907</v>
      </c>
      <c r="G33" s="27">
        <f t="shared" si="2"/>
        <v>3.93050388818471</v>
      </c>
      <c r="H33" s="25">
        <f t="shared" si="3"/>
        <v>0.218361327121373</v>
      </c>
      <c r="I33" s="131">
        <f t="shared" si="4"/>
        <v>23.3528</v>
      </c>
      <c r="J33" s="27">
        <f t="shared" si="5"/>
        <v>1.35</v>
      </c>
      <c r="K33" s="27">
        <f t="shared" si="6"/>
        <v>3.04602888086643</v>
      </c>
      <c r="L33" s="27">
        <f t="shared" si="7"/>
        <v>2.74998370380027</v>
      </c>
      <c r="M33" s="131">
        <f t="shared" si="14"/>
        <v>172.532406614418</v>
      </c>
      <c r="N33" s="24">
        <f t="shared" si="8"/>
        <v>350</v>
      </c>
      <c r="O33" s="25">
        <f t="shared" si="9"/>
        <v>0.66548213979847</v>
      </c>
      <c r="P33" s="5">
        <f t="shared" si="10"/>
        <v>1.35560373304884</v>
      </c>
      <c r="Q33" s="5">
        <f t="shared" si="11"/>
        <v>0.10530113276954</v>
      </c>
      <c r="R33" s="5">
        <f t="shared" si="12"/>
        <v>0.611107489733394</v>
      </c>
    </row>
    <row r="34" spans="3:18">
      <c r="C34" s="22">
        <v>28</v>
      </c>
      <c r="D34" s="192">
        <f t="shared" si="13"/>
        <v>11.12</v>
      </c>
      <c r="E34" s="131">
        <f t="shared" si="0"/>
        <v>12.2728</v>
      </c>
      <c r="F34" s="25">
        <f t="shared" si="1"/>
        <v>0.52464006018946</v>
      </c>
      <c r="G34" s="27">
        <f t="shared" si="2"/>
        <v>3.93794829178209</v>
      </c>
      <c r="H34" s="25">
        <f t="shared" si="3"/>
        <v>0.218774905099005</v>
      </c>
      <c r="I34" s="131">
        <f t="shared" si="4"/>
        <v>23.3928</v>
      </c>
      <c r="J34" s="27">
        <f t="shared" si="5"/>
        <v>1.35</v>
      </c>
      <c r="K34" s="27">
        <f t="shared" si="6"/>
        <v>3.03507194244604</v>
      </c>
      <c r="L34" s="27">
        <f t="shared" si="7"/>
        <v>2.74998370380027</v>
      </c>
      <c r="M34" s="131">
        <f t="shared" si="14"/>
        <v>172.859184275757</v>
      </c>
      <c r="N34" s="24">
        <f t="shared" si="8"/>
        <v>350</v>
      </c>
      <c r="O34" s="25">
        <f t="shared" si="9"/>
        <v>0.666742567920777</v>
      </c>
      <c r="P34" s="5">
        <f t="shared" si="10"/>
        <v>1.35817125660154</v>
      </c>
      <c r="Q34" s="5">
        <f t="shared" si="11"/>
        <v>0.105700392769808</v>
      </c>
      <c r="R34" s="5">
        <f t="shared" si="12"/>
        <v>0.611107489733394</v>
      </c>
    </row>
    <row r="35" spans="3:18">
      <c r="C35" s="22">
        <v>29</v>
      </c>
      <c r="D35" s="192">
        <f t="shared" si="13"/>
        <v>11.16</v>
      </c>
      <c r="E35" s="131">
        <f t="shared" si="0"/>
        <v>12.2728</v>
      </c>
      <c r="F35" s="25">
        <f t="shared" si="1"/>
        <v>0.523744494896043</v>
      </c>
      <c r="G35" s="27">
        <f t="shared" si="2"/>
        <v>3.94536728005189</v>
      </c>
      <c r="H35" s="25">
        <f t="shared" si="3"/>
        <v>0.219187071113994</v>
      </c>
      <c r="I35" s="131">
        <f t="shared" si="4"/>
        <v>23.4328</v>
      </c>
      <c r="J35" s="27">
        <f t="shared" si="5"/>
        <v>1.35</v>
      </c>
      <c r="K35" s="27">
        <f t="shared" si="6"/>
        <v>3.0241935483871</v>
      </c>
      <c r="L35" s="27">
        <f t="shared" si="7"/>
        <v>2.74998370380027</v>
      </c>
      <c r="M35" s="131">
        <f t="shared" si="14"/>
        <v>173.184846312292</v>
      </c>
      <c r="N35" s="24">
        <f t="shared" si="8"/>
        <v>350</v>
      </c>
      <c r="O35" s="25">
        <f t="shared" si="9"/>
        <v>0.667998692918839</v>
      </c>
      <c r="P35" s="5">
        <f t="shared" si="10"/>
        <v>1.36073001458273</v>
      </c>
      <c r="Q35" s="5">
        <f t="shared" si="11"/>
        <v>0.106099041310766</v>
      </c>
      <c r="R35" s="5">
        <f t="shared" si="12"/>
        <v>0.611107489733394</v>
      </c>
    </row>
    <row r="36" spans="3:18">
      <c r="C36" s="22">
        <v>30</v>
      </c>
      <c r="D36" s="192">
        <f t="shared" si="13"/>
        <v>11.2</v>
      </c>
      <c r="E36" s="131">
        <f t="shared" si="0"/>
        <v>12.2728</v>
      </c>
      <c r="F36" s="25">
        <f t="shared" si="1"/>
        <v>0.522851981868375</v>
      </c>
      <c r="G36" s="27">
        <f t="shared" si="2"/>
        <v>3.95276098292492</v>
      </c>
      <c r="H36" s="25">
        <f t="shared" si="3"/>
        <v>0.219597832384718</v>
      </c>
      <c r="I36" s="131">
        <f t="shared" si="4"/>
        <v>23.4728</v>
      </c>
      <c r="J36" s="27">
        <f t="shared" si="5"/>
        <v>1.35</v>
      </c>
      <c r="K36" s="27">
        <f t="shared" si="6"/>
        <v>3.01339285714286</v>
      </c>
      <c r="L36" s="27">
        <f t="shared" si="7"/>
        <v>2.74998370380027</v>
      </c>
      <c r="M36" s="131">
        <f t="shared" si="14"/>
        <v>173.509398427431</v>
      </c>
      <c r="N36" s="24">
        <f t="shared" si="8"/>
        <v>350</v>
      </c>
      <c r="O36" s="25">
        <f t="shared" si="9"/>
        <v>0.66925053679152</v>
      </c>
      <c r="P36" s="5">
        <f t="shared" si="10"/>
        <v>1.36328005180464</v>
      </c>
      <c r="Q36" s="5">
        <f t="shared" si="11"/>
        <v>0.106497077682411</v>
      </c>
      <c r="R36" s="5">
        <f t="shared" si="12"/>
        <v>0.611107489733394</v>
      </c>
    </row>
    <row r="37" spans="3:18">
      <c r="C37" s="22">
        <v>31</v>
      </c>
      <c r="D37" s="192">
        <f t="shared" si="13"/>
        <v>11.24</v>
      </c>
      <c r="E37" s="131">
        <f t="shared" si="0"/>
        <v>12.2728</v>
      </c>
      <c r="F37" s="25">
        <f t="shared" si="1"/>
        <v>0.521962505528903</v>
      </c>
      <c r="G37" s="27">
        <f t="shared" si="2"/>
        <v>3.96012952944779</v>
      </c>
      <c r="H37" s="25">
        <f t="shared" si="3"/>
        <v>0.220007196080433</v>
      </c>
      <c r="I37" s="131">
        <f t="shared" si="4"/>
        <v>23.5128</v>
      </c>
      <c r="J37" s="27">
        <f t="shared" si="5"/>
        <v>1.35</v>
      </c>
      <c r="K37" s="27">
        <f t="shared" si="6"/>
        <v>3.00266903914591</v>
      </c>
      <c r="L37" s="27">
        <f t="shared" si="7"/>
        <v>2.74998370380027</v>
      </c>
      <c r="M37" s="131">
        <f t="shared" si="14"/>
        <v>173.832846285774</v>
      </c>
      <c r="N37" s="24">
        <f t="shared" si="8"/>
        <v>350</v>
      </c>
      <c r="O37" s="25">
        <f t="shared" si="9"/>
        <v>0.670498121387986</v>
      </c>
      <c r="P37" s="5">
        <f t="shared" si="10"/>
        <v>1.36582141277456</v>
      </c>
      <c r="Q37" s="5">
        <f t="shared" si="11"/>
        <v>0.106894501205629</v>
      </c>
      <c r="R37" s="5">
        <f t="shared" si="12"/>
        <v>0.611107489733394</v>
      </c>
    </row>
    <row r="38" spans="3:18">
      <c r="C38" s="22">
        <v>32</v>
      </c>
      <c r="D38" s="192">
        <f t="shared" si="13"/>
        <v>11.28</v>
      </c>
      <c r="E38" s="131">
        <f t="shared" ref="E38:E69" si="15">(Vout+Vfwd1)*Nps</f>
        <v>12.2728</v>
      </c>
      <c r="F38" s="25">
        <f t="shared" ref="F38:F69" si="16">(Vout+Vfwd1)*Nps/((Vout+Vfwd1)*Nps+D38)</f>
        <v>0.521076050405897</v>
      </c>
      <c r="G38" s="27">
        <f t="shared" ref="G38:G69" si="17">F38*D38*Isw_max*0.5*Efficiency</f>
        <v>3.9674730477905</v>
      </c>
      <c r="H38" s="25">
        <f t="shared" ref="H38:H69" si="18">G38/Vout</f>
        <v>0.220415169321694</v>
      </c>
      <c r="I38" s="131">
        <f t="shared" ref="I38:I69" si="19">(Vout+Vfwd1)*Nps+D38</f>
        <v>23.5528</v>
      </c>
      <c r="J38" s="27">
        <f t="shared" ref="J38:J69" si="20">MIN(2*Vout*Iout/(Efficiency*D38*F38),1.35)</f>
        <v>1.35</v>
      </c>
      <c r="K38" s="27">
        <f t="shared" ref="K38:K69" si="21">L*J38/D38*1000000</f>
        <v>2.99202127659575</v>
      </c>
      <c r="L38" s="27">
        <f t="shared" ref="L38:L69" si="22">L*J38/((Vout+Vfwd1)*Nps)*1000000</f>
        <v>2.74998370380027</v>
      </c>
      <c r="M38" s="131">
        <f t="shared" si="14"/>
        <v>174.155195513437</v>
      </c>
      <c r="N38" s="24">
        <f t="shared" ref="N38:N69" si="23">IF(1/((350000*L)*(1/D38+1/E38))&gt;Isw_min,350,0.001/((Isw_min*L)*(1/D38+1/E38)))</f>
        <v>350</v>
      </c>
      <c r="O38" s="25">
        <f t="shared" ref="O38:O69" si="24">1/((N38*1000*L)*(1/D38+1/E38))</f>
        <v>0.671741468408973</v>
      </c>
      <c r="P38" s="5">
        <f t="shared" ref="P38:P69" si="25">L*O38/E38*1000000</f>
        <v>1.36835414169744</v>
      </c>
      <c r="Q38" s="5">
        <f t="shared" ref="Q38:Q69" si="26">0.5*P38*O38*Nps*N38/1000</f>
        <v>0.107291311231715</v>
      </c>
      <c r="R38" s="5">
        <f t="shared" ref="R38:R69" si="27">L*Isw_min/E38*1000000</f>
        <v>0.611107489733394</v>
      </c>
    </row>
    <row r="39" spans="3:18">
      <c r="C39" s="22">
        <v>33</v>
      </c>
      <c r="D39" s="192">
        <f t="shared" ref="D39:D70" si="28">C39/100*(VIN_max-VIN_min)+VIN_min</f>
        <v>11.32</v>
      </c>
      <c r="E39" s="131">
        <f t="shared" si="15"/>
        <v>12.2728</v>
      </c>
      <c r="F39" s="25">
        <f t="shared" si="16"/>
        <v>0.520192601132549</v>
      </c>
      <c r="G39" s="27">
        <f t="shared" si="17"/>
        <v>3.97479166525381</v>
      </c>
      <c r="H39" s="25">
        <f t="shared" si="18"/>
        <v>0.220821759180767</v>
      </c>
      <c r="I39" s="131">
        <f t="shared" si="19"/>
        <v>23.5928</v>
      </c>
      <c r="J39" s="27">
        <f t="shared" si="20"/>
        <v>1.35</v>
      </c>
      <c r="K39" s="27">
        <f t="shared" si="21"/>
        <v>2.98144876325088</v>
      </c>
      <c r="L39" s="27">
        <f t="shared" si="22"/>
        <v>2.74998370380027</v>
      </c>
      <c r="M39" s="131">
        <f t="shared" si="14"/>
        <v>174.476451698384</v>
      </c>
      <c r="N39" s="24">
        <f t="shared" si="23"/>
        <v>350</v>
      </c>
      <c r="O39" s="25">
        <f t="shared" si="24"/>
        <v>0.672980599408052</v>
      </c>
      <c r="P39" s="5">
        <f t="shared" si="25"/>
        <v>1.37087828247843</v>
      </c>
      <c r="Q39" s="5">
        <f t="shared" si="26"/>
        <v>0.107687507141894</v>
      </c>
      <c r="R39" s="5">
        <f t="shared" si="27"/>
        <v>0.611107489733394</v>
      </c>
    </row>
    <row r="40" spans="3:18">
      <c r="C40" s="22">
        <v>34</v>
      </c>
      <c r="D40" s="192">
        <f t="shared" si="28"/>
        <v>11.36</v>
      </c>
      <c r="E40" s="131">
        <f t="shared" si="15"/>
        <v>12.2728</v>
      </c>
      <c r="F40" s="25">
        <f t="shared" si="16"/>
        <v>0.519312142446092</v>
      </c>
      <c r="G40" s="27">
        <f t="shared" si="17"/>
        <v>3.98208550827663</v>
      </c>
      <c r="H40" s="25">
        <f t="shared" si="18"/>
        <v>0.221226972682035</v>
      </c>
      <c r="I40" s="131">
        <f t="shared" si="19"/>
        <v>23.6328</v>
      </c>
      <c r="J40" s="27">
        <f t="shared" si="20"/>
        <v>1.35</v>
      </c>
      <c r="K40" s="27">
        <f t="shared" si="21"/>
        <v>2.97095070422535</v>
      </c>
      <c r="L40" s="27">
        <f t="shared" si="22"/>
        <v>2.74998370380027</v>
      </c>
      <c r="M40" s="131">
        <f t="shared" si="14"/>
        <v>174.796620390744</v>
      </c>
      <c r="N40" s="24">
        <f t="shared" si="23"/>
        <v>350</v>
      </c>
      <c r="O40" s="25">
        <f t="shared" si="24"/>
        <v>0.674215535792869</v>
      </c>
      <c r="P40" s="5">
        <f t="shared" si="25"/>
        <v>1.37339387872545</v>
      </c>
      <c r="Q40" s="5">
        <f t="shared" si="26"/>
        <v>0.10808308834685</v>
      </c>
      <c r="R40" s="5">
        <f t="shared" si="27"/>
        <v>0.611107489733394</v>
      </c>
    </row>
    <row r="41" spans="3:18">
      <c r="C41" s="22">
        <v>35</v>
      </c>
      <c r="D41" s="192">
        <f t="shared" si="28"/>
        <v>11.4</v>
      </c>
      <c r="E41" s="131">
        <f t="shared" si="15"/>
        <v>12.2728</v>
      </c>
      <c r="F41" s="25">
        <f t="shared" si="16"/>
        <v>0.518434659186915</v>
      </c>
      <c r="G41" s="27">
        <f t="shared" si="17"/>
        <v>3.98935470244331</v>
      </c>
      <c r="H41" s="25">
        <f t="shared" si="18"/>
        <v>0.221630816802406</v>
      </c>
      <c r="I41" s="131">
        <f t="shared" si="19"/>
        <v>23.6728</v>
      </c>
      <c r="J41" s="27">
        <f t="shared" si="20"/>
        <v>1.35</v>
      </c>
      <c r="K41" s="27">
        <f t="shared" si="21"/>
        <v>2.96052631578947</v>
      </c>
      <c r="L41" s="27">
        <f t="shared" si="22"/>
        <v>2.74998370380027</v>
      </c>
      <c r="M41" s="131">
        <f t="shared" si="14"/>
        <v>175.115707103136</v>
      </c>
      <c r="N41" s="24">
        <f t="shared" si="23"/>
        <v>350</v>
      </c>
      <c r="O41" s="25">
        <f t="shared" si="24"/>
        <v>0.675446298826381</v>
      </c>
      <c r="P41" s="5">
        <f t="shared" si="25"/>
        <v>1.37590097375167</v>
      </c>
      <c r="Q41" s="5">
        <f t="shared" si="26"/>
        <v>0.10847805428627</v>
      </c>
      <c r="R41" s="5">
        <f t="shared" si="27"/>
        <v>0.611107489733394</v>
      </c>
    </row>
    <row r="42" spans="3:18">
      <c r="C42" s="22">
        <v>36</v>
      </c>
      <c r="D42" s="192">
        <f t="shared" si="28"/>
        <v>11.44</v>
      </c>
      <c r="E42" s="131">
        <f t="shared" si="15"/>
        <v>12.2728</v>
      </c>
      <c r="F42" s="25">
        <f t="shared" si="16"/>
        <v>0.517560136297696</v>
      </c>
      <c r="G42" s="27">
        <f t="shared" si="17"/>
        <v>3.99659937249081</v>
      </c>
      <c r="H42" s="25">
        <f t="shared" si="18"/>
        <v>0.222033298471711</v>
      </c>
      <c r="I42" s="131">
        <f t="shared" si="19"/>
        <v>23.7128</v>
      </c>
      <c r="J42" s="27">
        <f t="shared" si="20"/>
        <v>1.35</v>
      </c>
      <c r="K42" s="27">
        <f t="shared" si="21"/>
        <v>2.95017482517483</v>
      </c>
      <c r="L42" s="27">
        <f t="shared" si="22"/>
        <v>2.74998370380027</v>
      </c>
      <c r="M42" s="131">
        <f t="shared" si="14"/>
        <v>175.433717310982</v>
      </c>
      <c r="N42" s="24">
        <f t="shared" si="23"/>
        <v>350</v>
      </c>
      <c r="O42" s="25">
        <f t="shared" si="24"/>
        <v>0.676672909628073</v>
      </c>
      <c r="P42" s="5">
        <f t="shared" si="25"/>
        <v>1.37839961057801</v>
      </c>
      <c r="Q42" s="5">
        <f t="shared" si="26"/>
        <v>0.108872404428385</v>
      </c>
      <c r="R42" s="5">
        <f t="shared" si="27"/>
        <v>0.611107489733394</v>
      </c>
    </row>
    <row r="43" spans="3:18">
      <c r="C43" s="22">
        <v>37</v>
      </c>
      <c r="D43" s="192">
        <f t="shared" si="28"/>
        <v>11.48</v>
      </c>
      <c r="E43" s="131">
        <f t="shared" si="15"/>
        <v>12.2728</v>
      </c>
      <c r="F43" s="25">
        <f t="shared" si="16"/>
        <v>0.516688558822539</v>
      </c>
      <c r="G43" s="27">
        <f t="shared" si="17"/>
        <v>4.00381964231585</v>
      </c>
      <c r="H43" s="25">
        <f t="shared" si="18"/>
        <v>0.222434424573103</v>
      </c>
      <c r="I43" s="131">
        <f t="shared" si="19"/>
        <v>23.7528</v>
      </c>
      <c r="J43" s="27">
        <f t="shared" si="20"/>
        <v>1.35</v>
      </c>
      <c r="K43" s="27">
        <f t="shared" si="21"/>
        <v>2.93989547038328</v>
      </c>
      <c r="L43" s="27">
        <f t="shared" si="22"/>
        <v>2.74998370380027</v>
      </c>
      <c r="M43" s="131">
        <f t="shared" si="14"/>
        <v>175.750656452822</v>
      </c>
      <c r="N43" s="24">
        <f t="shared" si="23"/>
        <v>350</v>
      </c>
      <c r="O43" s="25">
        <f t="shared" si="24"/>
        <v>0.677895389175171</v>
      </c>
      <c r="P43" s="5">
        <f t="shared" si="25"/>
        <v>1.3808898319356</v>
      </c>
      <c r="Q43" s="5">
        <f t="shared" si="26"/>
        <v>0.109266138269521</v>
      </c>
      <c r="R43" s="5">
        <f t="shared" si="27"/>
        <v>0.611107489733394</v>
      </c>
    </row>
    <row r="44" spans="3:18">
      <c r="C44" s="22">
        <v>38</v>
      </c>
      <c r="D44" s="192">
        <f t="shared" si="28"/>
        <v>11.52</v>
      </c>
      <c r="E44" s="131">
        <f t="shared" si="15"/>
        <v>12.2728</v>
      </c>
      <c r="F44" s="25">
        <f t="shared" si="16"/>
        <v>0.515819911906123</v>
      </c>
      <c r="G44" s="27">
        <f t="shared" si="17"/>
        <v>4.01101563498201</v>
      </c>
      <c r="H44" s="25">
        <f t="shared" si="18"/>
        <v>0.222834201943445</v>
      </c>
      <c r="I44" s="131">
        <f t="shared" si="19"/>
        <v>23.7928</v>
      </c>
      <c r="J44" s="27">
        <f t="shared" si="20"/>
        <v>1.35</v>
      </c>
      <c r="K44" s="27">
        <f t="shared" si="21"/>
        <v>2.9296875</v>
      </c>
      <c r="L44" s="27">
        <f t="shared" si="22"/>
        <v>2.74998370380027</v>
      </c>
      <c r="M44" s="131">
        <f t="shared" si="14"/>
        <v>176.066529930623</v>
      </c>
      <c r="N44" s="24">
        <f t="shared" si="23"/>
        <v>350</v>
      </c>
      <c r="O44" s="25">
        <f t="shared" si="24"/>
        <v>0.679113758303833</v>
      </c>
      <c r="P44" s="5">
        <f t="shared" si="25"/>
        <v>1.38337168026822</v>
      </c>
      <c r="Q44" s="5">
        <f t="shared" si="26"/>
        <v>0.109659255333658</v>
      </c>
      <c r="R44" s="5">
        <f t="shared" si="27"/>
        <v>0.611107489733394</v>
      </c>
    </row>
    <row r="45" spans="3:18">
      <c r="C45" s="22">
        <v>39</v>
      </c>
      <c r="D45" s="192">
        <f t="shared" si="28"/>
        <v>11.56</v>
      </c>
      <c r="E45" s="131">
        <f t="shared" si="15"/>
        <v>12.2728</v>
      </c>
      <c r="F45" s="25">
        <f t="shared" si="16"/>
        <v>0.514954180792857</v>
      </c>
      <c r="G45" s="27">
        <f t="shared" si="17"/>
        <v>4.01818747272666</v>
      </c>
      <c r="H45" s="25">
        <f t="shared" si="18"/>
        <v>0.223232637373703</v>
      </c>
      <c r="I45" s="131">
        <f t="shared" si="19"/>
        <v>23.8328</v>
      </c>
      <c r="J45" s="27">
        <f t="shared" si="20"/>
        <v>1.35</v>
      </c>
      <c r="K45" s="27">
        <f t="shared" si="21"/>
        <v>2.91955017301038</v>
      </c>
      <c r="L45" s="27">
        <f t="shared" si="22"/>
        <v>2.74998370380027</v>
      </c>
      <c r="M45" s="131">
        <f t="shared" si="14"/>
        <v>176.381343110087</v>
      </c>
      <c r="N45" s="24">
        <f t="shared" si="23"/>
        <v>350</v>
      </c>
      <c r="O45" s="25">
        <f t="shared" si="24"/>
        <v>0.680328037710334</v>
      </c>
      <c r="P45" s="5">
        <f t="shared" si="25"/>
        <v>1.38584519773469</v>
      </c>
      <c r="Q45" s="5">
        <f t="shared" si="26"/>
        <v>0.110051755171996</v>
      </c>
      <c r="R45" s="5">
        <f t="shared" si="27"/>
        <v>0.611107489733394</v>
      </c>
    </row>
    <row r="46" spans="3:18">
      <c r="C46" s="22">
        <v>40</v>
      </c>
      <c r="D46" s="192">
        <f t="shared" si="28"/>
        <v>11.6</v>
      </c>
      <c r="E46" s="131">
        <f t="shared" si="15"/>
        <v>12.2728</v>
      </c>
      <c r="F46" s="25">
        <f t="shared" si="16"/>
        <v>0.514091350826045</v>
      </c>
      <c r="G46" s="27">
        <f t="shared" si="17"/>
        <v>4.02533527696793</v>
      </c>
      <c r="H46" s="25">
        <f t="shared" si="18"/>
        <v>0.223629737609329</v>
      </c>
      <c r="I46" s="131">
        <f t="shared" si="19"/>
        <v>23.8728</v>
      </c>
      <c r="J46" s="27">
        <f t="shared" si="20"/>
        <v>1.35</v>
      </c>
      <c r="K46" s="27">
        <f t="shared" si="21"/>
        <v>2.90948275862069</v>
      </c>
      <c r="L46" s="27">
        <f t="shared" si="22"/>
        <v>2.74998370380027</v>
      </c>
      <c r="M46" s="131">
        <f t="shared" si="14"/>
        <v>176.695101320952</v>
      </c>
      <c r="N46" s="24">
        <f t="shared" si="23"/>
        <v>350</v>
      </c>
      <c r="O46" s="25">
        <f t="shared" si="24"/>
        <v>0.681538247952242</v>
      </c>
      <c r="P46" s="5">
        <f t="shared" si="25"/>
        <v>1.3883104262113</v>
      </c>
      <c r="Q46" s="5">
        <f t="shared" si="26"/>
        <v>0.110443637362523</v>
      </c>
      <c r="R46" s="5">
        <f t="shared" si="27"/>
        <v>0.611107489733394</v>
      </c>
    </row>
    <row r="47" spans="3:18">
      <c r="C47" s="22">
        <v>41</v>
      </c>
      <c r="D47" s="192">
        <f t="shared" si="28"/>
        <v>11.64</v>
      </c>
      <c r="E47" s="131">
        <f t="shared" si="15"/>
        <v>12.2728</v>
      </c>
      <c r="F47" s="25">
        <f t="shared" si="16"/>
        <v>0.513231407447058</v>
      </c>
      <c r="G47" s="27">
        <f t="shared" si="17"/>
        <v>4.03245916831153</v>
      </c>
      <c r="H47" s="25">
        <f t="shared" si="18"/>
        <v>0.224025509350641</v>
      </c>
      <c r="I47" s="131">
        <f t="shared" si="19"/>
        <v>23.9128</v>
      </c>
      <c r="J47" s="27">
        <f t="shared" si="20"/>
        <v>1.35</v>
      </c>
      <c r="K47" s="27">
        <f t="shared" si="21"/>
        <v>2.89948453608247</v>
      </c>
      <c r="L47" s="27">
        <f t="shared" si="22"/>
        <v>2.74998370380027</v>
      </c>
      <c r="M47" s="131">
        <f t="shared" si="14"/>
        <v>177.007809857296</v>
      </c>
      <c r="N47" s="24">
        <f t="shared" si="23"/>
        <v>350</v>
      </c>
      <c r="O47" s="25">
        <f t="shared" si="24"/>
        <v>0.682744409449572</v>
      </c>
      <c r="P47" s="5">
        <f t="shared" si="25"/>
        <v>1.39076740729412</v>
      </c>
      <c r="Q47" s="5">
        <f t="shared" si="26"/>
        <v>0.110834901509596</v>
      </c>
      <c r="R47" s="5">
        <f t="shared" si="27"/>
        <v>0.611107489733394</v>
      </c>
    </row>
    <row r="48" spans="3:18">
      <c r="C48" s="22">
        <v>42</v>
      </c>
      <c r="D48" s="192">
        <f t="shared" si="28"/>
        <v>11.68</v>
      </c>
      <c r="E48" s="131">
        <f t="shared" si="15"/>
        <v>12.2728</v>
      </c>
      <c r="F48" s="25">
        <f t="shared" si="16"/>
        <v>0.512374336194516</v>
      </c>
      <c r="G48" s="27">
        <f t="shared" si="17"/>
        <v>4.03955926655756</v>
      </c>
      <c r="H48" s="25">
        <f t="shared" si="18"/>
        <v>0.224419959253198</v>
      </c>
      <c r="I48" s="131">
        <f t="shared" si="19"/>
        <v>23.9528</v>
      </c>
      <c r="J48" s="27">
        <f t="shared" si="20"/>
        <v>1.35</v>
      </c>
      <c r="K48" s="27">
        <f t="shared" si="21"/>
        <v>2.88955479452055</v>
      </c>
      <c r="L48" s="27">
        <f t="shared" si="22"/>
        <v>2.74998370380027</v>
      </c>
      <c r="M48" s="131">
        <f t="shared" si="14"/>
        <v>177.319473977835</v>
      </c>
      <c r="N48" s="24">
        <f t="shared" si="23"/>
        <v>350</v>
      </c>
      <c r="O48" s="25">
        <f t="shared" si="24"/>
        <v>0.683946542485937</v>
      </c>
      <c r="P48" s="5">
        <f t="shared" si="25"/>
        <v>1.39321618230138</v>
      </c>
      <c r="Q48" s="5">
        <f t="shared" si="26"/>
        <v>0.111225547243521</v>
      </c>
      <c r="R48" s="5">
        <f t="shared" si="27"/>
        <v>0.611107489733394</v>
      </c>
    </row>
    <row r="49" spans="3:18">
      <c r="C49" s="22">
        <v>43</v>
      </c>
      <c r="D49" s="192">
        <f t="shared" si="28"/>
        <v>11.72</v>
      </c>
      <c r="E49" s="131">
        <f t="shared" si="15"/>
        <v>12.2728</v>
      </c>
      <c r="F49" s="25">
        <f t="shared" si="16"/>
        <v>0.511520122703478</v>
      </c>
      <c r="G49" s="27">
        <f t="shared" si="17"/>
        <v>4.04663569070721</v>
      </c>
      <c r="H49" s="25">
        <f t="shared" si="18"/>
        <v>0.224813093928178</v>
      </c>
      <c r="I49" s="131">
        <f t="shared" si="19"/>
        <v>23.9928</v>
      </c>
      <c r="J49" s="27">
        <f t="shared" si="20"/>
        <v>1.35</v>
      </c>
      <c r="K49" s="27">
        <f t="shared" si="21"/>
        <v>2.87969283276451</v>
      </c>
      <c r="L49" s="27">
        <f t="shared" si="22"/>
        <v>2.74998370380027</v>
      </c>
      <c r="M49" s="131">
        <f t="shared" si="14"/>
        <v>177.630098906215</v>
      </c>
      <c r="N49" s="24">
        <f t="shared" si="23"/>
        <v>350</v>
      </c>
      <c r="O49" s="25">
        <f t="shared" si="24"/>
        <v>0.685144667209687</v>
      </c>
      <c r="P49" s="5">
        <f t="shared" si="25"/>
        <v>1.39565679227578</v>
      </c>
      <c r="Q49" s="5">
        <f t="shared" si="26"/>
        <v>0.111615574220146</v>
      </c>
      <c r="R49" s="5">
        <f t="shared" si="27"/>
        <v>0.611107489733394</v>
      </c>
    </row>
    <row r="50" spans="3:18">
      <c r="C50" s="22">
        <v>44</v>
      </c>
      <c r="D50" s="192">
        <f t="shared" si="28"/>
        <v>11.76</v>
      </c>
      <c r="E50" s="131">
        <f t="shared" si="15"/>
        <v>12.2728</v>
      </c>
      <c r="F50" s="25">
        <f t="shared" si="16"/>
        <v>0.510668752704637</v>
      </c>
      <c r="G50" s="27">
        <f t="shared" si="17"/>
        <v>4.05368855896941</v>
      </c>
      <c r="H50" s="25">
        <f t="shared" si="18"/>
        <v>0.225204919942745</v>
      </c>
      <c r="I50" s="131">
        <f t="shared" si="19"/>
        <v>24.0328</v>
      </c>
      <c r="J50" s="27">
        <f t="shared" si="20"/>
        <v>1.35</v>
      </c>
      <c r="K50" s="27">
        <f t="shared" si="21"/>
        <v>2.86989795918367</v>
      </c>
      <c r="L50" s="27">
        <f t="shared" si="22"/>
        <v>2.74998370380027</v>
      </c>
      <c r="M50" s="131">
        <f t="shared" si="14"/>
        <v>177.939689831305</v>
      </c>
      <c r="N50" s="24">
        <f t="shared" si="23"/>
        <v>350</v>
      </c>
      <c r="O50" s="25">
        <f t="shared" si="24"/>
        <v>0.686338803635032</v>
      </c>
      <c r="P50" s="5">
        <f t="shared" si="25"/>
        <v>1.39808927798675</v>
      </c>
      <c r="Q50" s="5">
        <f t="shared" si="26"/>
        <v>0.112004982120454</v>
      </c>
      <c r="R50" s="5">
        <f t="shared" si="27"/>
        <v>0.611107489733394</v>
      </c>
    </row>
    <row r="51" spans="3:18">
      <c r="C51" s="22">
        <v>45</v>
      </c>
      <c r="D51" s="192">
        <f t="shared" si="28"/>
        <v>11.8</v>
      </c>
      <c r="E51" s="131">
        <f t="shared" si="15"/>
        <v>12.2728</v>
      </c>
      <c r="F51" s="25">
        <f t="shared" si="16"/>
        <v>0.509820212023529</v>
      </c>
      <c r="G51" s="27">
        <f t="shared" si="17"/>
        <v>4.06071798876741</v>
      </c>
      <c r="H51" s="25">
        <f t="shared" si="18"/>
        <v>0.225595443820411</v>
      </c>
      <c r="I51" s="131">
        <f t="shared" si="19"/>
        <v>24.0728</v>
      </c>
      <c r="J51" s="27">
        <f t="shared" si="20"/>
        <v>1.35</v>
      </c>
      <c r="K51" s="27">
        <f t="shared" si="21"/>
        <v>2.86016949152542</v>
      </c>
      <c r="L51" s="27">
        <f t="shared" si="22"/>
        <v>2.74998370380027</v>
      </c>
      <c r="M51" s="131">
        <f t="shared" si="14"/>
        <v>178.248251907486</v>
      </c>
      <c r="N51" s="24">
        <f t="shared" si="23"/>
        <v>350</v>
      </c>
      <c r="O51" s="25">
        <f t="shared" si="24"/>
        <v>0.687528971643159</v>
      </c>
      <c r="P51" s="5">
        <f t="shared" si="25"/>
        <v>1.40051367993278</v>
      </c>
      <c r="Q51" s="5">
        <f t="shared" si="26"/>
        <v>0.112393770650166</v>
      </c>
      <c r="R51" s="5">
        <f t="shared" si="27"/>
        <v>0.611107489733394</v>
      </c>
    </row>
    <row r="52" spans="3:18">
      <c r="C52" s="22">
        <v>46</v>
      </c>
      <c r="D52" s="192">
        <f t="shared" si="28"/>
        <v>11.84</v>
      </c>
      <c r="E52" s="131">
        <f t="shared" si="15"/>
        <v>12.2728</v>
      </c>
      <c r="F52" s="25">
        <f t="shared" si="16"/>
        <v>0.508974486579742</v>
      </c>
      <c r="G52" s="27">
        <f t="shared" si="17"/>
        <v>4.0677240967453</v>
      </c>
      <c r="H52" s="25">
        <f t="shared" si="18"/>
        <v>0.225984672041405</v>
      </c>
      <c r="I52" s="131">
        <f t="shared" si="19"/>
        <v>24.1128</v>
      </c>
      <c r="J52" s="27">
        <f t="shared" si="20"/>
        <v>1.35</v>
      </c>
      <c r="K52" s="27">
        <f t="shared" si="21"/>
        <v>2.85050675675676</v>
      </c>
      <c r="L52" s="27">
        <f t="shared" si="22"/>
        <v>2.74998370380027</v>
      </c>
      <c r="M52" s="131">
        <f t="shared" si="14"/>
        <v>178.555790254938</v>
      </c>
      <c r="N52" s="24">
        <f t="shared" si="23"/>
        <v>350</v>
      </c>
      <c r="O52" s="25">
        <f t="shared" si="24"/>
        <v>0.688715190983331</v>
      </c>
      <c r="P52" s="5">
        <f t="shared" si="25"/>
        <v>1.40293003834359</v>
      </c>
      <c r="Q52" s="5">
        <f t="shared" si="26"/>
        <v>0.112781939539349</v>
      </c>
      <c r="R52" s="5">
        <f t="shared" si="27"/>
        <v>0.611107489733394</v>
      </c>
    </row>
    <row r="53" spans="3:18">
      <c r="C53" s="22">
        <v>47</v>
      </c>
      <c r="D53" s="192">
        <f t="shared" si="28"/>
        <v>11.88</v>
      </c>
      <c r="E53" s="131">
        <f t="shared" si="15"/>
        <v>12.2728</v>
      </c>
      <c r="F53" s="25">
        <f t="shared" si="16"/>
        <v>0.508131562386142</v>
      </c>
      <c r="G53" s="27">
        <f t="shared" si="17"/>
        <v>4.07470699877447</v>
      </c>
      <c r="H53" s="25">
        <f t="shared" si="18"/>
        <v>0.226372611043026</v>
      </c>
      <c r="I53" s="131">
        <f t="shared" si="19"/>
        <v>24.1528</v>
      </c>
      <c r="J53" s="27">
        <f t="shared" si="20"/>
        <v>1.35</v>
      </c>
      <c r="K53" s="27">
        <f t="shared" si="21"/>
        <v>2.84090909090909</v>
      </c>
      <c r="L53" s="27">
        <f t="shared" si="22"/>
        <v>2.74998370380027</v>
      </c>
      <c r="M53" s="131">
        <f t="shared" si="14"/>
        <v>178.862309959922</v>
      </c>
      <c r="N53" s="24">
        <f t="shared" si="23"/>
        <v>350</v>
      </c>
      <c r="O53" s="25">
        <f t="shared" si="24"/>
        <v>0.689897481273984</v>
      </c>
      <c r="P53" s="5">
        <f t="shared" si="25"/>
        <v>1.40533839318245</v>
      </c>
      <c r="Q53" s="5">
        <f t="shared" si="26"/>
        <v>0.113169488542028</v>
      </c>
      <c r="R53" s="5">
        <f t="shared" si="27"/>
        <v>0.611107489733394</v>
      </c>
    </row>
    <row r="54" spans="3:18">
      <c r="C54" s="22">
        <v>48</v>
      </c>
      <c r="D54" s="192">
        <f t="shared" si="28"/>
        <v>11.92</v>
      </c>
      <c r="E54" s="131">
        <f t="shared" si="15"/>
        <v>12.2728</v>
      </c>
      <c r="F54" s="25">
        <f t="shared" si="16"/>
        <v>0.507291425548097</v>
      </c>
      <c r="G54" s="27">
        <f t="shared" si="17"/>
        <v>4.08166680995999</v>
      </c>
      <c r="H54" s="25">
        <f t="shared" si="18"/>
        <v>0.226759267219999</v>
      </c>
      <c r="I54" s="131">
        <f t="shared" si="19"/>
        <v>24.1928</v>
      </c>
      <c r="J54" s="27">
        <f t="shared" si="20"/>
        <v>1.35</v>
      </c>
      <c r="K54" s="27">
        <f t="shared" si="21"/>
        <v>2.83137583892618</v>
      </c>
      <c r="L54" s="27">
        <f t="shared" si="22"/>
        <v>2.74998370380027</v>
      </c>
      <c r="M54" s="131">
        <f t="shared" si="14"/>
        <v>179.167816075061</v>
      </c>
      <c r="N54" s="24">
        <f t="shared" si="23"/>
        <v>350</v>
      </c>
      <c r="O54" s="25">
        <f t="shared" si="24"/>
        <v>0.691075862003807</v>
      </c>
      <c r="P54" s="5">
        <f t="shared" si="25"/>
        <v>1.40773878414829</v>
      </c>
      <c r="Q54" s="5">
        <f t="shared" si="26"/>
        <v>0.113556417435806</v>
      </c>
      <c r="R54" s="5">
        <f t="shared" si="27"/>
        <v>0.611107489733394</v>
      </c>
    </row>
    <row r="55" spans="3:18">
      <c r="C55" s="22">
        <v>49</v>
      </c>
      <c r="D55" s="192">
        <f t="shared" si="28"/>
        <v>11.96</v>
      </c>
      <c r="E55" s="131">
        <f t="shared" si="15"/>
        <v>12.2728</v>
      </c>
      <c r="F55" s="25">
        <f t="shared" si="16"/>
        <v>0.506454062262718</v>
      </c>
      <c r="G55" s="27">
        <f t="shared" si="17"/>
        <v>4.08860364464693</v>
      </c>
      <c r="H55" s="25">
        <f t="shared" si="18"/>
        <v>0.227144646924829</v>
      </c>
      <c r="I55" s="131">
        <f t="shared" si="19"/>
        <v>24.2328</v>
      </c>
      <c r="J55" s="27">
        <f t="shared" si="20"/>
        <v>1.35</v>
      </c>
      <c r="K55" s="27">
        <f t="shared" si="21"/>
        <v>2.82190635451505</v>
      </c>
      <c r="L55" s="27">
        <f t="shared" si="22"/>
        <v>2.74998370380027</v>
      </c>
      <c r="M55" s="131">
        <f t="shared" si="14"/>
        <v>179.472313619618</v>
      </c>
      <c r="N55" s="24">
        <f t="shared" si="23"/>
        <v>350</v>
      </c>
      <c r="O55" s="25">
        <f t="shared" si="24"/>
        <v>0.692250352532813</v>
      </c>
      <c r="P55" s="5">
        <f t="shared" si="25"/>
        <v>1.41013125067795</v>
      </c>
      <c r="Q55" s="5">
        <f t="shared" si="26"/>
        <v>0.113942726021489</v>
      </c>
      <c r="R55" s="5">
        <f t="shared" si="27"/>
        <v>0.611107489733394</v>
      </c>
    </row>
    <row r="56" spans="3:18">
      <c r="C56" s="22">
        <v>50</v>
      </c>
      <c r="D56" s="192">
        <f t="shared" si="28"/>
        <v>12</v>
      </c>
      <c r="E56" s="131">
        <f t="shared" si="15"/>
        <v>12.2728</v>
      </c>
      <c r="F56" s="25">
        <f t="shared" si="16"/>
        <v>0.505619458818101</v>
      </c>
      <c r="G56" s="27">
        <f t="shared" si="17"/>
        <v>4.09551761642662</v>
      </c>
      <c r="H56" s="25">
        <f t="shared" si="18"/>
        <v>0.227528756468145</v>
      </c>
      <c r="I56" s="131">
        <f t="shared" si="19"/>
        <v>24.2728</v>
      </c>
      <c r="J56" s="27">
        <f t="shared" si="20"/>
        <v>1.35</v>
      </c>
      <c r="K56" s="27">
        <f t="shared" si="21"/>
        <v>2.8125</v>
      </c>
      <c r="L56" s="27">
        <f t="shared" si="22"/>
        <v>2.74998370380027</v>
      </c>
      <c r="M56" s="131">
        <f t="shared" si="14"/>
        <v>179.775807579769</v>
      </c>
      <c r="N56" s="24">
        <f t="shared" si="23"/>
        <v>350</v>
      </c>
      <c r="O56" s="25">
        <f t="shared" si="24"/>
        <v>0.693420972093396</v>
      </c>
      <c r="P56" s="5">
        <f t="shared" si="25"/>
        <v>1.41251583194828</v>
      </c>
      <c r="Q56" s="5">
        <f t="shared" si="26"/>
        <v>0.114328414122712</v>
      </c>
      <c r="R56" s="5">
        <f t="shared" si="27"/>
        <v>0.611107489733394</v>
      </c>
    </row>
    <row r="57" spans="3:18">
      <c r="C57" s="22">
        <v>51</v>
      </c>
      <c r="D57" s="192">
        <f t="shared" si="28"/>
        <v>12.04</v>
      </c>
      <c r="E57" s="131">
        <f t="shared" si="15"/>
        <v>12.2728</v>
      </c>
      <c r="F57" s="25">
        <f t="shared" si="16"/>
        <v>0.504787601592577</v>
      </c>
      <c r="G57" s="27">
        <f t="shared" si="17"/>
        <v>4.10240883814287</v>
      </c>
      <c r="H57" s="25">
        <f t="shared" si="18"/>
        <v>0.227911602119048</v>
      </c>
      <c r="I57" s="131">
        <f t="shared" si="19"/>
        <v>24.3128</v>
      </c>
      <c r="J57" s="27">
        <f t="shared" si="20"/>
        <v>1.35</v>
      </c>
      <c r="K57" s="27">
        <f t="shared" si="21"/>
        <v>2.8031561461794</v>
      </c>
      <c r="L57" s="27">
        <f t="shared" si="22"/>
        <v>2.74998370380027</v>
      </c>
      <c r="M57" s="131">
        <f t="shared" si="14"/>
        <v>180.078302908878</v>
      </c>
      <c r="N57" s="24">
        <f t="shared" si="23"/>
        <v>350</v>
      </c>
      <c r="O57" s="25">
        <f t="shared" si="24"/>
        <v>0.694587739791386</v>
      </c>
      <c r="P57" s="5">
        <f t="shared" si="25"/>
        <v>1.41489256687835</v>
      </c>
      <c r="Q57" s="5">
        <f t="shared" si="26"/>
        <v>0.114713481585582</v>
      </c>
      <c r="R57" s="5">
        <f t="shared" si="27"/>
        <v>0.611107489733394</v>
      </c>
    </row>
    <row r="58" spans="3:18">
      <c r="C58" s="22">
        <v>52</v>
      </c>
      <c r="D58" s="192">
        <f t="shared" si="28"/>
        <v>12.08</v>
      </c>
      <c r="E58" s="131">
        <f t="shared" si="15"/>
        <v>12.2728</v>
      </c>
      <c r="F58" s="25">
        <f t="shared" si="16"/>
        <v>0.503958477053973</v>
      </c>
      <c r="G58" s="27">
        <f t="shared" si="17"/>
        <v>4.1092774218981</v>
      </c>
      <c r="H58" s="25">
        <f t="shared" si="18"/>
        <v>0.22829319010545</v>
      </c>
      <c r="I58" s="131">
        <f t="shared" si="19"/>
        <v>24.3528</v>
      </c>
      <c r="J58" s="27">
        <f t="shared" si="20"/>
        <v>1.35</v>
      </c>
      <c r="K58" s="27">
        <f t="shared" si="21"/>
        <v>2.79387417218543</v>
      </c>
      <c r="L58" s="27">
        <f t="shared" si="22"/>
        <v>2.74998370380027</v>
      </c>
      <c r="M58" s="131">
        <f t="shared" si="14"/>
        <v>180.379804527763</v>
      </c>
      <c r="N58" s="24">
        <f t="shared" si="23"/>
        <v>350</v>
      </c>
      <c r="O58" s="25">
        <f t="shared" si="24"/>
        <v>0.695750674607085</v>
      </c>
      <c r="P58" s="5">
        <f t="shared" si="25"/>
        <v>1.41726149413151</v>
      </c>
      <c r="Q58" s="5">
        <f t="shared" si="26"/>
        <v>0.115097928278312</v>
      </c>
      <c r="R58" s="5">
        <f t="shared" si="27"/>
        <v>0.611107489733394</v>
      </c>
    </row>
    <row r="59" spans="3:18">
      <c r="C59" s="22">
        <v>53</v>
      </c>
      <c r="D59" s="192">
        <f t="shared" si="28"/>
        <v>12.12</v>
      </c>
      <c r="E59" s="131">
        <f t="shared" si="15"/>
        <v>12.2728</v>
      </c>
      <c r="F59" s="25">
        <f t="shared" si="16"/>
        <v>0.50313207175888</v>
      </c>
      <c r="G59" s="27">
        <f t="shared" si="17"/>
        <v>4.11612347905939</v>
      </c>
      <c r="H59" s="25">
        <f t="shared" si="18"/>
        <v>0.228673526614411</v>
      </c>
      <c r="I59" s="131">
        <f t="shared" si="19"/>
        <v>24.3928</v>
      </c>
      <c r="J59" s="27">
        <f t="shared" si="20"/>
        <v>1.35</v>
      </c>
      <c r="K59" s="27">
        <f t="shared" si="21"/>
        <v>2.78465346534654</v>
      </c>
      <c r="L59" s="27">
        <f t="shared" si="22"/>
        <v>2.74998370380027</v>
      </c>
      <c r="M59" s="131">
        <f t="shared" si="14"/>
        <v>180.680317324966</v>
      </c>
      <c r="N59" s="24">
        <f t="shared" si="23"/>
        <v>350</v>
      </c>
      <c r="O59" s="25">
        <f t="shared" si="24"/>
        <v>0.6969097953963</v>
      </c>
      <c r="P59" s="5">
        <f t="shared" si="25"/>
        <v>1.41962265211749</v>
      </c>
      <c r="Q59" s="5">
        <f t="shared" si="26"/>
        <v>0.115481754090869</v>
      </c>
      <c r="R59" s="5">
        <f t="shared" si="27"/>
        <v>0.611107489733394</v>
      </c>
    </row>
    <row r="60" spans="3:18">
      <c r="C60" s="22">
        <v>54</v>
      </c>
      <c r="D60" s="192">
        <f t="shared" si="28"/>
        <v>12.16</v>
      </c>
      <c r="E60" s="131">
        <f t="shared" si="15"/>
        <v>12.2728</v>
      </c>
      <c r="F60" s="25">
        <f t="shared" si="16"/>
        <v>0.50230837235192</v>
      </c>
      <c r="G60" s="27">
        <f t="shared" si="17"/>
        <v>4.12294712026456</v>
      </c>
      <c r="H60" s="25">
        <f t="shared" si="18"/>
        <v>0.229052617792476</v>
      </c>
      <c r="I60" s="131">
        <f t="shared" si="19"/>
        <v>24.4328</v>
      </c>
      <c r="J60" s="27">
        <f t="shared" si="20"/>
        <v>1.35</v>
      </c>
      <c r="K60" s="27">
        <f t="shared" si="21"/>
        <v>2.77549342105263</v>
      </c>
      <c r="L60" s="27">
        <f t="shared" si="22"/>
        <v>2.74998370380027</v>
      </c>
      <c r="M60" s="131">
        <f t="shared" si="14"/>
        <v>180.979846157018</v>
      </c>
      <c r="N60" s="24">
        <f t="shared" si="23"/>
        <v>350</v>
      </c>
      <c r="O60" s="25">
        <f t="shared" si="24"/>
        <v>0.698065120891354</v>
      </c>
      <c r="P60" s="5">
        <f t="shared" si="25"/>
        <v>1.42197607899451</v>
      </c>
      <c r="Q60" s="5">
        <f t="shared" si="26"/>
        <v>0.115864958934627</v>
      </c>
      <c r="R60" s="5">
        <f t="shared" si="27"/>
        <v>0.611107489733394</v>
      </c>
    </row>
    <row r="61" spans="3:18">
      <c r="C61" s="22">
        <v>55</v>
      </c>
      <c r="D61" s="192">
        <f t="shared" si="28"/>
        <v>12.2</v>
      </c>
      <c r="E61" s="131">
        <f t="shared" si="15"/>
        <v>12.2728</v>
      </c>
      <c r="F61" s="25">
        <f t="shared" si="16"/>
        <v>0.501487365565035</v>
      </c>
      <c r="G61" s="27">
        <f t="shared" si="17"/>
        <v>4.12974845542807</v>
      </c>
      <c r="H61" s="25">
        <f t="shared" si="18"/>
        <v>0.229430469746004</v>
      </c>
      <c r="I61" s="131">
        <f t="shared" si="19"/>
        <v>24.4728</v>
      </c>
      <c r="J61" s="27">
        <f t="shared" si="20"/>
        <v>1.35</v>
      </c>
      <c r="K61" s="27">
        <f t="shared" si="21"/>
        <v>2.76639344262295</v>
      </c>
      <c r="L61" s="27">
        <f t="shared" si="22"/>
        <v>2.74998370380027</v>
      </c>
      <c r="M61" s="131">
        <f t="shared" si="14"/>
        <v>181.278395848694</v>
      </c>
      <c r="N61" s="24">
        <f t="shared" si="23"/>
        <v>350</v>
      </c>
      <c r="O61" s="25">
        <f t="shared" si="24"/>
        <v>0.699216669702107</v>
      </c>
      <c r="P61" s="5">
        <f t="shared" si="25"/>
        <v>1.42432181267133</v>
      </c>
      <c r="Q61" s="5">
        <f t="shared" si="26"/>
        <v>0.116247542742022</v>
      </c>
      <c r="R61" s="5">
        <f t="shared" si="27"/>
        <v>0.611107489733394</v>
      </c>
    </row>
    <row r="62" spans="3:18">
      <c r="C62" s="22">
        <v>56</v>
      </c>
      <c r="D62" s="192">
        <f t="shared" si="28"/>
        <v>12.24</v>
      </c>
      <c r="E62" s="131">
        <f t="shared" si="15"/>
        <v>12.2728</v>
      </c>
      <c r="F62" s="25">
        <f t="shared" si="16"/>
        <v>0.500669038216768</v>
      </c>
      <c r="G62" s="27">
        <f t="shared" si="17"/>
        <v>4.13652759374694</v>
      </c>
      <c r="H62" s="25">
        <f t="shared" si="18"/>
        <v>0.229807088541497</v>
      </c>
      <c r="I62" s="131">
        <f t="shared" si="19"/>
        <v>24.5128</v>
      </c>
      <c r="J62" s="27">
        <f t="shared" si="20"/>
        <v>1.35</v>
      </c>
      <c r="K62" s="27">
        <f t="shared" si="21"/>
        <v>2.75735294117647</v>
      </c>
      <c r="L62" s="27">
        <f t="shared" si="22"/>
        <v>2.74998370380027</v>
      </c>
      <c r="M62" s="131">
        <f t="shared" si="14"/>
        <v>181.575971193281</v>
      </c>
      <c r="N62" s="24">
        <f t="shared" si="23"/>
        <v>350</v>
      </c>
      <c r="O62" s="25">
        <f t="shared" si="24"/>
        <v>0.700364460316942</v>
      </c>
      <c r="P62" s="5">
        <f t="shared" si="25"/>
        <v>1.42665989080923</v>
      </c>
      <c r="Q62" s="5">
        <f t="shared" si="26"/>
        <v>0.116629505466212</v>
      </c>
      <c r="R62" s="5">
        <f t="shared" si="27"/>
        <v>0.611107489733394</v>
      </c>
    </row>
    <row r="63" spans="3:18">
      <c r="C63" s="22">
        <v>57</v>
      </c>
      <c r="D63" s="192">
        <f t="shared" si="28"/>
        <v>12.28</v>
      </c>
      <c r="E63" s="131">
        <f t="shared" si="15"/>
        <v>12.2728</v>
      </c>
      <c r="F63" s="25">
        <f t="shared" si="16"/>
        <v>0.49985337721156</v>
      </c>
      <c r="G63" s="27">
        <f t="shared" si="17"/>
        <v>4.14328464370662</v>
      </c>
      <c r="H63" s="25">
        <f t="shared" si="18"/>
        <v>0.230182480205924</v>
      </c>
      <c r="I63" s="131">
        <f t="shared" si="19"/>
        <v>24.5528</v>
      </c>
      <c r="J63" s="27">
        <f t="shared" si="20"/>
        <v>1.35</v>
      </c>
      <c r="K63" s="27">
        <f t="shared" si="21"/>
        <v>2.74837133550489</v>
      </c>
      <c r="L63" s="27">
        <f t="shared" si="22"/>
        <v>2.74998370380027</v>
      </c>
      <c r="M63" s="131">
        <f t="shared" si="14"/>
        <v>181.872576952828</v>
      </c>
      <c r="N63" s="24">
        <f t="shared" si="23"/>
        <v>350</v>
      </c>
      <c r="O63" s="25">
        <f t="shared" si="24"/>
        <v>0.701508511103767</v>
      </c>
      <c r="P63" s="5">
        <f t="shared" si="25"/>
        <v>1.42899035082411</v>
      </c>
      <c r="Q63" s="5">
        <f t="shared" si="26"/>
        <v>0.117010847080746</v>
      </c>
      <c r="R63" s="5">
        <f t="shared" si="27"/>
        <v>0.611107489733394</v>
      </c>
    </row>
    <row r="64" spans="3:18">
      <c r="C64" s="22">
        <v>58</v>
      </c>
      <c r="D64" s="192">
        <f t="shared" si="28"/>
        <v>12.32</v>
      </c>
      <c r="E64" s="131">
        <f t="shared" si="15"/>
        <v>12.2728</v>
      </c>
      <c r="F64" s="25">
        <f t="shared" si="16"/>
        <v>0.499040369539052</v>
      </c>
      <c r="G64" s="27">
        <f t="shared" si="17"/>
        <v>4.15001971308676</v>
      </c>
      <c r="H64" s="25">
        <f t="shared" si="18"/>
        <v>0.230556650727042</v>
      </c>
      <c r="I64" s="131">
        <f t="shared" si="19"/>
        <v>24.5928</v>
      </c>
      <c r="J64" s="27">
        <f t="shared" si="20"/>
        <v>1.35</v>
      </c>
      <c r="K64" s="27">
        <f t="shared" si="21"/>
        <v>2.73944805194805</v>
      </c>
      <c r="L64" s="27">
        <f t="shared" si="22"/>
        <v>2.74998370380027</v>
      </c>
      <c r="M64" s="131">
        <f t="shared" si="14"/>
        <v>182.168217858404</v>
      </c>
      <c r="N64" s="24">
        <f t="shared" si="23"/>
        <v>350</v>
      </c>
      <c r="O64" s="25">
        <f t="shared" si="24"/>
        <v>0.702648840310985</v>
      </c>
      <c r="P64" s="5">
        <f t="shared" si="25"/>
        <v>1.43131322988842</v>
      </c>
      <c r="Q64" s="5">
        <f t="shared" si="26"/>
        <v>0.117391567579233</v>
      </c>
      <c r="R64" s="5">
        <f t="shared" si="27"/>
        <v>0.611107489733394</v>
      </c>
    </row>
    <row r="65" spans="3:18">
      <c r="C65" s="22">
        <v>59</v>
      </c>
      <c r="D65" s="192">
        <f t="shared" si="28"/>
        <v>12.36</v>
      </c>
      <c r="E65" s="131">
        <f t="shared" si="15"/>
        <v>12.2728</v>
      </c>
      <c r="F65" s="25">
        <f t="shared" si="16"/>
        <v>0.498230002273392</v>
      </c>
      <c r="G65" s="27">
        <f t="shared" si="17"/>
        <v>4.15673290896691</v>
      </c>
      <c r="H65" s="25">
        <f t="shared" si="18"/>
        <v>0.230929606053717</v>
      </c>
      <c r="I65" s="131">
        <f t="shared" si="19"/>
        <v>24.6328</v>
      </c>
      <c r="J65" s="27">
        <f t="shared" si="20"/>
        <v>1.35</v>
      </c>
      <c r="K65" s="27">
        <f t="shared" si="21"/>
        <v>2.73058252427185</v>
      </c>
      <c r="L65" s="27">
        <f t="shared" si="22"/>
        <v>2.74998370380027</v>
      </c>
      <c r="M65" s="131">
        <f t="shared" si="14"/>
        <v>182.462898610344</v>
      </c>
      <c r="N65" s="24">
        <f t="shared" si="23"/>
        <v>350</v>
      </c>
      <c r="O65" s="25">
        <f t="shared" si="24"/>
        <v>0.703785466068471</v>
      </c>
      <c r="P65" s="5">
        <f t="shared" si="25"/>
        <v>1.43362856493317</v>
      </c>
      <c r="Q65" s="5">
        <f t="shared" si="26"/>
        <v>0.117771666975017</v>
      </c>
      <c r="R65" s="5">
        <f t="shared" si="27"/>
        <v>0.611107489733394</v>
      </c>
    </row>
    <row r="66" spans="3:18">
      <c r="C66" s="22">
        <v>60</v>
      </c>
      <c r="D66" s="192">
        <f t="shared" si="28"/>
        <v>12.4</v>
      </c>
      <c r="E66" s="131">
        <f t="shared" si="15"/>
        <v>12.2728</v>
      </c>
      <c r="F66" s="25">
        <f t="shared" si="16"/>
        <v>0.49742226257255</v>
      </c>
      <c r="G66" s="27">
        <f t="shared" si="17"/>
        <v>4.16342433773224</v>
      </c>
      <c r="H66" s="25">
        <f t="shared" si="18"/>
        <v>0.231301352096236</v>
      </c>
      <c r="I66" s="131">
        <f t="shared" si="19"/>
        <v>24.6728</v>
      </c>
      <c r="J66" s="27">
        <f t="shared" si="20"/>
        <v>1.35</v>
      </c>
      <c r="K66" s="27">
        <f t="shared" si="21"/>
        <v>2.72177419354839</v>
      </c>
      <c r="L66" s="27">
        <f t="shared" si="22"/>
        <v>2.74998370380027</v>
      </c>
      <c r="M66" s="131">
        <f t="shared" si="14"/>
        <v>182.756623878507</v>
      </c>
      <c r="N66" s="24">
        <f t="shared" si="23"/>
        <v>350</v>
      </c>
      <c r="O66" s="25">
        <f t="shared" si="24"/>
        <v>0.704918406388527</v>
      </c>
      <c r="P66" s="5">
        <f t="shared" si="25"/>
        <v>1.43593639264986</v>
      </c>
      <c r="Q66" s="5">
        <f t="shared" si="26"/>
        <v>0.118151145300862</v>
      </c>
      <c r="R66" s="5">
        <f t="shared" si="27"/>
        <v>0.611107489733394</v>
      </c>
    </row>
    <row r="67" spans="3:18">
      <c r="C67" s="22">
        <v>61</v>
      </c>
      <c r="D67" s="192">
        <f t="shared" si="28"/>
        <v>12.44</v>
      </c>
      <c r="E67" s="131">
        <f t="shared" si="15"/>
        <v>12.2728</v>
      </c>
      <c r="F67" s="25">
        <f t="shared" si="16"/>
        <v>0.496617137677641</v>
      </c>
      <c r="G67" s="27">
        <f t="shared" si="17"/>
        <v>4.17009410507915</v>
      </c>
      <c r="H67" s="25">
        <f t="shared" si="18"/>
        <v>0.231671894726619</v>
      </c>
      <c r="I67" s="131">
        <f t="shared" si="19"/>
        <v>24.7128</v>
      </c>
      <c r="J67" s="27">
        <f t="shared" si="20"/>
        <v>1.35</v>
      </c>
      <c r="K67" s="27">
        <f t="shared" si="21"/>
        <v>2.71302250803859</v>
      </c>
      <c r="L67" s="27">
        <f t="shared" si="22"/>
        <v>2.74998370380027</v>
      </c>
      <c r="M67" s="131">
        <f t="shared" si="14"/>
        <v>183.049398302514</v>
      </c>
      <c r="N67" s="24">
        <f t="shared" si="23"/>
        <v>350</v>
      </c>
      <c r="O67" s="25">
        <f t="shared" si="24"/>
        <v>0.70604767916684</v>
      </c>
      <c r="P67" s="5">
        <f t="shared" si="25"/>
        <v>1.43823674949246</v>
      </c>
      <c r="Q67" s="5">
        <f t="shared" si="26"/>
        <v>0.118530002608633</v>
      </c>
      <c r="R67" s="5">
        <f t="shared" si="27"/>
        <v>0.611107489733394</v>
      </c>
    </row>
    <row r="68" spans="3:18">
      <c r="C68" s="22">
        <v>62</v>
      </c>
      <c r="D68" s="192">
        <f t="shared" si="28"/>
        <v>12.48</v>
      </c>
      <c r="E68" s="131">
        <f t="shared" si="15"/>
        <v>12.2728</v>
      </c>
      <c r="F68" s="25">
        <f t="shared" si="16"/>
        <v>0.495814614912252</v>
      </c>
      <c r="G68" s="27">
        <f t="shared" si="17"/>
        <v>4.17674231602081</v>
      </c>
      <c r="H68" s="25">
        <f t="shared" si="18"/>
        <v>0.232041239778934</v>
      </c>
      <c r="I68" s="131">
        <f t="shared" si="19"/>
        <v>24.7528</v>
      </c>
      <c r="J68" s="27">
        <f t="shared" si="20"/>
        <v>1.35</v>
      </c>
      <c r="K68" s="27">
        <f t="shared" si="21"/>
        <v>2.70432692307692</v>
      </c>
      <c r="L68" s="27">
        <f t="shared" si="22"/>
        <v>2.74998370380027</v>
      </c>
      <c r="M68" s="131">
        <f t="shared" si="14"/>
        <v>183.341226491997</v>
      </c>
      <c r="N68" s="24">
        <f t="shared" si="23"/>
        <v>350</v>
      </c>
      <c r="O68" s="25">
        <f t="shared" si="24"/>
        <v>0.707173302183418</v>
      </c>
      <c r="P68" s="5">
        <f t="shared" si="25"/>
        <v>1.44052967167928</v>
      </c>
      <c r="Q68" s="5">
        <f t="shared" si="26"/>
        <v>0.118908238968988</v>
      </c>
      <c r="R68" s="5">
        <f t="shared" si="27"/>
        <v>0.611107489733394</v>
      </c>
    </row>
    <row r="69" spans="3:18">
      <c r="C69" s="22">
        <v>63</v>
      </c>
      <c r="D69" s="192">
        <f t="shared" si="28"/>
        <v>12.52</v>
      </c>
      <c r="E69" s="131">
        <f t="shared" si="15"/>
        <v>12.2728</v>
      </c>
      <c r="F69" s="25">
        <f t="shared" si="16"/>
        <v>0.495014681681779</v>
      </c>
      <c r="G69" s="27">
        <f t="shared" si="17"/>
        <v>4.18336907489271</v>
      </c>
      <c r="H69" s="25">
        <f t="shared" si="18"/>
        <v>0.232409393049595</v>
      </c>
      <c r="I69" s="131">
        <f t="shared" si="19"/>
        <v>24.7928</v>
      </c>
      <c r="J69" s="27">
        <f t="shared" si="20"/>
        <v>1.35</v>
      </c>
      <c r="K69" s="27">
        <f t="shared" si="21"/>
        <v>2.69568690095847</v>
      </c>
      <c r="L69" s="27">
        <f t="shared" si="22"/>
        <v>2.74998370380027</v>
      </c>
      <c r="M69" s="131">
        <f t="shared" si="14"/>
        <v>183.63211302684</v>
      </c>
      <c r="N69" s="24">
        <f t="shared" si="23"/>
        <v>350</v>
      </c>
      <c r="O69" s="25">
        <f t="shared" si="24"/>
        <v>0.708295293103528</v>
      </c>
      <c r="P69" s="5">
        <f t="shared" si="25"/>
        <v>1.44281519519492</v>
      </c>
      <c r="Q69" s="5">
        <f t="shared" si="26"/>
        <v>0.119285854471069</v>
      </c>
      <c r="R69" s="5">
        <f t="shared" si="27"/>
        <v>0.611107489733394</v>
      </c>
    </row>
    <row r="70" spans="3:18">
      <c r="C70" s="22">
        <v>64</v>
      </c>
      <c r="D70" s="192">
        <f t="shared" si="28"/>
        <v>12.56</v>
      </c>
      <c r="E70" s="131">
        <f t="shared" ref="E70:E106" si="29">(Vout+Vfwd1)*Nps</f>
        <v>12.2728</v>
      </c>
      <c r="F70" s="25">
        <f t="shared" ref="F70:F106" si="30">(Vout+Vfwd1)*Nps/((Vout+Vfwd1)*Nps+D70)</f>
        <v>0.494217325472762</v>
      </c>
      <c r="G70" s="27">
        <f t="shared" ref="G70:G101" si="31">F70*D70*Isw_max*0.5*Efficiency</f>
        <v>4.18997448535808</v>
      </c>
      <c r="H70" s="25">
        <f t="shared" ref="H70:H101" si="32">G70/Vout</f>
        <v>0.232776360297671</v>
      </c>
      <c r="I70" s="131">
        <f t="shared" ref="I70:I106" si="33">(Vout+Vfwd1)*Nps+D70</f>
        <v>24.8328</v>
      </c>
      <c r="J70" s="27">
        <f t="shared" ref="J70:J106" si="34">MIN(2*Vout*Iout/(Efficiency*D70*F70),1.35)</f>
        <v>1.35</v>
      </c>
      <c r="K70" s="27">
        <f t="shared" ref="K70:K101" si="35">L*J70/D70*1000000</f>
        <v>2.68710191082803</v>
      </c>
      <c r="L70" s="27">
        <f t="shared" ref="L70:L106" si="36">L*J70/((Vout+Vfwd1)*Nps)*1000000</f>
        <v>2.74998370380027</v>
      </c>
      <c r="M70" s="131">
        <f t="shared" si="14"/>
        <v>183.922062457419</v>
      </c>
      <c r="N70" s="24">
        <f t="shared" ref="N70:N106" si="37">IF(1/((350000*L)*(1/D70+1/E70))&gt;Isw_min,350,0.001/((Isw_min*L)*(1/D70+1/E70)))</f>
        <v>350</v>
      </c>
      <c r="O70" s="25">
        <f t="shared" ref="O70:O101" si="38">1/((N70*1000*L)*(1/D70+1/E70))</f>
        <v>0.709413669478616</v>
      </c>
      <c r="P70" s="5">
        <f t="shared" ref="P70:P101" si="39">L*O70/E70*1000000</f>
        <v>1.44509335579211</v>
      </c>
      <c r="Q70" s="5">
        <f t="shared" ref="Q70:Q101" si="40">0.5*P70*O70*Nps*N70/1000</f>
        <v>0.119662849222208</v>
      </c>
      <c r="R70" s="5">
        <f t="shared" ref="R70:R106" si="41">L*Isw_min/E70*1000000</f>
        <v>0.611107489733394</v>
      </c>
    </row>
    <row r="71" spans="3:18">
      <c r="C71" s="22">
        <v>65</v>
      </c>
      <c r="D71" s="192">
        <f t="shared" ref="D71:D102" si="42">C71/100*(VIN_max-VIN_min)+VIN_min</f>
        <v>12.6</v>
      </c>
      <c r="E71" s="131">
        <f t="shared" si="29"/>
        <v>12.2728</v>
      </c>
      <c r="F71" s="25">
        <f t="shared" si="30"/>
        <v>0.49342253385224</v>
      </c>
      <c r="G71" s="27">
        <f t="shared" si="31"/>
        <v>4.1965586504133</v>
      </c>
      <c r="H71" s="25">
        <f t="shared" si="32"/>
        <v>0.233142147245183</v>
      </c>
      <c r="I71" s="131">
        <f t="shared" si="33"/>
        <v>24.8728</v>
      </c>
      <c r="J71" s="27">
        <f t="shared" si="34"/>
        <v>1.35</v>
      </c>
      <c r="K71" s="27">
        <f t="shared" si="35"/>
        <v>2.67857142857143</v>
      </c>
      <c r="L71" s="27">
        <f t="shared" si="36"/>
        <v>2.74998370380027</v>
      </c>
      <c r="M71" s="131">
        <f t="shared" ref="M71:M106" si="43">MIN(1/(K71+L71)*1000,350)</f>
        <v>184.211079304836</v>
      </c>
      <c r="N71" s="24">
        <f t="shared" si="37"/>
        <v>350</v>
      </c>
      <c r="O71" s="25">
        <f t="shared" si="38"/>
        <v>0.710528448747226</v>
      </c>
      <c r="P71" s="5">
        <f t="shared" si="39"/>
        <v>1.4473641889936</v>
      </c>
      <c r="Q71" s="5">
        <f t="shared" si="40"/>
        <v>0.120039223347621</v>
      </c>
      <c r="R71" s="5">
        <f t="shared" si="41"/>
        <v>0.611107489733394</v>
      </c>
    </row>
    <row r="72" spans="3:18">
      <c r="C72" s="22">
        <v>66</v>
      </c>
      <c r="D72" s="192">
        <f t="shared" si="42"/>
        <v>12.64</v>
      </c>
      <c r="E72" s="131">
        <f t="shared" si="29"/>
        <v>12.2728</v>
      </c>
      <c r="F72" s="25">
        <f t="shared" si="30"/>
        <v>0.492630294467101</v>
      </c>
      <c r="G72" s="27">
        <f t="shared" si="31"/>
        <v>4.20312167239331</v>
      </c>
      <c r="H72" s="25">
        <f t="shared" si="32"/>
        <v>0.233506759577406</v>
      </c>
      <c r="I72" s="131">
        <f t="shared" si="33"/>
        <v>24.9128</v>
      </c>
      <c r="J72" s="27">
        <f t="shared" si="34"/>
        <v>1.35</v>
      </c>
      <c r="K72" s="27">
        <f t="shared" si="35"/>
        <v>2.67009493670886</v>
      </c>
      <c r="L72" s="27">
        <f t="shared" si="36"/>
        <v>2.74998370380027</v>
      </c>
      <c r="M72" s="131">
        <f t="shared" si="43"/>
        <v>184.49916806116</v>
      </c>
      <c r="N72" s="24">
        <f t="shared" si="37"/>
        <v>350</v>
      </c>
      <c r="O72" s="25">
        <f t="shared" si="38"/>
        <v>0.711639648235904</v>
      </c>
      <c r="P72" s="5">
        <f t="shared" si="39"/>
        <v>1.449627730094</v>
      </c>
      <c r="Q72" s="5">
        <f t="shared" si="40"/>
        <v>0.120414976990124</v>
      </c>
      <c r="R72" s="5">
        <f t="shared" si="41"/>
        <v>0.611107489733394</v>
      </c>
    </row>
    <row r="73" spans="3:18">
      <c r="C73" s="22">
        <v>67</v>
      </c>
      <c r="D73" s="192">
        <f t="shared" si="42"/>
        <v>12.68</v>
      </c>
      <c r="E73" s="131">
        <f t="shared" si="29"/>
        <v>12.2728</v>
      </c>
      <c r="F73" s="25">
        <f t="shared" si="30"/>
        <v>0.491840595043442</v>
      </c>
      <c r="G73" s="27">
        <f t="shared" si="31"/>
        <v>4.20966365297682</v>
      </c>
      <c r="H73" s="25">
        <f t="shared" si="32"/>
        <v>0.233870202943157</v>
      </c>
      <c r="I73" s="131">
        <f t="shared" si="33"/>
        <v>24.9528</v>
      </c>
      <c r="J73" s="27">
        <f t="shared" si="34"/>
        <v>1.35</v>
      </c>
      <c r="K73" s="27">
        <f t="shared" si="35"/>
        <v>2.66167192429022</v>
      </c>
      <c r="L73" s="27">
        <f t="shared" si="36"/>
        <v>2.74998370380027</v>
      </c>
      <c r="M73" s="131">
        <f t="shared" si="43"/>
        <v>184.786333189655</v>
      </c>
      <c r="N73" s="24">
        <f t="shared" si="37"/>
        <v>350</v>
      </c>
      <c r="O73" s="25">
        <f t="shared" si="38"/>
        <v>0.712747285160097</v>
      </c>
      <c r="P73" s="5">
        <f t="shared" si="39"/>
        <v>1.45188401416159</v>
      </c>
      <c r="Q73" s="5">
        <f t="shared" si="40"/>
        <v>0.120790110309838</v>
      </c>
      <c r="R73" s="5">
        <f t="shared" si="41"/>
        <v>0.611107489733394</v>
      </c>
    </row>
    <row r="74" spans="3:18">
      <c r="C74" s="22">
        <v>68</v>
      </c>
      <c r="D74" s="192">
        <f t="shared" si="42"/>
        <v>12.72</v>
      </c>
      <c r="E74" s="131">
        <f t="shared" si="29"/>
        <v>12.2728</v>
      </c>
      <c r="F74" s="25">
        <f t="shared" si="30"/>
        <v>0.491053423385935</v>
      </c>
      <c r="G74" s="27">
        <f t="shared" si="31"/>
        <v>4.21618469319164</v>
      </c>
      <c r="H74" s="25">
        <f t="shared" si="32"/>
        <v>0.234232482955091</v>
      </c>
      <c r="I74" s="131">
        <f t="shared" si="33"/>
        <v>24.9928</v>
      </c>
      <c r="J74" s="27">
        <f t="shared" si="34"/>
        <v>1.35</v>
      </c>
      <c r="K74" s="27">
        <f t="shared" si="35"/>
        <v>2.65330188679245</v>
      </c>
      <c r="L74" s="27">
        <f t="shared" si="36"/>
        <v>2.74998370380027</v>
      </c>
      <c r="M74" s="131">
        <f t="shared" si="43"/>
        <v>185.07257912501</v>
      </c>
      <c r="N74" s="24">
        <f t="shared" si="37"/>
        <v>350</v>
      </c>
      <c r="O74" s="25">
        <f t="shared" si="38"/>
        <v>0.713851376625039</v>
      </c>
      <c r="P74" s="5">
        <f t="shared" si="39"/>
        <v>1.45413307604018</v>
      </c>
      <c r="Q74" s="5">
        <f t="shared" si="40"/>
        <v>0.121164623483908</v>
      </c>
      <c r="R74" s="5">
        <f t="shared" si="41"/>
        <v>0.611107489733394</v>
      </c>
    </row>
    <row r="75" spans="3:18">
      <c r="C75" s="22">
        <v>69</v>
      </c>
      <c r="D75" s="192">
        <f t="shared" si="42"/>
        <v>12.76</v>
      </c>
      <c r="E75" s="131">
        <f t="shared" si="29"/>
        <v>12.2728</v>
      </c>
      <c r="F75" s="25">
        <f t="shared" si="30"/>
        <v>0.490268767377201</v>
      </c>
      <c r="G75" s="27">
        <f t="shared" si="31"/>
        <v>4.22268489341983</v>
      </c>
      <c r="H75" s="25">
        <f t="shared" si="32"/>
        <v>0.234593605189991</v>
      </c>
      <c r="I75" s="131">
        <f t="shared" si="33"/>
        <v>25.0328</v>
      </c>
      <c r="J75" s="27">
        <f t="shared" si="34"/>
        <v>1.35</v>
      </c>
      <c r="K75" s="27">
        <f t="shared" si="35"/>
        <v>2.64498432601881</v>
      </c>
      <c r="L75" s="27">
        <f t="shared" si="36"/>
        <v>2.74998370380027</v>
      </c>
      <c r="M75" s="131">
        <f t="shared" si="43"/>
        <v>185.357910273573</v>
      </c>
      <c r="N75" s="24">
        <f t="shared" si="37"/>
        <v>350</v>
      </c>
      <c r="O75" s="25">
        <f t="shared" si="38"/>
        <v>0.714951939626638</v>
      </c>
      <c r="P75" s="5">
        <f t="shared" si="39"/>
        <v>1.45637495035085</v>
      </c>
      <c r="Q75" s="5">
        <f t="shared" si="40"/>
        <v>0.121538516706224</v>
      </c>
      <c r="R75" s="5">
        <f t="shared" si="41"/>
        <v>0.611107489733394</v>
      </c>
    </row>
    <row r="76" spans="3:18">
      <c r="C76" s="22">
        <v>70</v>
      </c>
      <c r="D76" s="192">
        <f t="shared" si="42"/>
        <v>12.8</v>
      </c>
      <c r="E76" s="131">
        <f t="shared" si="29"/>
        <v>12.2728</v>
      </c>
      <c r="F76" s="25">
        <f t="shared" si="30"/>
        <v>0.489486614977186</v>
      </c>
      <c r="G76" s="27">
        <f t="shared" si="31"/>
        <v>4.22916435340289</v>
      </c>
      <c r="H76" s="25">
        <f t="shared" si="32"/>
        <v>0.23495357518905</v>
      </c>
      <c r="I76" s="131">
        <f t="shared" si="33"/>
        <v>25.0728</v>
      </c>
      <c r="J76" s="27">
        <f t="shared" si="34"/>
        <v>1.35</v>
      </c>
      <c r="K76" s="27">
        <f t="shared" si="35"/>
        <v>2.63671875</v>
      </c>
      <c r="L76" s="27">
        <f t="shared" si="36"/>
        <v>2.74998370380027</v>
      </c>
      <c r="M76" s="131">
        <f t="shared" si="43"/>
        <v>185.64233101357</v>
      </c>
      <c r="N76" s="24">
        <f t="shared" si="37"/>
        <v>350</v>
      </c>
      <c r="O76" s="25">
        <f t="shared" si="38"/>
        <v>0.716048991052341</v>
      </c>
      <c r="P76" s="5">
        <f t="shared" si="39"/>
        <v>1.45860967149375</v>
      </c>
      <c r="Q76" s="5">
        <f t="shared" si="40"/>
        <v>0.121911790187144</v>
      </c>
      <c r="R76" s="5">
        <f t="shared" si="41"/>
        <v>0.611107489733394</v>
      </c>
    </row>
    <row r="77" spans="3:18">
      <c r="C77" s="22">
        <v>71</v>
      </c>
      <c r="D77" s="192">
        <f t="shared" si="42"/>
        <v>12.84</v>
      </c>
      <c r="E77" s="131">
        <f t="shared" si="29"/>
        <v>12.2728</v>
      </c>
      <c r="F77" s="25">
        <f t="shared" si="30"/>
        <v>0.488706954222548</v>
      </c>
      <c r="G77" s="27">
        <f t="shared" si="31"/>
        <v>4.23562317224682</v>
      </c>
      <c r="H77" s="25">
        <f t="shared" si="32"/>
        <v>0.235312398458157</v>
      </c>
      <c r="I77" s="131">
        <f t="shared" si="33"/>
        <v>25.1128</v>
      </c>
      <c r="J77" s="27">
        <f t="shared" si="34"/>
        <v>1.35</v>
      </c>
      <c r="K77" s="27">
        <f t="shared" si="35"/>
        <v>2.6285046728972</v>
      </c>
      <c r="L77" s="27">
        <f t="shared" si="36"/>
        <v>2.74998370380027</v>
      </c>
      <c r="M77" s="131">
        <f t="shared" si="43"/>
        <v>185.925845695334</v>
      </c>
      <c r="N77" s="24">
        <f t="shared" si="37"/>
        <v>350</v>
      </c>
      <c r="O77" s="25">
        <f t="shared" si="38"/>
        <v>0.717142547682002</v>
      </c>
      <c r="P77" s="5">
        <f t="shared" si="39"/>
        <v>1.46083727364986</v>
      </c>
      <c r="Q77" s="5">
        <f t="shared" si="40"/>
        <v>0.122284444153221</v>
      </c>
      <c r="R77" s="5">
        <f t="shared" si="41"/>
        <v>0.611107489733394</v>
      </c>
    </row>
    <row r="78" spans="3:18">
      <c r="C78" s="22">
        <v>72</v>
      </c>
      <c r="D78" s="192">
        <f t="shared" si="42"/>
        <v>12.88</v>
      </c>
      <c r="E78" s="131">
        <f t="shared" si="29"/>
        <v>12.2728</v>
      </c>
      <c r="F78" s="25">
        <f t="shared" si="30"/>
        <v>0.487929773226042</v>
      </c>
      <c r="G78" s="27">
        <f t="shared" si="31"/>
        <v>4.24206144842721</v>
      </c>
      <c r="H78" s="25">
        <f t="shared" si="32"/>
        <v>0.235670080468178</v>
      </c>
      <c r="I78" s="131">
        <f t="shared" si="33"/>
        <v>25.1528</v>
      </c>
      <c r="J78" s="27">
        <f t="shared" si="34"/>
        <v>1.35</v>
      </c>
      <c r="K78" s="27">
        <f t="shared" si="35"/>
        <v>2.62034161490683</v>
      </c>
      <c r="L78" s="27">
        <f t="shared" si="36"/>
        <v>2.74998370380027</v>
      </c>
      <c r="M78" s="131">
        <f t="shared" si="43"/>
        <v>186.208458641524</v>
      </c>
      <c r="N78" s="24">
        <f t="shared" si="37"/>
        <v>350</v>
      </c>
      <c r="O78" s="25">
        <f t="shared" si="38"/>
        <v>0.718232626188735</v>
      </c>
      <c r="P78" s="5">
        <f t="shared" si="39"/>
        <v>1.46305779078274</v>
      </c>
      <c r="Q78" s="5">
        <f t="shared" si="40"/>
        <v>0.122656478846935</v>
      </c>
      <c r="R78" s="5">
        <f t="shared" si="41"/>
        <v>0.611107489733394</v>
      </c>
    </row>
    <row r="79" spans="3:18">
      <c r="C79" s="22">
        <v>73</v>
      </c>
      <c r="D79" s="192">
        <f t="shared" si="42"/>
        <v>12.92</v>
      </c>
      <c r="E79" s="131">
        <f t="shared" si="29"/>
        <v>12.2728</v>
      </c>
      <c r="F79" s="25">
        <f t="shared" si="30"/>
        <v>0.487155060175923</v>
      </c>
      <c r="G79" s="27">
        <f t="shared" si="31"/>
        <v>4.24847927979423</v>
      </c>
      <c r="H79" s="25">
        <f t="shared" si="32"/>
        <v>0.236026626655235</v>
      </c>
      <c r="I79" s="131">
        <f t="shared" si="33"/>
        <v>25.1928</v>
      </c>
      <c r="J79" s="27">
        <f t="shared" si="34"/>
        <v>1.35</v>
      </c>
      <c r="K79" s="27">
        <f t="shared" si="35"/>
        <v>2.61222910216718</v>
      </c>
      <c r="L79" s="27">
        <f t="shared" si="36"/>
        <v>2.74998370380027</v>
      </c>
      <c r="M79" s="131">
        <f t="shared" si="43"/>
        <v>186.490174147346</v>
      </c>
      <c r="N79" s="24">
        <f t="shared" si="37"/>
        <v>350</v>
      </c>
      <c r="O79" s="25">
        <f t="shared" si="38"/>
        <v>0.719319243139763</v>
      </c>
      <c r="P79" s="5">
        <f t="shared" si="39"/>
        <v>1.46527125664022</v>
      </c>
      <c r="Q79" s="5">
        <f t="shared" si="40"/>
        <v>0.123027894526431</v>
      </c>
      <c r="R79" s="5">
        <f t="shared" si="41"/>
        <v>0.611107489733394</v>
      </c>
    </row>
    <row r="80" spans="3:18">
      <c r="C80" s="22">
        <v>74</v>
      </c>
      <c r="D80" s="192">
        <f t="shared" si="42"/>
        <v>12.96</v>
      </c>
      <c r="E80" s="131">
        <f t="shared" si="29"/>
        <v>12.2728</v>
      </c>
      <c r="F80" s="25">
        <f t="shared" si="30"/>
        <v>0.486382803335341</v>
      </c>
      <c r="G80" s="27">
        <f t="shared" si="31"/>
        <v>4.25487676357757</v>
      </c>
      <c r="H80" s="25">
        <f t="shared" si="32"/>
        <v>0.236382042420976</v>
      </c>
      <c r="I80" s="131">
        <f t="shared" si="33"/>
        <v>25.2328</v>
      </c>
      <c r="J80" s="27">
        <f t="shared" si="34"/>
        <v>1.35</v>
      </c>
      <c r="K80" s="27">
        <f t="shared" si="35"/>
        <v>2.60416666666667</v>
      </c>
      <c r="L80" s="27">
        <f t="shared" si="36"/>
        <v>2.74998370380027</v>
      </c>
      <c r="M80" s="131">
        <f t="shared" si="43"/>
        <v>186.770996480771</v>
      </c>
      <c r="N80" s="24">
        <f t="shared" si="37"/>
        <v>350</v>
      </c>
      <c r="O80" s="25">
        <f t="shared" si="38"/>
        <v>0.72040241499726</v>
      </c>
      <c r="P80" s="5">
        <f t="shared" si="39"/>
        <v>1.46747770475617</v>
      </c>
      <c r="Q80" s="5">
        <f t="shared" si="40"/>
        <v>0.123398691465258</v>
      </c>
      <c r="R80" s="5">
        <f t="shared" si="41"/>
        <v>0.611107489733394</v>
      </c>
    </row>
    <row r="81" spans="3:18">
      <c r="C81" s="22">
        <v>75</v>
      </c>
      <c r="D81" s="192">
        <f t="shared" si="42"/>
        <v>13</v>
      </c>
      <c r="E81" s="131">
        <f t="shared" si="29"/>
        <v>12.2728</v>
      </c>
      <c r="F81" s="25">
        <f t="shared" si="30"/>
        <v>0.485612991041752</v>
      </c>
      <c r="G81" s="27">
        <f t="shared" si="31"/>
        <v>4.26125399639138</v>
      </c>
      <c r="H81" s="25">
        <f t="shared" si="32"/>
        <v>0.236736333132854</v>
      </c>
      <c r="I81" s="131">
        <f t="shared" si="33"/>
        <v>25.2728</v>
      </c>
      <c r="J81" s="27">
        <f t="shared" si="34"/>
        <v>1.35</v>
      </c>
      <c r="K81" s="27">
        <f t="shared" si="35"/>
        <v>2.59615384615385</v>
      </c>
      <c r="L81" s="27">
        <f t="shared" si="36"/>
        <v>2.74998370380027</v>
      </c>
      <c r="M81" s="131">
        <f t="shared" si="43"/>
        <v>187.050929882749</v>
      </c>
      <c r="N81" s="24">
        <f t="shared" si="37"/>
        <v>350</v>
      </c>
      <c r="O81" s="25">
        <f t="shared" si="38"/>
        <v>0.721482158119175</v>
      </c>
      <c r="P81" s="5">
        <f t="shared" si="39"/>
        <v>1.46967716845214</v>
      </c>
      <c r="Q81" s="5">
        <f t="shared" si="40"/>
        <v>0.12376886995211</v>
      </c>
      <c r="R81" s="5">
        <f t="shared" si="41"/>
        <v>0.611107489733394</v>
      </c>
    </row>
    <row r="82" spans="3:18">
      <c r="C82" s="22">
        <v>76</v>
      </c>
      <c r="D82" s="192">
        <f t="shared" si="42"/>
        <v>13.04</v>
      </c>
      <c r="E82" s="131">
        <f t="shared" si="29"/>
        <v>12.2728</v>
      </c>
      <c r="F82" s="25">
        <f t="shared" si="30"/>
        <v>0.48484561170633</v>
      </c>
      <c r="G82" s="27">
        <f t="shared" si="31"/>
        <v>4.26761107423912</v>
      </c>
      <c r="H82" s="25">
        <f t="shared" si="32"/>
        <v>0.237089504124396</v>
      </c>
      <c r="I82" s="131">
        <f t="shared" si="33"/>
        <v>25.3128</v>
      </c>
      <c r="J82" s="27">
        <f t="shared" si="34"/>
        <v>1.35</v>
      </c>
      <c r="K82" s="27">
        <f t="shared" si="35"/>
        <v>2.58819018404908</v>
      </c>
      <c r="L82" s="27">
        <f t="shared" si="36"/>
        <v>2.74998370380027</v>
      </c>
      <c r="M82" s="131">
        <f t="shared" si="43"/>
        <v>187.329978567424</v>
      </c>
      <c r="N82" s="24">
        <f t="shared" si="37"/>
        <v>350</v>
      </c>
      <c r="O82" s="25">
        <f t="shared" si="38"/>
        <v>0.722558488760063</v>
      </c>
      <c r="P82" s="5">
        <f t="shared" si="39"/>
        <v>1.47186968083906</v>
      </c>
      <c r="Q82" s="5">
        <f t="shared" si="40"/>
        <v>0.124138430290577</v>
      </c>
      <c r="R82" s="5">
        <f t="shared" si="41"/>
        <v>0.611107489733394</v>
      </c>
    </row>
    <row r="83" spans="3:18">
      <c r="C83" s="22">
        <v>77</v>
      </c>
      <c r="D83" s="192">
        <f t="shared" si="42"/>
        <v>13.08</v>
      </c>
      <c r="E83" s="131">
        <f t="shared" si="29"/>
        <v>12.2728</v>
      </c>
      <c r="F83" s="25">
        <f t="shared" si="30"/>
        <v>0.484080653813385</v>
      </c>
      <c r="G83" s="27">
        <f t="shared" si="31"/>
        <v>4.27394809251838</v>
      </c>
      <c r="H83" s="25">
        <f t="shared" si="32"/>
        <v>0.237441560695466</v>
      </c>
      <c r="I83" s="131">
        <f t="shared" si="33"/>
        <v>25.3528</v>
      </c>
      <c r="J83" s="27">
        <f t="shared" si="34"/>
        <v>1.35</v>
      </c>
      <c r="K83" s="27">
        <f t="shared" si="35"/>
        <v>2.5802752293578</v>
      </c>
      <c r="L83" s="27">
        <f t="shared" si="36"/>
        <v>2.74998370380027</v>
      </c>
      <c r="M83" s="131">
        <f t="shared" si="43"/>
        <v>187.608146722343</v>
      </c>
      <c r="N83" s="24">
        <f t="shared" si="37"/>
        <v>350</v>
      </c>
      <c r="O83" s="25">
        <f t="shared" si="38"/>
        <v>0.723631423071895</v>
      </c>
      <c r="P83" s="5">
        <f t="shared" si="39"/>
        <v>1.4740552748189</v>
      </c>
      <c r="Q83" s="5">
        <f t="shared" si="40"/>
        <v>0.124507372798892</v>
      </c>
      <c r="R83" s="5">
        <f t="shared" si="41"/>
        <v>0.611107489733394</v>
      </c>
    </row>
    <row r="84" spans="3:18">
      <c r="C84" s="22">
        <v>78</v>
      </c>
      <c r="D84" s="192">
        <f t="shared" si="42"/>
        <v>13.12</v>
      </c>
      <c r="E84" s="131">
        <f t="shared" si="29"/>
        <v>12.2728</v>
      </c>
      <c r="F84" s="25">
        <f t="shared" si="30"/>
        <v>0.483318105919788</v>
      </c>
      <c r="G84" s="27">
        <f t="shared" si="31"/>
        <v>4.28026514602564</v>
      </c>
      <c r="H84" s="25">
        <f t="shared" si="32"/>
        <v>0.237792508112536</v>
      </c>
      <c r="I84" s="131">
        <f t="shared" si="33"/>
        <v>25.3928</v>
      </c>
      <c r="J84" s="27">
        <f t="shared" si="34"/>
        <v>1.35</v>
      </c>
      <c r="K84" s="27">
        <f t="shared" si="35"/>
        <v>2.57240853658537</v>
      </c>
      <c r="L84" s="27">
        <f t="shared" si="36"/>
        <v>2.74998370380027</v>
      </c>
      <c r="M84" s="131">
        <f t="shared" si="43"/>
        <v>187.88543850867</v>
      </c>
      <c r="N84" s="24">
        <f t="shared" si="37"/>
        <v>350</v>
      </c>
      <c r="O84" s="25">
        <f t="shared" si="38"/>
        <v>0.724700977104871</v>
      </c>
      <c r="P84" s="5">
        <f t="shared" si="39"/>
        <v>1.47623398308632</v>
      </c>
      <c r="Q84" s="5">
        <f t="shared" si="40"/>
        <v>0.12487569780969</v>
      </c>
      <c r="R84" s="5">
        <f t="shared" si="41"/>
        <v>0.611107489733394</v>
      </c>
    </row>
    <row r="85" spans="3:18">
      <c r="C85" s="22">
        <v>79</v>
      </c>
      <c r="D85" s="192">
        <f t="shared" si="42"/>
        <v>13.16</v>
      </c>
      <c r="E85" s="131">
        <f t="shared" si="29"/>
        <v>12.2728</v>
      </c>
      <c r="F85" s="25">
        <f t="shared" si="30"/>
        <v>0.482557956654399</v>
      </c>
      <c r="G85" s="27">
        <f t="shared" si="31"/>
        <v>4.28656232896103</v>
      </c>
      <c r="H85" s="25">
        <f t="shared" si="32"/>
        <v>0.238142351608946</v>
      </c>
      <c r="I85" s="131">
        <f t="shared" si="33"/>
        <v>25.4328</v>
      </c>
      <c r="J85" s="27">
        <f t="shared" si="34"/>
        <v>1.35</v>
      </c>
      <c r="K85" s="27">
        <f t="shared" si="35"/>
        <v>2.5645896656535</v>
      </c>
      <c r="L85" s="27">
        <f t="shared" si="36"/>
        <v>2.74998370380027</v>
      </c>
      <c r="M85" s="131">
        <f t="shared" si="43"/>
        <v>188.161858061389</v>
      </c>
      <c r="N85" s="24">
        <f t="shared" si="37"/>
        <v>350</v>
      </c>
      <c r="O85" s="25">
        <f t="shared" si="38"/>
        <v>0.725767166808216</v>
      </c>
      <c r="P85" s="5">
        <f t="shared" si="39"/>
        <v>1.47840583813029</v>
      </c>
      <c r="Q85" s="5">
        <f t="shared" si="40"/>
        <v>0.125243405669761</v>
      </c>
      <c r="R85" s="5">
        <f t="shared" si="41"/>
        <v>0.611107489733394</v>
      </c>
    </row>
    <row r="86" spans="3:18">
      <c r="C86" s="22">
        <v>80</v>
      </c>
      <c r="D86" s="192">
        <f t="shared" si="42"/>
        <v>13.2</v>
      </c>
      <c r="E86" s="131">
        <f t="shared" si="29"/>
        <v>12.2728</v>
      </c>
      <c r="F86" s="25">
        <f t="shared" si="30"/>
        <v>0.481800194717503</v>
      </c>
      <c r="G86" s="27">
        <f t="shared" si="31"/>
        <v>4.29283973493295</v>
      </c>
      <c r="H86" s="25">
        <f t="shared" si="32"/>
        <v>0.238491096385164</v>
      </c>
      <c r="I86" s="131">
        <f t="shared" si="33"/>
        <v>25.4728</v>
      </c>
      <c r="J86" s="27">
        <f t="shared" si="34"/>
        <v>1.35</v>
      </c>
      <c r="K86" s="27">
        <f t="shared" si="35"/>
        <v>2.55681818181818</v>
      </c>
      <c r="L86" s="27">
        <f t="shared" si="36"/>
        <v>2.74998370380027</v>
      </c>
      <c r="M86" s="131">
        <f t="shared" si="43"/>
        <v>188.437409489512</v>
      </c>
      <c r="N86" s="24">
        <f t="shared" si="37"/>
        <v>350</v>
      </c>
      <c r="O86" s="25">
        <f t="shared" si="38"/>
        <v>0.726830008030975</v>
      </c>
      <c r="P86" s="5">
        <f t="shared" si="39"/>
        <v>1.48057087223571</v>
      </c>
      <c r="Q86" s="5">
        <f t="shared" si="40"/>
        <v>0.125610496739815</v>
      </c>
      <c r="R86" s="5">
        <f t="shared" si="41"/>
        <v>0.611107489733394</v>
      </c>
    </row>
    <row r="87" spans="3:18">
      <c r="C87" s="22">
        <v>81</v>
      </c>
      <c r="D87" s="192">
        <f t="shared" si="42"/>
        <v>13.24</v>
      </c>
      <c r="E87" s="131">
        <f t="shared" si="29"/>
        <v>12.2728</v>
      </c>
      <c r="F87" s="25">
        <f t="shared" si="30"/>
        <v>0.481044808880248</v>
      </c>
      <c r="G87" s="27">
        <f t="shared" si="31"/>
        <v>4.29909745696278</v>
      </c>
      <c r="H87" s="25">
        <f t="shared" si="32"/>
        <v>0.238838747609043</v>
      </c>
      <c r="I87" s="131">
        <f t="shared" si="33"/>
        <v>25.5128</v>
      </c>
      <c r="J87" s="27">
        <f t="shared" si="34"/>
        <v>1.35</v>
      </c>
      <c r="K87" s="27">
        <f t="shared" si="35"/>
        <v>2.54909365558912</v>
      </c>
      <c r="L87" s="27">
        <f t="shared" si="36"/>
        <v>2.74998370380027</v>
      </c>
      <c r="M87" s="131">
        <f t="shared" si="43"/>
        <v>188.712096876281</v>
      </c>
      <c r="N87" s="24">
        <f t="shared" si="37"/>
        <v>350</v>
      </c>
      <c r="O87" s="25">
        <f t="shared" si="38"/>
        <v>0.727889516522799</v>
      </c>
      <c r="P87" s="5">
        <f t="shared" si="39"/>
        <v>1.482729117485</v>
      </c>
      <c r="Q87" s="5">
        <f t="shared" si="40"/>
        <v>0.125976971394244</v>
      </c>
      <c r="R87" s="5">
        <f t="shared" si="41"/>
        <v>0.611107489733394</v>
      </c>
    </row>
    <row r="88" spans="3:18">
      <c r="C88" s="22">
        <v>82</v>
      </c>
      <c r="D88" s="192">
        <f t="shared" si="42"/>
        <v>13.28</v>
      </c>
      <c r="E88" s="131">
        <f t="shared" si="29"/>
        <v>12.2728</v>
      </c>
      <c r="F88" s="25">
        <f t="shared" si="30"/>
        <v>0.480291787984096</v>
      </c>
      <c r="G88" s="27">
        <f t="shared" si="31"/>
        <v>4.30533558748943</v>
      </c>
      <c r="H88" s="25">
        <f t="shared" si="32"/>
        <v>0.23918531041608</v>
      </c>
      <c r="I88" s="131">
        <f t="shared" si="33"/>
        <v>25.5528</v>
      </c>
      <c r="J88" s="27">
        <f t="shared" si="34"/>
        <v>1.35</v>
      </c>
      <c r="K88" s="27">
        <f t="shared" si="35"/>
        <v>2.5414156626506</v>
      </c>
      <c r="L88" s="27">
        <f t="shared" si="36"/>
        <v>2.74998370380027</v>
      </c>
      <c r="M88" s="131">
        <f t="shared" si="43"/>
        <v>188.985924279372</v>
      </c>
      <c r="N88" s="24">
        <f t="shared" si="37"/>
        <v>350</v>
      </c>
      <c r="O88" s="25">
        <f t="shared" si="38"/>
        <v>0.728945707934719</v>
      </c>
      <c r="P88" s="5">
        <f t="shared" si="39"/>
        <v>1.48488060575973</v>
      </c>
      <c r="Q88" s="5">
        <f t="shared" si="40"/>
        <v>0.126342830020895</v>
      </c>
      <c r="R88" s="5">
        <f t="shared" si="41"/>
        <v>0.611107489733394</v>
      </c>
    </row>
    <row r="89" spans="3:18">
      <c r="C89" s="22">
        <v>83</v>
      </c>
      <c r="D89" s="192">
        <f t="shared" si="42"/>
        <v>13.32</v>
      </c>
      <c r="E89" s="131">
        <f t="shared" si="29"/>
        <v>12.2728</v>
      </c>
      <c r="F89" s="25">
        <f t="shared" si="30"/>
        <v>0.479541120940264</v>
      </c>
      <c r="G89" s="27">
        <f t="shared" si="31"/>
        <v>4.31155421837392</v>
      </c>
      <c r="H89" s="25">
        <f t="shared" si="32"/>
        <v>0.239530789909662</v>
      </c>
      <c r="I89" s="131">
        <f t="shared" si="33"/>
        <v>25.5928</v>
      </c>
      <c r="J89" s="27">
        <f t="shared" si="34"/>
        <v>1.35</v>
      </c>
      <c r="K89" s="27">
        <f t="shared" si="35"/>
        <v>2.53378378378378</v>
      </c>
      <c r="L89" s="27">
        <f t="shared" si="36"/>
        <v>2.74998370380027</v>
      </c>
      <c r="M89" s="131">
        <f t="shared" si="43"/>
        <v>189.258895731091</v>
      </c>
      <c r="N89" s="24">
        <f t="shared" si="37"/>
        <v>350</v>
      </c>
      <c r="O89" s="25">
        <f t="shared" si="38"/>
        <v>0.729998597819923</v>
      </c>
      <c r="P89" s="5">
        <f t="shared" si="39"/>
        <v>1.4870253687421</v>
      </c>
      <c r="Q89" s="5">
        <f t="shared" si="40"/>
        <v>0.126708073020835</v>
      </c>
      <c r="R89" s="5">
        <f t="shared" si="41"/>
        <v>0.611107489733394</v>
      </c>
    </row>
    <row r="90" spans="3:18">
      <c r="C90" s="22">
        <v>84</v>
      </c>
      <c r="D90" s="192">
        <f t="shared" si="42"/>
        <v>13.36</v>
      </c>
      <c r="E90" s="131">
        <f t="shared" si="29"/>
        <v>12.2728</v>
      </c>
      <c r="F90" s="25">
        <f t="shared" si="30"/>
        <v>0.478792796729191</v>
      </c>
      <c r="G90" s="27">
        <f t="shared" si="31"/>
        <v>4.31775344090384</v>
      </c>
      <c r="H90" s="25">
        <f t="shared" si="32"/>
        <v>0.239875191161324</v>
      </c>
      <c r="I90" s="131">
        <f t="shared" si="33"/>
        <v>25.6328</v>
      </c>
      <c r="J90" s="27">
        <f t="shared" si="34"/>
        <v>1.35</v>
      </c>
      <c r="K90" s="27">
        <f t="shared" si="35"/>
        <v>2.52619760479042</v>
      </c>
      <c r="L90" s="27">
        <f t="shared" si="36"/>
        <v>2.74998370380027</v>
      </c>
      <c r="M90" s="131">
        <f t="shared" si="43"/>
        <v>189.531015238577</v>
      </c>
      <c r="N90" s="24">
        <f t="shared" si="37"/>
        <v>350</v>
      </c>
      <c r="O90" s="25">
        <f t="shared" si="38"/>
        <v>0.731048201634513</v>
      </c>
      <c r="P90" s="5">
        <f t="shared" si="39"/>
        <v>1.4891634379166</v>
      </c>
      <c r="Q90" s="5">
        <f t="shared" si="40"/>
        <v>0.127072700808131</v>
      </c>
      <c r="R90" s="5">
        <f t="shared" si="41"/>
        <v>0.611107489733394</v>
      </c>
    </row>
    <row r="91" spans="3:18">
      <c r="C91" s="22">
        <v>85</v>
      </c>
      <c r="D91" s="192">
        <f t="shared" si="42"/>
        <v>13.4</v>
      </c>
      <c r="E91" s="131">
        <f t="shared" si="29"/>
        <v>12.2728</v>
      </c>
      <c r="F91" s="25">
        <f t="shared" si="30"/>
        <v>0.478046804399987</v>
      </c>
      <c r="G91" s="27">
        <f t="shared" si="31"/>
        <v>4.32393334579789</v>
      </c>
      <c r="H91" s="25">
        <f t="shared" si="32"/>
        <v>0.240218519210994</v>
      </c>
      <c r="I91" s="131">
        <f t="shared" si="33"/>
        <v>25.6728</v>
      </c>
      <c r="J91" s="27">
        <f t="shared" si="34"/>
        <v>1.35</v>
      </c>
      <c r="K91" s="27">
        <f t="shared" si="35"/>
        <v>2.51865671641791</v>
      </c>
      <c r="L91" s="27">
        <f t="shared" si="36"/>
        <v>2.74998370380027</v>
      </c>
      <c r="M91" s="131">
        <f t="shared" si="43"/>
        <v>189.802286783995</v>
      </c>
      <c r="N91" s="24">
        <f t="shared" si="37"/>
        <v>350</v>
      </c>
      <c r="O91" s="25">
        <f t="shared" si="38"/>
        <v>0.732094534738267</v>
      </c>
      <c r="P91" s="5">
        <f t="shared" si="39"/>
        <v>1.49129484457146</v>
      </c>
      <c r="Q91" s="5">
        <f t="shared" si="40"/>
        <v>0.127436713809629</v>
      </c>
      <c r="R91" s="5">
        <f t="shared" si="41"/>
        <v>0.611107489733394</v>
      </c>
    </row>
    <row r="92" spans="3:18">
      <c r="C92" s="22">
        <v>86</v>
      </c>
      <c r="D92" s="192">
        <f t="shared" si="42"/>
        <v>13.44</v>
      </c>
      <c r="E92" s="131">
        <f t="shared" si="29"/>
        <v>12.2728</v>
      </c>
      <c r="F92" s="25">
        <f t="shared" si="30"/>
        <v>0.477303133069911</v>
      </c>
      <c r="G92" s="27">
        <f t="shared" si="31"/>
        <v>4.33009402321023</v>
      </c>
      <c r="H92" s="25">
        <f t="shared" si="32"/>
        <v>0.240560779067235</v>
      </c>
      <c r="I92" s="131">
        <f t="shared" si="33"/>
        <v>25.7128</v>
      </c>
      <c r="J92" s="27">
        <f t="shared" si="34"/>
        <v>1.35</v>
      </c>
      <c r="K92" s="27">
        <f t="shared" si="35"/>
        <v>2.51116071428571</v>
      </c>
      <c r="L92" s="27">
        <f t="shared" si="36"/>
        <v>2.74998370380027</v>
      </c>
      <c r="M92" s="131">
        <f t="shared" si="43"/>
        <v>190.072714324729</v>
      </c>
      <c r="N92" s="24">
        <f t="shared" si="37"/>
        <v>350</v>
      </c>
      <c r="O92" s="25">
        <f t="shared" si="38"/>
        <v>0.733137612395383</v>
      </c>
      <c r="P92" s="5">
        <f t="shared" si="39"/>
        <v>1.49341961980026</v>
      </c>
      <c r="Q92" s="5">
        <f t="shared" si="40"/>
        <v>0.127800112464729</v>
      </c>
      <c r="R92" s="5">
        <f t="shared" si="41"/>
        <v>0.611107489733394</v>
      </c>
    </row>
    <row r="93" spans="3:18">
      <c r="C93" s="22">
        <v>87</v>
      </c>
      <c r="D93" s="192">
        <f t="shared" si="42"/>
        <v>13.48</v>
      </c>
      <c r="E93" s="131">
        <f t="shared" si="29"/>
        <v>12.2728</v>
      </c>
      <c r="F93" s="25">
        <f t="shared" si="30"/>
        <v>0.47656177192383</v>
      </c>
      <c r="G93" s="27">
        <f t="shared" si="31"/>
        <v>4.33623556273493</v>
      </c>
      <c r="H93" s="25">
        <f t="shared" si="32"/>
        <v>0.240901975707496</v>
      </c>
      <c r="I93" s="131">
        <f t="shared" si="33"/>
        <v>25.7528</v>
      </c>
      <c r="J93" s="27">
        <f t="shared" si="34"/>
        <v>1.35</v>
      </c>
      <c r="K93" s="27">
        <f t="shared" si="35"/>
        <v>2.50370919881306</v>
      </c>
      <c r="L93" s="27">
        <f t="shared" si="36"/>
        <v>2.74998370380027</v>
      </c>
      <c r="M93" s="131">
        <f t="shared" si="43"/>
        <v>190.342301793577</v>
      </c>
      <c r="N93" s="24">
        <f t="shared" si="37"/>
        <v>350</v>
      </c>
      <c r="O93" s="25">
        <f t="shared" si="38"/>
        <v>0.734177449775226</v>
      </c>
      <c r="P93" s="5">
        <f t="shared" si="39"/>
        <v>1.49553779450334</v>
      </c>
      <c r="Q93" s="5">
        <f t="shared" si="40"/>
        <v>0.128162897225176</v>
      </c>
      <c r="R93" s="5">
        <f t="shared" si="41"/>
        <v>0.611107489733394</v>
      </c>
    </row>
    <row r="94" spans="3:18">
      <c r="C94" s="22">
        <v>88</v>
      </c>
      <c r="D94" s="192">
        <f t="shared" si="42"/>
        <v>13.52</v>
      </c>
      <c r="E94" s="131">
        <f t="shared" si="29"/>
        <v>12.2728</v>
      </c>
      <c r="F94" s="25">
        <f t="shared" si="30"/>
        <v>0.475822710213703</v>
      </c>
      <c r="G94" s="27">
        <f t="shared" si="31"/>
        <v>4.34235805341025</v>
      </c>
      <c r="H94" s="25">
        <f t="shared" si="32"/>
        <v>0.241242114078347</v>
      </c>
      <c r="I94" s="131">
        <f t="shared" si="33"/>
        <v>25.7928</v>
      </c>
      <c r="J94" s="27">
        <f t="shared" si="34"/>
        <v>1.35</v>
      </c>
      <c r="K94" s="27">
        <f t="shared" si="35"/>
        <v>2.49630177514793</v>
      </c>
      <c r="L94" s="27">
        <f t="shared" si="36"/>
        <v>2.74998370380027</v>
      </c>
      <c r="M94" s="131">
        <f t="shared" si="43"/>
        <v>190.611053098941</v>
      </c>
      <c r="N94" s="24">
        <f t="shared" si="37"/>
        <v>350</v>
      </c>
      <c r="O94" s="25">
        <f t="shared" si="38"/>
        <v>0.735214061953059</v>
      </c>
      <c r="P94" s="5">
        <f t="shared" si="39"/>
        <v>1.49764939938942</v>
      </c>
      <c r="Q94" s="5">
        <f t="shared" si="40"/>
        <v>0.128525068554844</v>
      </c>
      <c r="R94" s="5">
        <f t="shared" si="41"/>
        <v>0.611107489733394</v>
      </c>
    </row>
    <row r="95" spans="3:18">
      <c r="C95" s="22">
        <v>89</v>
      </c>
      <c r="D95" s="192">
        <f t="shared" si="42"/>
        <v>13.56</v>
      </c>
      <c r="E95" s="131">
        <f t="shared" si="29"/>
        <v>12.2728</v>
      </c>
      <c r="F95" s="25">
        <f t="shared" si="30"/>
        <v>0.47508593725806</v>
      </c>
      <c r="G95" s="27">
        <f t="shared" si="31"/>
        <v>4.34846158372302</v>
      </c>
      <c r="H95" s="25">
        <f t="shared" si="32"/>
        <v>0.241581199095723</v>
      </c>
      <c r="I95" s="131">
        <f t="shared" si="33"/>
        <v>25.8328</v>
      </c>
      <c r="J95" s="27">
        <f t="shared" si="34"/>
        <v>1.35</v>
      </c>
      <c r="K95" s="27">
        <f t="shared" si="35"/>
        <v>2.48893805309735</v>
      </c>
      <c r="L95" s="27">
        <f t="shared" si="36"/>
        <v>2.74998370380027</v>
      </c>
      <c r="M95" s="131">
        <f t="shared" si="43"/>
        <v>190.878972125016</v>
      </c>
      <c r="N95" s="24">
        <f t="shared" si="37"/>
        <v>350</v>
      </c>
      <c r="O95" s="25">
        <f t="shared" si="38"/>
        <v>0.736247463910776</v>
      </c>
      <c r="P95" s="5">
        <f t="shared" si="39"/>
        <v>1.49975446497697</v>
      </c>
      <c r="Q95" s="5">
        <f t="shared" si="40"/>
        <v>0.128886626929529</v>
      </c>
      <c r="R95" s="5">
        <f t="shared" si="41"/>
        <v>0.611107489733394</v>
      </c>
    </row>
    <row r="96" spans="3:18">
      <c r="C96" s="22">
        <v>90</v>
      </c>
      <c r="D96" s="192">
        <f t="shared" si="42"/>
        <v>13.6</v>
      </c>
      <c r="E96" s="131">
        <f t="shared" si="29"/>
        <v>12.2728</v>
      </c>
      <c r="F96" s="25">
        <f t="shared" si="30"/>
        <v>0.474351442441483</v>
      </c>
      <c r="G96" s="27">
        <f t="shared" si="31"/>
        <v>4.35454624161281</v>
      </c>
      <c r="H96" s="25">
        <f t="shared" si="32"/>
        <v>0.241919235645156</v>
      </c>
      <c r="I96" s="131">
        <f t="shared" si="33"/>
        <v>25.8728</v>
      </c>
      <c r="J96" s="27">
        <f t="shared" si="34"/>
        <v>1.35</v>
      </c>
      <c r="K96" s="27">
        <f t="shared" si="35"/>
        <v>2.48161764705882</v>
      </c>
      <c r="L96" s="27">
        <f t="shared" si="36"/>
        <v>2.74998370380027</v>
      </c>
      <c r="M96" s="131">
        <f t="shared" si="43"/>
        <v>191.146062731975</v>
      </c>
      <c r="N96" s="24">
        <f t="shared" si="37"/>
        <v>350</v>
      </c>
      <c r="O96" s="25">
        <f t="shared" si="38"/>
        <v>0.737277670537619</v>
      </c>
      <c r="P96" s="5">
        <f t="shared" si="39"/>
        <v>1.50185302159576</v>
      </c>
      <c r="Q96" s="5">
        <f t="shared" si="40"/>
        <v>0.129247572836741</v>
      </c>
      <c r="R96" s="5">
        <f t="shared" si="41"/>
        <v>0.611107489733394</v>
      </c>
    </row>
    <row r="97" spans="3:18">
      <c r="C97" s="22">
        <v>91</v>
      </c>
      <c r="D97" s="192">
        <f t="shared" si="42"/>
        <v>13.64</v>
      </c>
      <c r="E97" s="131">
        <f t="shared" si="29"/>
        <v>12.2728</v>
      </c>
      <c r="F97" s="25">
        <f t="shared" si="30"/>
        <v>0.473619215214103</v>
      </c>
      <c r="G97" s="27">
        <f t="shared" si="31"/>
        <v>4.36061211447624</v>
      </c>
      <c r="H97" s="25">
        <f t="shared" si="32"/>
        <v>0.242256228582014</v>
      </c>
      <c r="I97" s="131">
        <f t="shared" si="33"/>
        <v>25.9128</v>
      </c>
      <c r="J97" s="27">
        <f t="shared" si="34"/>
        <v>1.35</v>
      </c>
      <c r="K97" s="27">
        <f t="shared" si="35"/>
        <v>2.47434017595308</v>
      </c>
      <c r="L97" s="27">
        <f t="shared" si="36"/>
        <v>2.74998370380027</v>
      </c>
      <c r="M97" s="131">
        <f t="shared" si="43"/>
        <v>191.412328756159</v>
      </c>
      <c r="N97" s="24">
        <f t="shared" si="37"/>
        <v>350</v>
      </c>
      <c r="O97" s="25">
        <f t="shared" si="38"/>
        <v>0.738304696630898</v>
      </c>
      <c r="P97" s="5">
        <f t="shared" si="39"/>
        <v>1.50394509938828</v>
      </c>
      <c r="Q97" s="5">
        <f t="shared" si="40"/>
        <v>0.129607906775499</v>
      </c>
      <c r="R97" s="5">
        <f t="shared" si="41"/>
        <v>0.611107489733394</v>
      </c>
    </row>
    <row r="98" spans="3:18">
      <c r="C98" s="22">
        <v>92</v>
      </c>
      <c r="D98" s="192">
        <f t="shared" si="42"/>
        <v>13.68</v>
      </c>
      <c r="E98" s="131">
        <f t="shared" si="29"/>
        <v>12.2728</v>
      </c>
      <c r="F98" s="25">
        <f t="shared" si="30"/>
        <v>0.472889245091088</v>
      </c>
      <c r="G98" s="27">
        <f t="shared" si="31"/>
        <v>4.36665928917111</v>
      </c>
      <c r="H98" s="25">
        <f t="shared" si="32"/>
        <v>0.242592182731728</v>
      </c>
      <c r="I98" s="131">
        <f t="shared" si="33"/>
        <v>25.9528</v>
      </c>
      <c r="J98" s="27">
        <f t="shared" si="34"/>
        <v>1.35</v>
      </c>
      <c r="K98" s="27">
        <f t="shared" si="35"/>
        <v>2.46710526315789</v>
      </c>
      <c r="L98" s="27">
        <f t="shared" si="36"/>
        <v>2.74998370380027</v>
      </c>
      <c r="M98" s="131">
        <f t="shared" si="43"/>
        <v>191.677774010254</v>
      </c>
      <c r="N98" s="24">
        <f t="shared" si="37"/>
        <v>350</v>
      </c>
      <c r="O98" s="25">
        <f t="shared" si="38"/>
        <v>0.739328556896696</v>
      </c>
      <c r="P98" s="5">
        <f t="shared" si="39"/>
        <v>1.50603072831118</v>
      </c>
      <c r="Q98" s="5">
        <f t="shared" si="40"/>
        <v>0.129967629256137</v>
      </c>
      <c r="R98" s="5">
        <f t="shared" si="41"/>
        <v>0.611107489733394</v>
      </c>
    </row>
    <row r="99" spans="3:18">
      <c r="C99" s="22">
        <v>93</v>
      </c>
      <c r="D99" s="192">
        <f t="shared" si="42"/>
        <v>13.72</v>
      </c>
      <c r="E99" s="131">
        <f t="shared" si="29"/>
        <v>12.2728</v>
      </c>
      <c r="F99" s="25">
        <f t="shared" si="30"/>
        <v>0.47216152165215</v>
      </c>
      <c r="G99" s="27">
        <f t="shared" si="31"/>
        <v>4.37268785202056</v>
      </c>
      <c r="H99" s="25">
        <f t="shared" si="32"/>
        <v>0.242927102890031</v>
      </c>
      <c r="I99" s="131">
        <f t="shared" si="33"/>
        <v>25.9928</v>
      </c>
      <c r="J99" s="27">
        <f t="shared" si="34"/>
        <v>1.35</v>
      </c>
      <c r="K99" s="27">
        <f t="shared" si="35"/>
        <v>2.45991253644315</v>
      </c>
      <c r="L99" s="27">
        <f t="shared" si="36"/>
        <v>2.74998370380027</v>
      </c>
      <c r="M99" s="131">
        <f t="shared" si="43"/>
        <v>191.942402283481</v>
      </c>
      <c r="N99" s="24">
        <f t="shared" si="37"/>
        <v>350</v>
      </c>
      <c r="O99" s="25">
        <f t="shared" si="38"/>
        <v>0.740349265950571</v>
      </c>
      <c r="P99" s="5">
        <f t="shared" si="39"/>
        <v>1.50810993813672</v>
      </c>
      <c r="Q99" s="5">
        <f t="shared" si="40"/>
        <v>0.130326740800097</v>
      </c>
      <c r="R99" s="5">
        <f t="shared" si="41"/>
        <v>0.611107489733394</v>
      </c>
    </row>
    <row r="100" spans="3:18">
      <c r="C100" s="22">
        <v>94</v>
      </c>
      <c r="D100" s="192">
        <f t="shared" si="42"/>
        <v>13.76</v>
      </c>
      <c r="E100" s="131">
        <f t="shared" si="29"/>
        <v>12.2728</v>
      </c>
      <c r="F100" s="25">
        <f t="shared" si="30"/>
        <v>0.47143603454104</v>
      </c>
      <c r="G100" s="27">
        <f t="shared" si="31"/>
        <v>4.37869788881718</v>
      </c>
      <c r="H100" s="25">
        <f t="shared" si="32"/>
        <v>0.243260993823177</v>
      </c>
      <c r="I100" s="131">
        <f t="shared" si="33"/>
        <v>26.0328</v>
      </c>
      <c r="J100" s="27">
        <f t="shared" si="34"/>
        <v>1.35</v>
      </c>
      <c r="K100" s="27">
        <f t="shared" si="35"/>
        <v>2.45276162790698</v>
      </c>
      <c r="L100" s="27">
        <f t="shared" si="36"/>
        <v>2.74998370380027</v>
      </c>
      <c r="M100" s="131">
        <f t="shared" si="43"/>
        <v>192.206217341769</v>
      </c>
      <c r="N100" s="24">
        <f t="shared" si="37"/>
        <v>350</v>
      </c>
      <c r="O100" s="25">
        <f t="shared" si="38"/>
        <v>0.741366838318253</v>
      </c>
      <c r="P100" s="5">
        <f t="shared" si="39"/>
        <v>1.51018275845417</v>
      </c>
      <c r="Q100" s="5">
        <f t="shared" si="40"/>
        <v>0.130685241939743</v>
      </c>
      <c r="R100" s="5">
        <f t="shared" si="41"/>
        <v>0.611107489733394</v>
      </c>
    </row>
    <row r="101" spans="3:18">
      <c r="C101" s="22">
        <v>95</v>
      </c>
      <c r="D101" s="192">
        <f t="shared" si="42"/>
        <v>13.8</v>
      </c>
      <c r="E101" s="131">
        <f t="shared" si="29"/>
        <v>12.2728</v>
      </c>
      <c r="F101" s="25">
        <f t="shared" si="30"/>
        <v>0.470712773465067</v>
      </c>
      <c r="G101" s="27">
        <f t="shared" si="31"/>
        <v>4.3846894848271</v>
      </c>
      <c r="H101" s="25">
        <f t="shared" si="32"/>
        <v>0.243593860268172</v>
      </c>
      <c r="I101" s="131">
        <f t="shared" si="33"/>
        <v>26.0728</v>
      </c>
      <c r="J101" s="27">
        <f t="shared" si="34"/>
        <v>1.35</v>
      </c>
      <c r="K101" s="27">
        <f t="shared" si="35"/>
        <v>2.44565217391304</v>
      </c>
      <c r="L101" s="27">
        <f t="shared" si="36"/>
        <v>2.74998370380027</v>
      </c>
      <c r="M101" s="131">
        <f t="shared" si="43"/>
        <v>192.469222927938</v>
      </c>
      <c r="N101" s="24">
        <f t="shared" si="37"/>
        <v>350</v>
      </c>
      <c r="O101" s="25">
        <f t="shared" si="38"/>
        <v>0.742381288436334</v>
      </c>
      <c r="P101" s="5">
        <f t="shared" si="39"/>
        <v>1.51224921867124</v>
      </c>
      <c r="Q101" s="5">
        <f t="shared" si="40"/>
        <v>0.131043133218164</v>
      </c>
      <c r="R101" s="5">
        <f t="shared" si="41"/>
        <v>0.611107489733394</v>
      </c>
    </row>
    <row r="102" spans="3:18">
      <c r="C102" s="22">
        <v>96</v>
      </c>
      <c r="D102" s="192">
        <f t="shared" si="42"/>
        <v>13.84</v>
      </c>
      <c r="E102" s="131">
        <f t="shared" si="29"/>
        <v>12.2728</v>
      </c>
      <c r="F102" s="25">
        <f t="shared" si="30"/>
        <v>0.469991728194602</v>
      </c>
      <c r="G102" s="27">
        <f t="shared" ref="G102:G106" si="44">F102*D102*Isw_max*0.5*Efficiency</f>
        <v>4.39066272479397</v>
      </c>
      <c r="H102" s="25">
        <f t="shared" ref="H102:H106" si="45">G102/Vout</f>
        <v>0.243925706932998</v>
      </c>
      <c r="I102" s="131">
        <f t="shared" si="33"/>
        <v>26.1128</v>
      </c>
      <c r="J102" s="27">
        <f t="shared" si="34"/>
        <v>1.35</v>
      </c>
      <c r="K102" s="27">
        <f t="shared" ref="K102:K106" si="46">L*J102/D102*1000000</f>
        <v>2.4385838150289</v>
      </c>
      <c r="L102" s="27">
        <f t="shared" si="36"/>
        <v>2.74998370380027</v>
      </c>
      <c r="M102" s="131">
        <f t="shared" si="43"/>
        <v>192.731422761875</v>
      </c>
      <c r="N102" s="24">
        <f t="shared" si="37"/>
        <v>350</v>
      </c>
      <c r="O102" s="25">
        <f t="shared" ref="O102:O106" si="47">1/((N102*1000*L)*(1/D102+1/E102))</f>
        <v>0.743392630652947</v>
      </c>
      <c r="P102" s="5">
        <f t="shared" ref="P102:P106" si="48">L*O102/E102*1000000</f>
        <v>1.51430934801542</v>
      </c>
      <c r="Q102" s="5">
        <f t="shared" ref="Q102:Q106" si="49">0.5*P102*O102*Nps*N102/1000</f>
        <v>0.131400415188987</v>
      </c>
      <c r="R102" s="5">
        <f t="shared" si="41"/>
        <v>0.611107489733394</v>
      </c>
    </row>
    <row r="103" spans="3:18">
      <c r="C103" s="22">
        <v>97</v>
      </c>
      <c r="D103" s="192">
        <f t="shared" ref="D103:D106" si="50">C103/100*(VIN_max-VIN_min)+VIN_min</f>
        <v>13.88</v>
      </c>
      <c r="E103" s="131">
        <f t="shared" si="29"/>
        <v>12.2728</v>
      </c>
      <c r="F103" s="25">
        <f t="shared" si="30"/>
        <v>0.469272888562601</v>
      </c>
      <c r="G103" s="27">
        <f t="shared" si="44"/>
        <v>4.39661769294301</v>
      </c>
      <c r="H103" s="25">
        <f t="shared" si="45"/>
        <v>0.244256538496834</v>
      </c>
      <c r="I103" s="131">
        <f t="shared" si="33"/>
        <v>26.1528</v>
      </c>
      <c r="J103" s="27">
        <f t="shared" si="34"/>
        <v>1.35</v>
      </c>
      <c r="K103" s="27">
        <f t="shared" si="46"/>
        <v>2.43155619596542</v>
      </c>
      <c r="L103" s="27">
        <f t="shared" si="36"/>
        <v>2.74998370380027</v>
      </c>
      <c r="M103" s="131">
        <f t="shared" si="43"/>
        <v>192.992820540708</v>
      </c>
      <c r="N103" s="24">
        <f t="shared" si="37"/>
        <v>350</v>
      </c>
      <c r="O103" s="25">
        <f t="shared" si="47"/>
        <v>0.744400879228446</v>
      </c>
      <c r="P103" s="5">
        <f t="shared" si="48"/>
        <v>1.51636317553542</v>
      </c>
      <c r="Q103" s="5">
        <f t="shared" si="49"/>
        <v>0.131757088416189</v>
      </c>
      <c r="R103" s="5">
        <f t="shared" si="41"/>
        <v>0.611107489733394</v>
      </c>
    </row>
    <row r="104" spans="3:18">
      <c r="C104" s="22">
        <v>98</v>
      </c>
      <c r="D104" s="192">
        <f t="shared" si="50"/>
        <v>13.92</v>
      </c>
      <c r="E104" s="131">
        <f t="shared" si="29"/>
        <v>12.2728</v>
      </c>
      <c r="F104" s="25">
        <f t="shared" si="30"/>
        <v>0.468556244464128</v>
      </c>
      <c r="G104" s="27">
        <f t="shared" si="44"/>
        <v>4.40255447298494</v>
      </c>
      <c r="H104" s="25">
        <f t="shared" si="45"/>
        <v>0.244586359610275</v>
      </c>
      <c r="I104" s="131">
        <f t="shared" si="33"/>
        <v>26.1928</v>
      </c>
      <c r="J104" s="27">
        <f t="shared" si="34"/>
        <v>1.35</v>
      </c>
      <c r="K104" s="27">
        <f t="shared" si="46"/>
        <v>2.42456896551724</v>
      </c>
      <c r="L104" s="27">
        <f t="shared" si="36"/>
        <v>2.74998370380027</v>
      </c>
      <c r="M104" s="131">
        <f t="shared" si="43"/>
        <v>193.253419938982</v>
      </c>
      <c r="N104" s="24">
        <f t="shared" si="37"/>
        <v>350</v>
      </c>
      <c r="O104" s="25">
        <f t="shared" si="47"/>
        <v>0.745406048336075</v>
      </c>
      <c r="P104" s="5">
        <f t="shared" si="48"/>
        <v>1.51841073010249</v>
      </c>
      <c r="Q104" s="5">
        <f t="shared" si="49"/>
        <v>0.132113153473914</v>
      </c>
      <c r="R104" s="5">
        <f t="shared" si="41"/>
        <v>0.611107489733394</v>
      </c>
    </row>
    <row r="105" spans="3:18">
      <c r="C105" s="22">
        <v>99</v>
      </c>
      <c r="D105" s="192">
        <f t="shared" si="50"/>
        <v>13.96</v>
      </c>
      <c r="E105" s="131">
        <f t="shared" si="29"/>
        <v>12.2728</v>
      </c>
      <c r="F105" s="25">
        <f t="shared" si="30"/>
        <v>0.467841785855875</v>
      </c>
      <c r="G105" s="27">
        <f t="shared" si="44"/>
        <v>4.40847314811991</v>
      </c>
      <c r="H105" s="25">
        <f t="shared" si="45"/>
        <v>0.244915174895551</v>
      </c>
      <c r="I105" s="131">
        <f t="shared" si="33"/>
        <v>26.2328</v>
      </c>
      <c r="J105" s="27">
        <f t="shared" si="34"/>
        <v>1.35</v>
      </c>
      <c r="K105" s="27">
        <f t="shared" si="46"/>
        <v>2.4176217765043</v>
      </c>
      <c r="L105" s="27">
        <f t="shared" si="36"/>
        <v>2.74998370380027</v>
      </c>
      <c r="M105" s="131">
        <f t="shared" si="43"/>
        <v>193.51322460883</v>
      </c>
      <c r="N105" s="24">
        <f t="shared" si="37"/>
        <v>350</v>
      </c>
      <c r="O105" s="25">
        <f t="shared" si="47"/>
        <v>0.746408152062631</v>
      </c>
      <c r="P105" s="5">
        <f t="shared" si="48"/>
        <v>1.52045204041179</v>
      </c>
      <c r="Q105" s="5">
        <f t="shared" si="49"/>
        <v>0.132468610946293</v>
      </c>
      <c r="R105" s="5">
        <f t="shared" si="41"/>
        <v>0.611107489733394</v>
      </c>
    </row>
    <row r="106" spans="3:18">
      <c r="C106" s="22">
        <v>100</v>
      </c>
      <c r="D106" s="192">
        <f t="shared" si="50"/>
        <v>14</v>
      </c>
      <c r="E106" s="131">
        <f t="shared" si="29"/>
        <v>12.2728</v>
      </c>
      <c r="F106" s="25">
        <f t="shared" si="30"/>
        <v>0.467129502755702</v>
      </c>
      <c r="G106" s="27">
        <f t="shared" si="44"/>
        <v>4.41437380104138</v>
      </c>
      <c r="H106" s="25">
        <f t="shared" si="45"/>
        <v>0.245242988946743</v>
      </c>
      <c r="I106" s="131">
        <f t="shared" si="33"/>
        <v>26.2728</v>
      </c>
      <c r="J106" s="27">
        <f t="shared" si="34"/>
        <v>1.35</v>
      </c>
      <c r="K106" s="27">
        <f t="shared" si="46"/>
        <v>2.41071428571429</v>
      </c>
      <c r="L106" s="27">
        <f t="shared" si="36"/>
        <v>2.74998370380027</v>
      </c>
      <c r="M106" s="131">
        <f t="shared" si="43"/>
        <v>193.772238180143</v>
      </c>
      <c r="N106" s="24">
        <f t="shared" si="37"/>
        <v>350</v>
      </c>
      <c r="O106" s="25">
        <f t="shared" si="47"/>
        <v>0.747407204409123</v>
      </c>
      <c r="P106" s="5">
        <f t="shared" si="48"/>
        <v>1.52248713498371</v>
      </c>
      <c r="Q106" s="5">
        <f t="shared" si="49"/>
        <v>0.132823461427263</v>
      </c>
      <c r="R106" s="5">
        <f t="shared" si="41"/>
        <v>0.611107489733394</v>
      </c>
    </row>
  </sheetData>
  <mergeCells count="1">
    <mergeCell ref="F4:O4"/>
  </mergeCells>
  <pageMargins left="0.7" right="0.7" top="0.75" bottom="0.75" header="0.3" footer="0.3"/>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CC133"/>
  <sheetViews>
    <sheetView zoomScale="85" zoomScaleNormal="85" showWhiteSpace="0" workbookViewId="0">
      <pane ySplit="5" topLeftCell="A6" activePane="bottomLeft" state="frozen"/>
      <selection/>
      <selection pane="bottomLeft" activeCell="E31" sqref="E31"/>
    </sheetView>
  </sheetViews>
  <sheetFormatPr defaultColWidth="9.18181818181818" defaultRowHeight="12.5"/>
  <cols>
    <col min="1" max="1" width="15.7272727272727" style="22" customWidth="1"/>
    <col min="2" max="2" width="11.5454545454545" style="22" customWidth="1"/>
    <col min="3" max="3" width="9.18181818181818" style="22"/>
    <col min="4" max="4" width="12.4545454545455" style="22" customWidth="1"/>
    <col min="5" max="5" width="51.4545454545455" style="22" customWidth="1"/>
    <col min="6" max="6" width="13.4545454545455" style="22" customWidth="1"/>
    <col min="7" max="7" width="10" style="22" customWidth="1"/>
    <col min="8" max="8" width="6.81818181818182" style="22" customWidth="1"/>
    <col min="9" max="9" width="12.4545454545455" style="22" customWidth="1"/>
    <col min="10" max="10" width="9.18181818181818" style="23" customWidth="1"/>
    <col min="11" max="11" width="8.81818181818182"/>
    <col min="13" max="13" width="10.8181818181818" customWidth="1"/>
    <col min="14" max="14" width="12" style="22" customWidth="1"/>
    <col min="15" max="15" width="12.7272727272727" style="23" customWidth="1"/>
    <col min="16" max="16" width="11.4545454545455" style="23" customWidth="1"/>
    <col min="17" max="17" width="12.4545454545455" style="23" customWidth="1"/>
    <col min="18" max="19" width="10.5454545454545" style="24" customWidth="1"/>
    <col min="20" max="20" width="10" style="24" customWidth="1"/>
    <col min="21" max="21" width="10.5454545454545" style="24" customWidth="1"/>
    <col min="22" max="22" width="8.45454545454546" style="23" customWidth="1"/>
    <col min="23" max="23" width="9.26363636363636" style="23" customWidth="1"/>
    <col min="24" max="24" width="9.45454545454546" style="22" customWidth="1"/>
    <col min="25" max="25" width="9.45454545454546" style="23" customWidth="1"/>
    <col min="26" max="26" width="8.26363636363636" style="25" customWidth="1"/>
    <col min="27" max="27" width="9.54545454545454" style="23" customWidth="1"/>
    <col min="28" max="28" width="9.45454545454546" style="23" customWidth="1"/>
    <col min="29" max="29" width="8.54545454545454" style="23" customWidth="1"/>
    <col min="30" max="30" width="9.72727272727273" style="26" customWidth="1"/>
    <col min="31" max="31" width="9.18181818181818" style="26" customWidth="1"/>
    <col min="32" max="32" width="8.18181818181818" style="23" customWidth="1"/>
    <col min="33" max="33" width="10.2636363636364" style="23" customWidth="1"/>
    <col min="34" max="34" width="9.45454545454546" style="23" customWidth="1"/>
    <col min="35" max="35" width="8.81818181818182"/>
    <col min="36" max="36" width="9.72727272727273" style="23" customWidth="1"/>
    <col min="37" max="37" width="11.5454545454545" style="23" customWidth="1"/>
    <col min="38" max="38" width="10.1818181818182" style="23" customWidth="1"/>
    <col min="39" max="39" width="11.1818181818182" style="23" customWidth="1"/>
    <col min="40" max="40" width="9.18181818181818" style="23"/>
    <col min="41" max="41" width="10.2636363636364" style="23" customWidth="1"/>
    <col min="42" max="42" width="9.81818181818182" style="23" customWidth="1"/>
    <col min="43" max="43" width="9.72727272727273" style="23" customWidth="1"/>
    <col min="44" max="44" width="10.2636363636364" style="23" customWidth="1"/>
    <col min="45" max="45" width="10.1818181818182" style="23" customWidth="1"/>
    <col min="46" max="46" width="10.4545454545455" style="23" customWidth="1"/>
    <col min="47" max="47" width="11.2636363636364" style="23" customWidth="1"/>
    <col min="48" max="48" width="11.7272727272727" style="23" customWidth="1"/>
    <col min="49" max="49" width="10.4545454545455" style="23" customWidth="1"/>
    <col min="50" max="50" width="11.4545454545455" style="23" customWidth="1"/>
    <col min="51" max="51" width="10.1818181818182" style="23" customWidth="1"/>
    <col min="52" max="52" width="10" style="27" customWidth="1"/>
    <col min="53" max="55" width="12.7272727272727" style="28" customWidth="1"/>
    <col min="56" max="56" width="14" style="28" customWidth="1"/>
    <col min="57" max="57" width="12.8181818181818" style="28" customWidth="1"/>
    <col min="58" max="58" width="10.4545454545455" style="28" customWidth="1"/>
    <col min="59" max="59" width="9" style="28" customWidth="1"/>
    <col min="60" max="60" width="8.81818181818182" style="28" customWidth="1"/>
    <col min="61" max="61" width="10.8181818181818" style="28" customWidth="1"/>
    <col min="62" max="62" width="11.1818181818182" style="28" customWidth="1"/>
    <col min="63" max="64" width="9.18181818181818" style="28"/>
    <col min="65" max="65" width="8.81818181818182" style="27" customWidth="1"/>
    <col min="66" max="66" width="9.18181818181818" style="25"/>
    <col min="67" max="67" width="12.5454545454545" style="22" customWidth="1"/>
    <col min="68" max="68" width="13.5454545454545" style="27" customWidth="1"/>
    <col min="69" max="69" width="12.7272727272727" style="24" customWidth="1"/>
    <col min="70" max="70" width="3.72727272727273" style="22" customWidth="1"/>
    <col min="71" max="71" width="12.4545454545455" style="22" customWidth="1"/>
    <col min="72" max="72" width="3.54545454545455" style="22" customWidth="1"/>
    <col min="73" max="73" width="9.18181818181818" style="27"/>
    <col min="74" max="74" width="11.1818181818182" style="27" customWidth="1"/>
    <col min="75" max="75" width="9.18181818181818" style="27"/>
    <col min="76" max="76" width="4.72727272727273" style="22" customWidth="1"/>
    <col min="77" max="77" width="3.72727272727273" style="22" customWidth="1"/>
    <col min="78" max="78" width="12.4545454545455" style="22" customWidth="1"/>
    <col min="79" max="79" width="11.8181818181818" style="22" customWidth="1"/>
    <col min="80" max="80" width="11.5454545454545" style="22" customWidth="1"/>
    <col min="81" max="81" width="11.7272727272727" style="22" customWidth="1"/>
    <col min="82" max="82" width="9.18181818181818" style="22"/>
    <col min="83" max="83" width="9.18181818181818" style="22" customWidth="1"/>
    <col min="84" max="16384" width="9.18181818181818" style="22"/>
  </cols>
  <sheetData>
    <row r="1" spans="1:5">
      <c r="A1" s="29" t="s">
        <v>690</v>
      </c>
      <c r="B1" s="29"/>
      <c r="C1" s="29"/>
      <c r="D1" s="29"/>
      <c r="E1" s="29"/>
    </row>
    <row r="2" ht="15.5" spans="1:41">
      <c r="A2" s="29"/>
      <c r="B2" s="29"/>
      <c r="C2" s="29"/>
      <c r="D2" s="29"/>
      <c r="E2" s="29"/>
      <c r="G2" s="30" t="s">
        <v>691</v>
      </c>
      <c r="H2" s="30"/>
      <c r="AF2" s="23">
        <v>0.0192577385385425</v>
      </c>
      <c r="AG2" s="23">
        <v>0.00074172098723773</v>
      </c>
      <c r="AH2" s="23">
        <v>0.00124034505654408</v>
      </c>
      <c r="AI2">
        <v>20</v>
      </c>
      <c r="AJ2" s="23">
        <v>7.1523178807947</v>
      </c>
      <c r="AK2" s="23">
        <v>0</v>
      </c>
      <c r="AL2" s="23">
        <v>0.000836299543141426</v>
      </c>
      <c r="AM2" s="23">
        <v>0.00157802053037916</v>
      </c>
      <c r="AO2" s="132" t="e">
        <f>Ifb</f>
        <v>#NAME?</v>
      </c>
    </row>
    <row r="3" ht="13.25" spans="1:5">
      <c r="A3" s="29"/>
      <c r="B3" s="29"/>
      <c r="C3" s="29"/>
      <c r="D3" s="29"/>
      <c r="E3" s="29"/>
    </row>
    <row r="4" ht="13.75" spans="1:81">
      <c r="A4" s="31"/>
      <c r="B4" s="31"/>
      <c r="C4" s="31"/>
      <c r="D4" s="31"/>
      <c r="E4" s="31"/>
      <c r="H4" s="32" t="s">
        <v>692</v>
      </c>
      <c r="I4" s="113"/>
      <c r="J4" s="114"/>
      <c r="K4" s="115" t="s">
        <v>559</v>
      </c>
      <c r="L4" s="116"/>
      <c r="M4" s="116"/>
      <c r="N4" s="116"/>
      <c r="O4" s="116"/>
      <c r="P4" s="116"/>
      <c r="Q4" s="116"/>
      <c r="R4" s="116"/>
      <c r="S4" s="116"/>
      <c r="T4" s="116"/>
      <c r="U4" s="125"/>
      <c r="V4" s="126" t="s">
        <v>693</v>
      </c>
      <c r="W4" s="127"/>
      <c r="X4" s="113"/>
      <c r="Y4" s="133"/>
      <c r="Z4" s="134" t="s">
        <v>320</v>
      </c>
      <c r="AA4" s="135"/>
      <c r="AB4" s="114"/>
      <c r="AC4" s="136" t="s">
        <v>350</v>
      </c>
      <c r="AD4" s="137"/>
      <c r="AE4" s="138"/>
      <c r="AF4" s="126" t="s">
        <v>694</v>
      </c>
      <c r="AG4" s="127"/>
      <c r="AH4" s="127"/>
      <c r="AI4" s="127"/>
      <c r="AJ4" s="127"/>
      <c r="AK4" s="127"/>
      <c r="AL4" s="127"/>
      <c r="AM4" s="114"/>
      <c r="AN4" s="142" t="s">
        <v>695</v>
      </c>
      <c r="AO4" s="144"/>
      <c r="AP4" s="144"/>
      <c r="AQ4" s="145" t="s">
        <v>87</v>
      </c>
      <c r="AR4" s="144"/>
      <c r="AS4" s="144"/>
      <c r="AT4" s="144"/>
      <c r="AU4" s="146"/>
      <c r="AV4" s="147"/>
      <c r="AW4" s="150"/>
      <c r="AX4" s="126" t="s">
        <v>696</v>
      </c>
      <c r="AY4" s="127"/>
      <c r="AZ4" s="113"/>
      <c r="BA4" s="151"/>
      <c r="BB4" s="151"/>
      <c r="BC4" s="151"/>
      <c r="BD4" s="151"/>
      <c r="BE4" s="151"/>
      <c r="BF4" s="151"/>
      <c r="BG4" s="151"/>
      <c r="BH4" s="151"/>
      <c r="BI4" s="151"/>
      <c r="BJ4" s="151"/>
      <c r="BK4" s="151"/>
      <c r="BL4" s="151"/>
      <c r="BM4" s="160"/>
      <c r="BN4" s="161"/>
      <c r="BO4" s="113"/>
      <c r="BP4" s="162"/>
      <c r="BQ4" s="163"/>
      <c r="BR4" s="164"/>
      <c r="BS4" s="164"/>
      <c r="BT4" s="164"/>
      <c r="BU4" s="164"/>
      <c r="BV4" s="164"/>
      <c r="BW4" s="164"/>
      <c r="BX4" s="164"/>
      <c r="BY4" s="164"/>
      <c r="BZ4" s="164"/>
      <c r="CA4" s="164"/>
      <c r="CB4" s="164"/>
      <c r="CC4" s="178"/>
    </row>
    <row r="5" ht="78" customHeight="1" spans="1:81">
      <c r="A5" s="33" t="s">
        <v>697</v>
      </c>
      <c r="B5" s="34"/>
      <c r="C5" s="34"/>
      <c r="D5" s="35"/>
      <c r="E5" s="36"/>
      <c r="F5" s="37"/>
      <c r="G5" s="37"/>
      <c r="H5" s="38" t="s">
        <v>566</v>
      </c>
      <c r="I5" s="117" t="s">
        <v>567</v>
      </c>
      <c r="J5" s="118" t="s">
        <v>698</v>
      </c>
      <c r="K5" s="119" t="s">
        <v>699</v>
      </c>
      <c r="L5" s="120" t="s">
        <v>572</v>
      </c>
      <c r="M5" s="120" t="s">
        <v>700</v>
      </c>
      <c r="N5" s="121" t="s">
        <v>701</v>
      </c>
      <c r="O5" s="122" t="s">
        <v>702</v>
      </c>
      <c r="P5" s="122" t="s">
        <v>703</v>
      </c>
      <c r="Q5" s="122" t="s">
        <v>704</v>
      </c>
      <c r="R5" s="128" t="s">
        <v>705</v>
      </c>
      <c r="S5" s="129" t="s">
        <v>706</v>
      </c>
      <c r="T5" s="129" t="s">
        <v>707</v>
      </c>
      <c r="U5" s="128" t="s">
        <v>708</v>
      </c>
      <c r="V5" s="130" t="s">
        <v>709</v>
      </c>
      <c r="W5" s="120" t="s">
        <v>710</v>
      </c>
      <c r="X5" s="117" t="s">
        <v>711</v>
      </c>
      <c r="Y5" s="118" t="s">
        <v>712</v>
      </c>
      <c r="Z5" s="139" t="s">
        <v>709</v>
      </c>
      <c r="AA5" s="120" t="s">
        <v>713</v>
      </c>
      <c r="AB5" s="118" t="s">
        <v>714</v>
      </c>
      <c r="AC5" s="130" t="s">
        <v>709</v>
      </c>
      <c r="AD5" s="140" t="s">
        <v>715</v>
      </c>
      <c r="AE5" s="141" t="s">
        <v>716</v>
      </c>
      <c r="AF5" s="130" t="s">
        <v>709</v>
      </c>
      <c r="AG5" s="120" t="s">
        <v>717</v>
      </c>
      <c r="AH5" s="120" t="s">
        <v>718</v>
      </c>
      <c r="AI5" s="120" t="s">
        <v>719</v>
      </c>
      <c r="AJ5" s="120" t="s">
        <v>720</v>
      </c>
      <c r="AK5" s="120" t="s">
        <v>721</v>
      </c>
      <c r="AL5" s="119" t="s">
        <v>722</v>
      </c>
      <c r="AM5" s="118" t="s">
        <v>723</v>
      </c>
      <c r="AN5" s="143" t="s">
        <v>709</v>
      </c>
      <c r="AO5" s="148" t="s">
        <v>724</v>
      </c>
      <c r="AP5" s="148" t="s">
        <v>725</v>
      </c>
      <c r="AQ5" s="148" t="s">
        <v>726</v>
      </c>
      <c r="AR5" s="148" t="s">
        <v>727</v>
      </c>
      <c r="AS5" s="149" t="s">
        <v>728</v>
      </c>
      <c r="AT5" s="143" t="s">
        <v>729</v>
      </c>
      <c r="AU5" s="143" t="s">
        <v>730</v>
      </c>
      <c r="AV5" s="143" t="s">
        <v>731</v>
      </c>
      <c r="AW5" s="152" t="s">
        <v>732</v>
      </c>
      <c r="AX5" s="130" t="s">
        <v>733</v>
      </c>
      <c r="AY5" s="120" t="s">
        <v>568</v>
      </c>
      <c r="AZ5" s="153" t="s">
        <v>734</v>
      </c>
      <c r="BA5" s="154" t="s">
        <v>735</v>
      </c>
      <c r="BB5" s="154" t="s">
        <v>736</v>
      </c>
      <c r="BC5" s="154" t="s">
        <v>737</v>
      </c>
      <c r="BD5" s="154" t="s">
        <v>738</v>
      </c>
      <c r="BE5" s="154" t="s">
        <v>739</v>
      </c>
      <c r="BF5" s="154" t="s">
        <v>740</v>
      </c>
      <c r="BG5" s="154" t="s">
        <v>741</v>
      </c>
      <c r="BH5" s="155" t="s">
        <v>742</v>
      </c>
      <c r="BI5" s="156" t="s">
        <v>743</v>
      </c>
      <c r="BJ5" s="157" t="s">
        <v>744</v>
      </c>
      <c r="BK5" s="158" t="s">
        <v>745</v>
      </c>
      <c r="BL5" s="157" t="s">
        <v>746</v>
      </c>
      <c r="BM5" s="165" t="s">
        <v>747</v>
      </c>
      <c r="BN5" s="166" t="s">
        <v>748</v>
      </c>
      <c r="BO5" s="167" t="s">
        <v>749</v>
      </c>
      <c r="BP5" s="168" t="s">
        <v>749</v>
      </c>
      <c r="BQ5" s="815" t="s">
        <v>750</v>
      </c>
      <c r="BR5" s="22"/>
      <c r="BS5" s="170" t="s">
        <v>751</v>
      </c>
      <c r="BT5" s="22"/>
      <c r="BU5" s="174" t="s">
        <v>752</v>
      </c>
      <c r="BV5" s="175" t="s">
        <v>753</v>
      </c>
      <c r="BW5" s="176" t="s">
        <v>754</v>
      </c>
      <c r="BX5" s="22"/>
      <c r="BY5" s="22"/>
      <c r="BZ5" s="177" t="s">
        <v>755</v>
      </c>
      <c r="CA5" s="152" t="s">
        <v>756</v>
      </c>
      <c r="CB5" s="175" t="s">
        <v>757</v>
      </c>
      <c r="CC5" s="176" t="s">
        <v>758</v>
      </c>
    </row>
    <row r="6" ht="13" spans="1:81">
      <c r="A6" s="39" t="s">
        <v>400</v>
      </c>
      <c r="B6" s="40" t="s">
        <v>759</v>
      </c>
      <c r="C6" s="41" t="s">
        <v>415</v>
      </c>
      <c r="D6" s="42" t="s">
        <v>760</v>
      </c>
      <c r="E6" s="43" t="s">
        <v>75</v>
      </c>
      <c r="F6" s="44"/>
      <c r="G6" s="44"/>
      <c r="H6" s="22">
        <v>0.1</v>
      </c>
      <c r="I6" s="123">
        <f t="shared" ref="I6:I37" si="0">IF(PLOT_TYPE=1,H6/100*Iout_max,min_I*EXP(H6*rr/100))</f>
        <v>0.0005</v>
      </c>
      <c r="J6" s="25"/>
      <c r="K6" s="25"/>
      <c r="L6" s="25"/>
      <c r="M6" s="25"/>
      <c r="N6" s="124"/>
      <c r="O6" s="27"/>
      <c r="P6" s="25"/>
      <c r="Q6" s="131"/>
      <c r="S6" s="132"/>
      <c r="T6" s="132"/>
      <c r="U6" s="132"/>
      <c r="AJ6" s="131"/>
      <c r="AY6" s="23">
        <f>Vout*I6</f>
        <v>0.009</v>
      </c>
      <c r="AZ6" s="92">
        <f>AY6/(AY6+AX6)</f>
        <v>1</v>
      </c>
      <c r="BA6" s="28">
        <f t="shared" ref="BA6:BA9" si="1">AG6/($AY6+$AX6)</f>
        <v>0</v>
      </c>
      <c r="BB6" s="28">
        <f>AO6/($AY6+$AX6)</f>
        <v>0</v>
      </c>
      <c r="BC6" s="28" t="e">
        <f t="shared" ref="BC6:BC9" si="2">Vin*R6*(QgBot+Qg)/($AY6+$AX6)</f>
        <v>#NAME?</v>
      </c>
      <c r="BD6" s="28">
        <f t="shared" ref="BD6:BD9" si="3">AK6/($AY6+$AX6)</f>
        <v>0</v>
      </c>
      <c r="BE6" s="28">
        <f t="shared" ref="BE6:BE9" si="4">AQ6/(AX6+AY6)</f>
        <v>0</v>
      </c>
      <c r="BF6" s="28">
        <f t="shared" ref="BF6:BF9" si="5">AR6/($AY6+$AX6)</f>
        <v>0</v>
      </c>
      <c r="BG6" s="28">
        <f t="shared" ref="BG6:BG9" si="6">W6/($AY6+$AX6)</f>
        <v>0</v>
      </c>
      <c r="BH6" s="28">
        <f t="shared" ref="BH6:BH9" si="7">X6/($AY6+$AX6)</f>
        <v>0</v>
      </c>
      <c r="BI6" s="28">
        <f t="shared" ref="BI6:BI9" si="8">(AB6+AE6)/($AY6+$AX6)</f>
        <v>0</v>
      </c>
      <c r="BJ6" s="159">
        <f>AT6/($AY6+$AX6)</f>
        <v>0</v>
      </c>
      <c r="BK6" s="159">
        <f>AX6/($AY6+$AX6)</f>
        <v>0</v>
      </c>
      <c r="BL6" s="159">
        <f>AZ6</f>
        <v>1</v>
      </c>
      <c r="BM6" s="27">
        <f>100*BL6</f>
        <v>100</v>
      </c>
      <c r="BN6" s="25" t="e">
        <f>CHOOSE(MODE,I6*1000,#REF!)</f>
        <v>#REF!</v>
      </c>
      <c r="BO6" s="27">
        <v>59.7023720857501</v>
      </c>
      <c r="BP6" s="159">
        <f>BO6/100</f>
        <v>0.597023720857501</v>
      </c>
      <c r="BQ6" s="171">
        <f t="shared" ref="BQ6:BQ9" si="9">R6/1000</f>
        <v>0</v>
      </c>
      <c r="BR6" s="172"/>
      <c r="BS6" s="159">
        <f>AL6/($AY6+$AX6)</f>
        <v>0</v>
      </c>
      <c r="BT6" s="173"/>
      <c r="BU6" s="27">
        <f>1000*AW6</f>
        <v>0</v>
      </c>
      <c r="BV6" s="27">
        <f>1000*AU6</f>
        <v>0</v>
      </c>
      <c r="BW6" s="27">
        <f t="shared" ref="BW6:BW9" si="10">1000*Y6</f>
        <v>0</v>
      </c>
      <c r="BX6" s="159"/>
      <c r="BY6" s="159"/>
      <c r="BZ6" s="27" t="e">
        <f>IF(MODE=1,BM6,#REF!)</f>
        <v>#REF!</v>
      </c>
      <c r="CA6" s="27" t="e">
        <f>IF(MODE=1,BU6,#REF!)</f>
        <v>#REF!</v>
      </c>
      <c r="CB6" s="27" t="e">
        <f>IF(MODE=1,BV6,#REF!)</f>
        <v>#REF!</v>
      </c>
      <c r="CC6" s="27" t="e">
        <f>IF(MODE=1,BW6,#REF!)</f>
        <v>#REF!</v>
      </c>
    </row>
    <row r="7" ht="13" spans="1:81">
      <c r="A7" s="45"/>
      <c r="B7" s="40"/>
      <c r="C7" s="41"/>
      <c r="D7" s="42"/>
      <c r="E7" s="43"/>
      <c r="F7" s="44"/>
      <c r="G7" s="44"/>
      <c r="H7" s="22">
        <v>1</v>
      </c>
      <c r="I7" s="123">
        <f t="shared" si="0"/>
        <v>0.005</v>
      </c>
      <c r="J7" s="25"/>
      <c r="K7" s="25"/>
      <c r="L7" s="25"/>
      <c r="M7" s="25"/>
      <c r="N7" s="124"/>
      <c r="O7" s="27"/>
      <c r="P7" s="25"/>
      <c r="Q7" s="131"/>
      <c r="S7" s="132"/>
      <c r="T7" s="132"/>
      <c r="U7" s="132"/>
      <c r="AJ7" s="131"/>
      <c r="AY7" s="23">
        <f>Vout*I7</f>
        <v>0.09</v>
      </c>
      <c r="AZ7" s="92">
        <f>AY7/(AY7+AX7)</f>
        <v>1</v>
      </c>
      <c r="BA7" s="28">
        <f t="shared" si="1"/>
        <v>0</v>
      </c>
      <c r="BB7" s="28">
        <f>AO7/($AY7+$AX7)</f>
        <v>0</v>
      </c>
      <c r="BC7" s="28" t="e">
        <f t="shared" si="2"/>
        <v>#NAME?</v>
      </c>
      <c r="BD7" s="28">
        <f t="shared" ref="BD7" si="11">AK7/($AY7+$AX7)</f>
        <v>0</v>
      </c>
      <c r="BE7" s="28">
        <f t="shared" ref="BE7" si="12">AQ7/(AX7+AY7)</f>
        <v>0</v>
      </c>
      <c r="BF7" s="28">
        <f t="shared" ref="BF7" si="13">AR7/($AY7+$AX7)</f>
        <v>0</v>
      </c>
      <c r="BG7" s="28">
        <f t="shared" si="6"/>
        <v>0</v>
      </c>
      <c r="BH7" s="28">
        <f t="shared" si="7"/>
        <v>0</v>
      </c>
      <c r="BI7" s="28">
        <f t="shared" si="8"/>
        <v>0</v>
      </c>
      <c r="BJ7" s="159">
        <f>AT7/($AY7+$AX7)</f>
        <v>0</v>
      </c>
      <c r="BK7" s="159">
        <f t="shared" ref="BK7:BK9" si="14">AX7/($AY7+$AX7)</f>
        <v>0</v>
      </c>
      <c r="BL7" s="159">
        <f>AZ7</f>
        <v>1</v>
      </c>
      <c r="BM7" s="27">
        <f>100*BL7</f>
        <v>100</v>
      </c>
      <c r="BN7" s="25" t="e">
        <f>CHOOSE(MODE,I7*1000,#REF!)</f>
        <v>#REF!</v>
      </c>
      <c r="BO7" s="27">
        <v>83.6825990615819</v>
      </c>
      <c r="BP7" s="159">
        <f t="shared" ref="BP7:BP9" si="15">BO7/100</f>
        <v>0.836825990615819</v>
      </c>
      <c r="BQ7" s="171">
        <f t="shared" si="9"/>
        <v>0</v>
      </c>
      <c r="BR7" s="172"/>
      <c r="BS7" s="159">
        <f>AL7/($AY7+$AX7)</f>
        <v>0</v>
      </c>
      <c r="BT7" s="173"/>
      <c r="BU7" s="27">
        <f>1000*AW7</f>
        <v>0</v>
      </c>
      <c r="BV7" s="27">
        <f>1000*AU7</f>
        <v>0</v>
      </c>
      <c r="BW7" s="27">
        <f t="shared" si="10"/>
        <v>0</v>
      </c>
      <c r="BX7" s="159"/>
      <c r="BY7" s="159"/>
      <c r="BZ7" s="27" t="e">
        <f>IF(MODE=1,BM7,#REF!)</f>
        <v>#REF!</v>
      </c>
      <c r="CA7" s="27" t="e">
        <f>IF(MODE=1,BU7,#REF!)</f>
        <v>#REF!</v>
      </c>
      <c r="CB7" s="27" t="e">
        <f>IF(MODE=1,BV7,#REF!)</f>
        <v>#REF!</v>
      </c>
      <c r="CC7" s="27" t="e">
        <f>IF(MODE=1,BW7,#REF!)</f>
        <v>#REF!</v>
      </c>
    </row>
    <row r="8" ht="13" spans="1:81">
      <c r="A8" s="46" t="s">
        <v>527</v>
      </c>
      <c r="B8" s="47">
        <f>Vin</f>
        <v>12</v>
      </c>
      <c r="C8" s="48" t="s">
        <v>9</v>
      </c>
      <c r="D8" s="49">
        <f>B8</f>
        <v>12</v>
      </c>
      <c r="E8" s="50" t="s">
        <v>527</v>
      </c>
      <c r="F8" s="44"/>
      <c r="G8" s="44"/>
      <c r="H8" s="22">
        <v>2</v>
      </c>
      <c r="I8" s="123">
        <f t="shared" si="0"/>
        <v>0.01</v>
      </c>
      <c r="J8" s="25"/>
      <c r="K8" s="25"/>
      <c r="L8" s="25"/>
      <c r="M8" s="25"/>
      <c r="N8" s="124"/>
      <c r="O8" s="27"/>
      <c r="P8" s="25"/>
      <c r="Q8" s="131"/>
      <c r="S8" s="132"/>
      <c r="T8" s="132"/>
      <c r="U8" s="132"/>
      <c r="AJ8" s="131"/>
      <c r="AY8" s="23">
        <f>Vout*I8</f>
        <v>0.18</v>
      </c>
      <c r="AZ8" s="92">
        <f>AY8/(AY8+AX8)</f>
        <v>1</v>
      </c>
      <c r="BA8" s="28">
        <f t="shared" si="1"/>
        <v>0</v>
      </c>
      <c r="BB8" s="28">
        <f t="shared" ref="BB8:BB9" si="16">AO8/($AY8+$AX8)</f>
        <v>0</v>
      </c>
      <c r="BC8" s="28" t="e">
        <f t="shared" si="2"/>
        <v>#NAME?</v>
      </c>
      <c r="BD8" s="28">
        <f t="shared" si="3"/>
        <v>0</v>
      </c>
      <c r="BE8" s="28">
        <f t="shared" si="4"/>
        <v>0</v>
      </c>
      <c r="BF8" s="28">
        <f t="shared" si="5"/>
        <v>0</v>
      </c>
      <c r="BG8" s="28">
        <f t="shared" si="6"/>
        <v>0</v>
      </c>
      <c r="BH8" s="28">
        <f t="shared" si="7"/>
        <v>0</v>
      </c>
      <c r="BI8" s="28">
        <f t="shared" si="8"/>
        <v>0</v>
      </c>
      <c r="BJ8" s="159">
        <f t="shared" ref="BJ8:BJ9" si="17">AT8/($AY8+$AX8)</f>
        <v>0</v>
      </c>
      <c r="BK8" s="159">
        <f t="shared" si="14"/>
        <v>0</v>
      </c>
      <c r="BL8" s="159">
        <f t="shared" ref="BL8:BL9" si="18">AZ8</f>
        <v>1</v>
      </c>
      <c r="BM8" s="27">
        <f t="shared" ref="BM8:BM9" si="19">100*BL8</f>
        <v>100</v>
      </c>
      <c r="BN8" s="25" t="e">
        <f>CHOOSE(MODE,I8*1000,#REF!)</f>
        <v>#REF!</v>
      </c>
      <c r="BO8" s="27">
        <v>85.5913065364931</v>
      </c>
      <c r="BP8" s="159">
        <f t="shared" si="15"/>
        <v>0.855913065364931</v>
      </c>
      <c r="BQ8" s="171">
        <f t="shared" si="9"/>
        <v>0</v>
      </c>
      <c r="BR8" s="172"/>
      <c r="BS8" s="159">
        <f t="shared" ref="BS8:BS9" si="20">AL8/($AY8+$AX8)</f>
        <v>0</v>
      </c>
      <c r="BT8" s="173"/>
      <c r="BU8" s="27">
        <f t="shared" ref="BU8:BU9" si="21">1000*AW8</f>
        <v>0</v>
      </c>
      <c r="BV8" s="27">
        <f t="shared" ref="BV8:BV9" si="22">1000*AU8</f>
        <v>0</v>
      </c>
      <c r="BW8" s="27">
        <f t="shared" si="10"/>
        <v>0</v>
      </c>
      <c r="BX8" s="159"/>
      <c r="BY8" s="159"/>
      <c r="BZ8" s="27" t="e">
        <f>IF(MODE=1,BM8,#REF!)</f>
        <v>#REF!</v>
      </c>
      <c r="CA8" s="27" t="e">
        <f>IF(MODE=1,BU8,#REF!)</f>
        <v>#REF!</v>
      </c>
      <c r="CB8" s="27" t="e">
        <f>IF(MODE=1,BV8,#REF!)</f>
        <v>#REF!</v>
      </c>
      <c r="CC8" s="27" t="e">
        <f>IF(MODE=1,BW8,#REF!)</f>
        <v>#REF!</v>
      </c>
    </row>
    <row r="9" ht="13" spans="1:81">
      <c r="A9" s="51" t="s">
        <v>133</v>
      </c>
      <c r="B9" s="47">
        <f>Vout</f>
        <v>18</v>
      </c>
      <c r="C9" s="48" t="s">
        <v>9</v>
      </c>
      <c r="D9" s="49">
        <f>B9</f>
        <v>18</v>
      </c>
      <c r="E9" s="50" t="s">
        <v>133</v>
      </c>
      <c r="F9" s="44"/>
      <c r="G9" s="44"/>
      <c r="H9" s="22">
        <v>3</v>
      </c>
      <c r="I9" s="123">
        <f t="shared" si="0"/>
        <v>0.015</v>
      </c>
      <c r="J9" s="25"/>
      <c r="K9" s="25"/>
      <c r="L9" s="25"/>
      <c r="M9" s="25"/>
      <c r="N9" s="124"/>
      <c r="O9" s="27"/>
      <c r="P9" s="25"/>
      <c r="Q9" s="131"/>
      <c r="S9" s="132"/>
      <c r="T9" s="132"/>
      <c r="U9" s="132"/>
      <c r="AJ9" s="131"/>
      <c r="AY9" s="23">
        <f>Vout*I9</f>
        <v>0.27</v>
      </c>
      <c r="AZ9" s="92">
        <f t="shared" ref="AZ9" si="23">AY9/(AY9+AX9)</f>
        <v>1</v>
      </c>
      <c r="BA9" s="28">
        <f t="shared" si="1"/>
        <v>0</v>
      </c>
      <c r="BB9" s="28">
        <f t="shared" si="16"/>
        <v>0</v>
      </c>
      <c r="BC9" s="28" t="e">
        <f t="shared" si="2"/>
        <v>#NAME?</v>
      </c>
      <c r="BD9" s="28">
        <f t="shared" si="3"/>
        <v>0</v>
      </c>
      <c r="BE9" s="28">
        <f t="shared" si="4"/>
        <v>0</v>
      </c>
      <c r="BF9" s="28">
        <f t="shared" si="5"/>
        <v>0</v>
      </c>
      <c r="BG9" s="28">
        <f t="shared" si="6"/>
        <v>0</v>
      </c>
      <c r="BH9" s="28">
        <f t="shared" si="7"/>
        <v>0</v>
      </c>
      <c r="BI9" s="28">
        <f t="shared" si="8"/>
        <v>0</v>
      </c>
      <c r="BJ9" s="159">
        <f t="shared" si="17"/>
        <v>0</v>
      </c>
      <c r="BK9" s="159">
        <f t="shared" si="14"/>
        <v>0</v>
      </c>
      <c r="BL9" s="159">
        <f t="shared" si="18"/>
        <v>1</v>
      </c>
      <c r="BM9" s="27">
        <f t="shared" si="19"/>
        <v>100</v>
      </c>
      <c r="BN9" s="25" t="e">
        <f>CHOOSE(MODE,I9*1000,#REF!)</f>
        <v>#REF!</v>
      </c>
      <c r="BO9" s="27">
        <v>86.2461434234114</v>
      </c>
      <c r="BP9" s="159">
        <f t="shared" si="15"/>
        <v>0.862461434234114</v>
      </c>
      <c r="BQ9" s="171">
        <f t="shared" si="9"/>
        <v>0</v>
      </c>
      <c r="BR9" s="172"/>
      <c r="BS9" s="159">
        <f t="shared" si="20"/>
        <v>0</v>
      </c>
      <c r="BT9" s="173"/>
      <c r="BU9" s="27">
        <f t="shared" si="21"/>
        <v>0</v>
      </c>
      <c r="BV9" s="27">
        <f t="shared" si="22"/>
        <v>0</v>
      </c>
      <c r="BW9" s="27">
        <f t="shared" si="10"/>
        <v>0</v>
      </c>
      <c r="BX9" s="159"/>
      <c r="BY9" s="159"/>
      <c r="BZ9" s="27" t="e">
        <f>IF(MODE=1,BM9,#REF!)</f>
        <v>#REF!</v>
      </c>
      <c r="CA9" s="27" t="e">
        <f>IF(MODE=1,BU9,#REF!)</f>
        <v>#REF!</v>
      </c>
      <c r="CB9" s="27" t="e">
        <f>IF(MODE=1,BV9,#REF!)</f>
        <v>#REF!</v>
      </c>
      <c r="CC9" s="27" t="e">
        <f>IF(MODE=1,BW9,#REF!)</f>
        <v>#REF!</v>
      </c>
    </row>
    <row r="10" ht="13" spans="1:81">
      <c r="A10" s="51" t="s">
        <v>136</v>
      </c>
      <c r="B10" s="47">
        <f>Iout</f>
        <v>0.5</v>
      </c>
      <c r="C10" s="48" t="s">
        <v>18</v>
      </c>
      <c r="D10" s="49">
        <f>B10</f>
        <v>0.5</v>
      </c>
      <c r="E10" s="52" t="s">
        <v>761</v>
      </c>
      <c r="F10" s="44"/>
      <c r="G10" s="44"/>
      <c r="H10" s="22">
        <v>4</v>
      </c>
      <c r="I10" s="123">
        <f t="shared" si="0"/>
        <v>0.02</v>
      </c>
      <c r="J10" s="25"/>
      <c r="K10" s="25"/>
      <c r="L10" s="25"/>
      <c r="M10" s="25"/>
      <c r="N10" s="124"/>
      <c r="O10" s="27"/>
      <c r="P10" s="25"/>
      <c r="Q10" s="131"/>
      <c r="S10" s="132"/>
      <c r="T10" s="132"/>
      <c r="U10" s="132"/>
      <c r="AJ10" s="131"/>
      <c r="AZ10" s="92"/>
      <c r="BJ10" s="159"/>
      <c r="BK10" s="159"/>
      <c r="BL10" s="159"/>
      <c r="BO10" s="27"/>
      <c r="BP10" s="159"/>
      <c r="BQ10" s="171"/>
      <c r="BR10" s="172"/>
      <c r="BS10" s="159"/>
      <c r="BT10" s="173"/>
      <c r="BX10" s="159"/>
      <c r="BY10" s="159"/>
      <c r="BZ10" s="27"/>
      <c r="CA10" s="27"/>
      <c r="CB10" s="27"/>
      <c r="CC10" s="27"/>
    </row>
    <row r="11" ht="13" spans="1:81">
      <c r="A11" s="51" t="s">
        <v>438</v>
      </c>
      <c r="B11" s="53">
        <f>Vout/(Fsw/1000)*100000/16</f>
        <v>-281250</v>
      </c>
      <c r="C11" s="54" t="s">
        <v>762</v>
      </c>
      <c r="D11" s="55">
        <f>B11*1000</f>
        <v>-281250000</v>
      </c>
      <c r="E11" s="52"/>
      <c r="F11" s="44"/>
      <c r="G11" s="44"/>
      <c r="H11" s="22">
        <v>5</v>
      </c>
      <c r="I11" s="123">
        <f t="shared" si="0"/>
        <v>0.025</v>
      </c>
      <c r="J11" s="25"/>
      <c r="K11" s="25"/>
      <c r="L11" s="25"/>
      <c r="M11" s="25"/>
      <c r="N11" s="124"/>
      <c r="O11" s="27"/>
      <c r="P11" s="25"/>
      <c r="Q11" s="131"/>
      <c r="S11" s="132"/>
      <c r="T11" s="132"/>
      <c r="U11" s="132"/>
      <c r="AJ11" s="131"/>
      <c r="AZ11" s="92"/>
      <c r="BJ11" s="159"/>
      <c r="BK11" s="159"/>
      <c r="BL11" s="159"/>
      <c r="BO11" s="27"/>
      <c r="BP11" s="159"/>
      <c r="BQ11" s="171"/>
      <c r="BR11" s="172"/>
      <c r="BS11" s="159"/>
      <c r="BT11" s="173"/>
      <c r="BX11" s="159"/>
      <c r="BY11" s="159"/>
      <c r="BZ11" s="27"/>
      <c r="CA11" s="27"/>
      <c r="CB11" s="27"/>
      <c r="CC11" s="27"/>
    </row>
    <row r="12" ht="13" spans="1:81">
      <c r="A12" s="51" t="s">
        <v>763</v>
      </c>
      <c r="B12" s="47">
        <v>25</v>
      </c>
      <c r="C12" s="48" t="s">
        <v>59</v>
      </c>
      <c r="D12" s="49">
        <f>B12</f>
        <v>25</v>
      </c>
      <c r="E12" s="52" t="s">
        <v>764</v>
      </c>
      <c r="F12" s="44">
        <f>Turns_Ratio</f>
        <v>11</v>
      </c>
      <c r="H12" s="22">
        <v>6</v>
      </c>
      <c r="I12" s="123">
        <f t="shared" si="0"/>
        <v>0.03</v>
      </c>
      <c r="J12" s="25"/>
      <c r="K12" s="25"/>
      <c r="L12" s="25"/>
      <c r="M12" s="25"/>
      <c r="N12" s="124"/>
      <c r="O12" s="27"/>
      <c r="P12" s="25"/>
      <c r="Q12" s="131"/>
      <c r="S12" s="132"/>
      <c r="T12" s="132"/>
      <c r="U12" s="132"/>
      <c r="AJ12" s="131"/>
      <c r="AZ12" s="92"/>
      <c r="BJ12" s="159"/>
      <c r="BK12" s="159"/>
      <c r="BL12" s="159"/>
      <c r="BO12" s="27"/>
      <c r="BP12" s="159"/>
      <c r="BQ12" s="171"/>
      <c r="BR12" s="172"/>
      <c r="BS12" s="159"/>
      <c r="BT12" s="173"/>
      <c r="BX12" s="159"/>
      <c r="BY12" s="159"/>
      <c r="BZ12" s="27"/>
      <c r="CA12" s="27"/>
      <c r="CB12" s="27"/>
      <c r="CC12" s="27"/>
    </row>
    <row r="13" ht="13" spans="1:81">
      <c r="A13" s="56" t="s">
        <v>765</v>
      </c>
      <c r="B13" s="57">
        <v>5</v>
      </c>
      <c r="C13" s="48" t="s">
        <v>9</v>
      </c>
      <c r="D13" s="49">
        <f>B13</f>
        <v>5</v>
      </c>
      <c r="E13" s="52"/>
      <c r="F13" s="44"/>
      <c r="G13" s="44"/>
      <c r="H13" s="22">
        <v>7</v>
      </c>
      <c r="I13" s="123">
        <f t="shared" si="0"/>
        <v>0.035</v>
      </c>
      <c r="J13" s="25"/>
      <c r="K13" s="25"/>
      <c r="L13" s="25"/>
      <c r="M13" s="25"/>
      <c r="N13" s="124"/>
      <c r="O13" s="27"/>
      <c r="P13" s="25"/>
      <c r="Q13" s="131"/>
      <c r="S13" s="132"/>
      <c r="T13" s="132"/>
      <c r="U13" s="132"/>
      <c r="AJ13" s="131"/>
      <c r="AZ13" s="92"/>
      <c r="BJ13" s="159"/>
      <c r="BK13" s="159"/>
      <c r="BL13" s="159"/>
      <c r="BO13" s="27"/>
      <c r="BP13" s="159"/>
      <c r="BQ13" s="171"/>
      <c r="BR13" s="172"/>
      <c r="BS13" s="159"/>
      <c r="BT13" s="173"/>
      <c r="BX13" s="159"/>
      <c r="BY13" s="159"/>
      <c r="BZ13" s="27"/>
      <c r="CA13" s="27"/>
      <c r="CB13" s="27"/>
      <c r="CC13" s="27"/>
    </row>
    <row r="14" ht="13" spans="6:81">
      <c r="F14" s="44"/>
      <c r="G14" s="44"/>
      <c r="H14" s="22">
        <v>8</v>
      </c>
      <c r="I14" s="123">
        <f t="shared" si="0"/>
        <v>0.04</v>
      </c>
      <c r="J14" s="25"/>
      <c r="K14" s="25"/>
      <c r="L14" s="25"/>
      <c r="M14" s="25"/>
      <c r="N14" s="124"/>
      <c r="O14" s="27"/>
      <c r="P14" s="25"/>
      <c r="Q14" s="131"/>
      <c r="S14" s="132"/>
      <c r="T14" s="132"/>
      <c r="U14" s="132"/>
      <c r="AJ14" s="131"/>
      <c r="AZ14" s="92"/>
      <c r="BJ14" s="159"/>
      <c r="BK14" s="159"/>
      <c r="BL14" s="159"/>
      <c r="BO14" s="27"/>
      <c r="BP14" s="159"/>
      <c r="BQ14" s="171"/>
      <c r="BR14" s="172"/>
      <c r="BS14" s="159"/>
      <c r="BT14" s="173"/>
      <c r="BX14" s="159"/>
      <c r="BY14" s="159"/>
      <c r="BZ14" s="27"/>
      <c r="CA14" s="27"/>
      <c r="CB14" s="27"/>
      <c r="CC14" s="27"/>
    </row>
    <row r="15" ht="13" spans="1:81">
      <c r="A15" s="58" t="s">
        <v>766</v>
      </c>
      <c r="B15" s="35"/>
      <c r="C15" s="35"/>
      <c r="D15" s="35"/>
      <c r="E15" s="36"/>
      <c r="F15" s="44"/>
      <c r="G15" s="44"/>
      <c r="H15" s="22">
        <v>9</v>
      </c>
      <c r="I15" s="123">
        <f t="shared" si="0"/>
        <v>0.045</v>
      </c>
      <c r="J15" s="25"/>
      <c r="K15" s="25"/>
      <c r="L15" s="25"/>
      <c r="M15" s="25"/>
      <c r="N15" s="124"/>
      <c r="O15" s="27"/>
      <c r="P15" s="25"/>
      <c r="Q15" s="131"/>
      <c r="S15" s="132"/>
      <c r="T15" s="132"/>
      <c r="U15" s="132"/>
      <c r="AJ15" s="131"/>
      <c r="AZ15" s="92"/>
      <c r="BJ15" s="159"/>
      <c r="BK15" s="159"/>
      <c r="BL15" s="159"/>
      <c r="BO15" s="27"/>
      <c r="BP15" s="159"/>
      <c r="BQ15" s="171"/>
      <c r="BR15" s="172"/>
      <c r="BS15" s="159"/>
      <c r="BT15" s="173"/>
      <c r="BX15" s="159"/>
      <c r="BY15" s="159"/>
      <c r="BZ15" s="27"/>
      <c r="CA15" s="27"/>
      <c r="CB15" s="27"/>
      <c r="CC15" s="27"/>
    </row>
    <row r="16" ht="13" spans="1:81">
      <c r="A16" s="59" t="s">
        <v>400</v>
      </c>
      <c r="B16" s="40" t="s">
        <v>74</v>
      </c>
      <c r="C16" s="60" t="s">
        <v>415</v>
      </c>
      <c r="D16" s="61" t="s">
        <v>760</v>
      </c>
      <c r="E16" s="43" t="s">
        <v>75</v>
      </c>
      <c r="F16" s="44"/>
      <c r="G16" s="44"/>
      <c r="H16" s="22">
        <v>10</v>
      </c>
      <c r="I16" s="123">
        <f t="shared" si="0"/>
        <v>0.05</v>
      </c>
      <c r="J16" s="25"/>
      <c r="K16" s="25"/>
      <c r="L16" s="25"/>
      <c r="M16" s="25"/>
      <c r="N16" s="124"/>
      <c r="O16" s="27"/>
      <c r="P16" s="25"/>
      <c r="Q16" s="131"/>
      <c r="S16" s="132"/>
      <c r="T16" s="132"/>
      <c r="U16" s="132"/>
      <c r="AJ16" s="131"/>
      <c r="AZ16" s="92"/>
      <c r="BJ16" s="159"/>
      <c r="BK16" s="159"/>
      <c r="BL16" s="159"/>
      <c r="BO16" s="27"/>
      <c r="BP16" s="159"/>
      <c r="BQ16" s="171"/>
      <c r="BR16" s="172"/>
      <c r="BS16" s="159"/>
      <c r="BT16" s="173"/>
      <c r="BX16" s="159"/>
      <c r="BY16" s="159"/>
      <c r="BZ16" s="27"/>
      <c r="CA16" s="27"/>
      <c r="CB16" s="27"/>
      <c r="CC16" s="27"/>
    </row>
    <row r="17" ht="13" spans="1:81">
      <c r="A17" s="62" t="s">
        <v>767</v>
      </c>
      <c r="B17" s="63">
        <f>Vout/Vin/Fsw*1000000</f>
        <v>-3750</v>
      </c>
      <c r="C17" s="64" t="s">
        <v>328</v>
      </c>
      <c r="D17" s="65">
        <f>B17/1000000</f>
        <v>-0.00375</v>
      </c>
      <c r="E17" s="52" t="s">
        <v>768</v>
      </c>
      <c r="F17" s="44"/>
      <c r="G17" s="44"/>
      <c r="H17" s="22">
        <v>11</v>
      </c>
      <c r="I17" s="123">
        <f t="shared" si="0"/>
        <v>0.055</v>
      </c>
      <c r="J17" s="25"/>
      <c r="K17" s="25"/>
      <c r="L17" s="25"/>
      <c r="M17" s="25"/>
      <c r="N17" s="124"/>
      <c r="O17" s="27"/>
      <c r="P17" s="25"/>
      <c r="Q17" s="131"/>
      <c r="S17" s="132"/>
      <c r="T17" s="132"/>
      <c r="U17" s="132"/>
      <c r="AJ17" s="131"/>
      <c r="AZ17" s="92"/>
      <c r="BJ17" s="159"/>
      <c r="BK17" s="159"/>
      <c r="BL17" s="159"/>
      <c r="BO17" s="27"/>
      <c r="BP17" s="159"/>
      <c r="BQ17" s="171"/>
      <c r="BR17" s="172"/>
      <c r="BS17" s="159"/>
      <c r="BT17" s="173"/>
      <c r="BX17" s="159"/>
      <c r="BY17" s="159"/>
      <c r="BZ17" s="27"/>
      <c r="CA17" s="27"/>
      <c r="CB17" s="27"/>
      <c r="CC17" s="27"/>
    </row>
    <row r="18" ht="13" spans="1:81">
      <c r="A18" s="62" t="s">
        <v>769</v>
      </c>
      <c r="B18" s="63"/>
      <c r="C18" s="64" t="s">
        <v>328</v>
      </c>
      <c r="D18" s="66">
        <f>B18/1000000</f>
        <v>0</v>
      </c>
      <c r="E18" s="48" t="s">
        <v>770</v>
      </c>
      <c r="F18" s="44"/>
      <c r="G18" s="44"/>
      <c r="H18" s="22">
        <v>12</v>
      </c>
      <c r="I18" s="123">
        <f t="shared" si="0"/>
        <v>0.06</v>
      </c>
      <c r="J18" s="25"/>
      <c r="K18" s="25"/>
      <c r="L18" s="25"/>
      <c r="M18" s="25"/>
      <c r="N18" s="124"/>
      <c r="O18" s="27"/>
      <c r="P18" s="25"/>
      <c r="Q18" s="131"/>
      <c r="S18" s="132"/>
      <c r="T18" s="132"/>
      <c r="U18" s="132"/>
      <c r="AJ18" s="131"/>
      <c r="AZ18" s="92"/>
      <c r="BJ18" s="159"/>
      <c r="BK18" s="159"/>
      <c r="BL18" s="159"/>
      <c r="BO18" s="27"/>
      <c r="BP18" s="159"/>
      <c r="BQ18" s="171"/>
      <c r="BR18" s="172"/>
      <c r="BS18" s="159"/>
      <c r="BT18" s="173"/>
      <c r="BX18" s="159"/>
      <c r="BY18" s="159"/>
      <c r="BZ18" s="27"/>
      <c r="CA18" s="27"/>
      <c r="CB18" s="27"/>
      <c r="CC18" s="27"/>
    </row>
    <row r="19" ht="16" spans="1:81">
      <c r="A19" s="56" t="s">
        <v>771</v>
      </c>
      <c r="B19" s="67">
        <f>(Vin-Vout-(Rdcr_pri+Rdson)*Iout)/L*OnTime*1000</f>
        <v>929325</v>
      </c>
      <c r="C19" s="52" t="s">
        <v>347</v>
      </c>
      <c r="D19" s="68">
        <f>B19/1000</f>
        <v>929.325</v>
      </c>
      <c r="E19" s="48" t="s">
        <v>772</v>
      </c>
      <c r="F19" s="44"/>
      <c r="G19" s="44"/>
      <c r="H19" s="22">
        <v>13</v>
      </c>
      <c r="I19" s="123">
        <f t="shared" si="0"/>
        <v>0.065</v>
      </c>
      <c r="J19" s="25"/>
      <c r="K19" s="25"/>
      <c r="L19" s="25"/>
      <c r="M19" s="25"/>
      <c r="N19" s="124"/>
      <c r="O19" s="27"/>
      <c r="P19" s="25"/>
      <c r="Q19" s="131"/>
      <c r="S19" s="132"/>
      <c r="T19" s="132"/>
      <c r="U19" s="132"/>
      <c r="AJ19" s="131"/>
      <c r="AZ19" s="92"/>
      <c r="BJ19" s="159"/>
      <c r="BK19" s="159"/>
      <c r="BL19" s="159"/>
      <c r="BO19" s="27"/>
      <c r="BP19" s="159"/>
      <c r="BQ19" s="171"/>
      <c r="BR19" s="172"/>
      <c r="BS19" s="159"/>
      <c r="BT19" s="173"/>
      <c r="BX19" s="159"/>
      <c r="BY19" s="159"/>
      <c r="BZ19" s="27"/>
      <c r="CA19" s="27"/>
      <c r="CB19" s="27"/>
      <c r="CC19" s="27"/>
    </row>
    <row r="20" ht="13" spans="1:81">
      <c r="A20" s="62" t="s">
        <v>773</v>
      </c>
      <c r="B20" s="69">
        <f>'LM(2)518x PSR flyback converter'!E13</f>
        <v>-0.4</v>
      </c>
      <c r="C20" s="48" t="s">
        <v>488</v>
      </c>
      <c r="D20" s="55">
        <f>B20*1000</f>
        <v>-400</v>
      </c>
      <c r="E20" s="52" t="s">
        <v>774</v>
      </c>
      <c r="F20" s="70"/>
      <c r="G20" s="44"/>
      <c r="H20" s="22">
        <v>14</v>
      </c>
      <c r="I20" s="123">
        <f t="shared" si="0"/>
        <v>0.07</v>
      </c>
      <c r="J20" s="25"/>
      <c r="K20" s="25"/>
      <c r="L20" s="25"/>
      <c r="M20" s="25"/>
      <c r="N20" s="124"/>
      <c r="O20" s="27"/>
      <c r="P20" s="25"/>
      <c r="Q20" s="131"/>
      <c r="S20" s="132"/>
      <c r="T20" s="132"/>
      <c r="U20" s="132"/>
      <c r="AJ20" s="131"/>
      <c r="AZ20" s="92"/>
      <c r="BJ20" s="159"/>
      <c r="BK20" s="159"/>
      <c r="BL20" s="159"/>
      <c r="BO20" s="27"/>
      <c r="BP20" s="159"/>
      <c r="BQ20" s="171"/>
      <c r="BR20" s="172"/>
      <c r="BS20" s="159"/>
      <c r="BT20" s="173"/>
      <c r="BX20" s="159"/>
      <c r="BY20" s="159"/>
      <c r="BZ20" s="27"/>
      <c r="CA20" s="27"/>
      <c r="CB20" s="27"/>
      <c r="CC20" s="27"/>
    </row>
    <row r="21" ht="13" spans="1:81">
      <c r="A21" s="62" t="s">
        <v>775</v>
      </c>
      <c r="B21" s="67">
        <v>350</v>
      </c>
      <c r="C21" s="52" t="s">
        <v>488</v>
      </c>
      <c r="D21" s="55">
        <f>B21*1000</f>
        <v>350000</v>
      </c>
      <c r="E21" s="52" t="s">
        <v>776</v>
      </c>
      <c r="F21" s="44"/>
      <c r="G21" s="44"/>
      <c r="H21" s="22">
        <v>15</v>
      </c>
      <c r="I21" s="123">
        <f t="shared" si="0"/>
        <v>0.075</v>
      </c>
      <c r="J21" s="25"/>
      <c r="K21" s="25"/>
      <c r="L21" s="25"/>
      <c r="M21" s="25"/>
      <c r="N21" s="124"/>
      <c r="O21" s="27"/>
      <c r="P21" s="25"/>
      <c r="Q21" s="131"/>
      <c r="S21" s="132"/>
      <c r="T21" s="132"/>
      <c r="U21" s="132"/>
      <c r="AJ21" s="131"/>
      <c r="AZ21" s="92"/>
      <c r="BJ21" s="159"/>
      <c r="BK21" s="159"/>
      <c r="BL21" s="159"/>
      <c r="BO21" s="27"/>
      <c r="BP21" s="159"/>
      <c r="BQ21" s="171"/>
      <c r="BR21" s="172"/>
      <c r="BS21" s="159"/>
      <c r="BT21" s="173"/>
      <c r="BX21" s="159"/>
      <c r="BY21" s="159"/>
      <c r="BZ21" s="27"/>
      <c r="CA21" s="27"/>
      <c r="CB21" s="27"/>
      <c r="CC21" s="27"/>
    </row>
    <row r="22" ht="13" spans="1:81">
      <c r="A22" s="71" t="s">
        <v>777</v>
      </c>
      <c r="B22" s="72">
        <v>10</v>
      </c>
      <c r="C22" s="48" t="s">
        <v>307</v>
      </c>
      <c r="D22" s="73">
        <f>B22/1000000000</f>
        <v>1e-8</v>
      </c>
      <c r="E22" s="50" t="s">
        <v>778</v>
      </c>
      <c r="F22" s="44"/>
      <c r="G22" s="44"/>
      <c r="H22" s="22">
        <v>16</v>
      </c>
      <c r="I22" s="123">
        <f t="shared" si="0"/>
        <v>0.08</v>
      </c>
      <c r="J22" s="25"/>
      <c r="K22" s="25"/>
      <c r="L22" s="25"/>
      <c r="M22" s="25"/>
      <c r="N22" s="124"/>
      <c r="O22" s="27"/>
      <c r="P22" s="25"/>
      <c r="Q22" s="131"/>
      <c r="S22" s="132"/>
      <c r="T22" s="132"/>
      <c r="U22" s="132"/>
      <c r="AJ22" s="131"/>
      <c r="AZ22" s="92"/>
      <c r="BJ22" s="159"/>
      <c r="BK22" s="159"/>
      <c r="BL22" s="159"/>
      <c r="BO22" s="27"/>
      <c r="BP22" s="159"/>
      <c r="BQ22" s="171"/>
      <c r="BR22" s="172"/>
      <c r="BS22" s="159"/>
      <c r="BT22" s="173"/>
      <c r="BX22" s="159"/>
      <c r="BY22" s="159"/>
      <c r="BZ22" s="27"/>
      <c r="CA22" s="27"/>
      <c r="CB22" s="27"/>
      <c r="CC22" s="27"/>
    </row>
    <row r="23" ht="13" spans="1:81">
      <c r="A23" s="71" t="s">
        <v>779</v>
      </c>
      <c r="B23" s="72">
        <v>10</v>
      </c>
      <c r="C23" s="48" t="s">
        <v>307</v>
      </c>
      <c r="D23" s="73">
        <f>B23/1000000000</f>
        <v>1e-8</v>
      </c>
      <c r="E23" s="50" t="s">
        <v>780</v>
      </c>
      <c r="F23" s="44"/>
      <c r="G23" s="44"/>
      <c r="H23" s="22">
        <v>17</v>
      </c>
      <c r="I23" s="123">
        <f t="shared" si="0"/>
        <v>0.085</v>
      </c>
      <c r="J23" s="25"/>
      <c r="K23" s="25"/>
      <c r="L23" s="25"/>
      <c r="M23" s="25"/>
      <c r="N23" s="124"/>
      <c r="O23" s="27"/>
      <c r="P23" s="25"/>
      <c r="Q23" s="131"/>
      <c r="S23" s="132"/>
      <c r="T23" s="132"/>
      <c r="U23" s="132"/>
      <c r="AJ23" s="131"/>
      <c r="AZ23" s="92"/>
      <c r="BJ23" s="159"/>
      <c r="BK23" s="159"/>
      <c r="BL23" s="159"/>
      <c r="BO23" s="27"/>
      <c r="BP23" s="159"/>
      <c r="BQ23" s="171"/>
      <c r="BR23" s="172"/>
      <c r="BS23" s="159"/>
      <c r="BT23" s="173"/>
      <c r="BX23" s="159"/>
      <c r="BY23" s="159"/>
      <c r="BZ23" s="27"/>
      <c r="CA23" s="27"/>
      <c r="CB23" s="27"/>
      <c r="CC23" s="27"/>
    </row>
    <row r="24" ht="13" spans="1:81">
      <c r="A24" s="36"/>
      <c r="B24" s="36"/>
      <c r="C24" s="36"/>
      <c r="D24" s="36"/>
      <c r="E24" s="36"/>
      <c r="F24" s="44"/>
      <c r="G24" s="44"/>
      <c r="H24" s="22">
        <v>18</v>
      </c>
      <c r="I24" s="123">
        <f t="shared" si="0"/>
        <v>0.09</v>
      </c>
      <c r="J24" s="25"/>
      <c r="K24" s="25"/>
      <c r="L24" s="25"/>
      <c r="M24" s="25"/>
      <c r="N24" s="124"/>
      <c r="O24" s="27"/>
      <c r="P24" s="25"/>
      <c r="Q24" s="131"/>
      <c r="S24" s="132"/>
      <c r="T24" s="132"/>
      <c r="U24" s="132"/>
      <c r="AJ24" s="131"/>
      <c r="AZ24" s="92"/>
      <c r="BJ24" s="159"/>
      <c r="BK24" s="159"/>
      <c r="BL24" s="159"/>
      <c r="BO24" s="27"/>
      <c r="BP24" s="159"/>
      <c r="BQ24" s="171"/>
      <c r="BR24" s="172"/>
      <c r="BS24" s="159"/>
      <c r="BT24" s="173"/>
      <c r="BX24" s="159"/>
      <c r="BY24" s="159"/>
      <c r="BZ24" s="27"/>
      <c r="CA24" s="27"/>
      <c r="CB24" s="27"/>
      <c r="CC24" s="27"/>
    </row>
    <row r="25" ht="13" spans="1:81">
      <c r="A25" s="59" t="s">
        <v>403</v>
      </c>
      <c r="B25" s="41" t="s">
        <v>759</v>
      </c>
      <c r="C25" s="60" t="s">
        <v>415</v>
      </c>
      <c r="D25" s="61" t="s">
        <v>760</v>
      </c>
      <c r="E25" s="43" t="s">
        <v>75</v>
      </c>
      <c r="F25" s="44"/>
      <c r="G25" s="44"/>
      <c r="H25" s="22">
        <v>19</v>
      </c>
      <c r="I25" s="123">
        <f t="shared" si="0"/>
        <v>0.095</v>
      </c>
      <c r="J25" s="25"/>
      <c r="K25" s="25"/>
      <c r="L25" s="25"/>
      <c r="M25" s="25"/>
      <c r="N25" s="124"/>
      <c r="O25" s="27"/>
      <c r="P25" s="25"/>
      <c r="Q25" s="131"/>
      <c r="S25" s="132"/>
      <c r="T25" s="132"/>
      <c r="U25" s="132"/>
      <c r="AJ25" s="131"/>
      <c r="AZ25" s="92"/>
      <c r="BJ25" s="159"/>
      <c r="BK25" s="159"/>
      <c r="BL25" s="159"/>
      <c r="BO25" s="27"/>
      <c r="BP25" s="159"/>
      <c r="BQ25" s="171"/>
      <c r="BR25" s="172"/>
      <c r="BS25" s="159"/>
      <c r="BT25" s="173"/>
      <c r="BX25" s="159"/>
      <c r="BY25" s="159"/>
      <c r="BZ25" s="27"/>
      <c r="CA25" s="27"/>
      <c r="CB25" s="27"/>
      <c r="CC25" s="27"/>
    </row>
    <row r="26" ht="13.75" spans="1:81">
      <c r="A26" s="74" t="s">
        <v>781</v>
      </c>
      <c r="B26" s="52">
        <f>'LM(2)518x PSR flyback converter'!L7</f>
        <v>25</v>
      </c>
      <c r="C26" s="64" t="s">
        <v>11</v>
      </c>
      <c r="D26" s="49">
        <f>B26/1000000</f>
        <v>2.5e-5</v>
      </c>
      <c r="E26" s="52" t="s">
        <v>782</v>
      </c>
      <c r="F26" s="75"/>
      <c r="G26" s="44"/>
      <c r="H26" s="22">
        <v>20</v>
      </c>
      <c r="I26" s="123">
        <f t="shared" si="0"/>
        <v>0.1</v>
      </c>
      <c r="J26" s="25"/>
      <c r="K26" s="25"/>
      <c r="L26" s="25"/>
      <c r="M26" s="25"/>
      <c r="N26" s="124"/>
      <c r="O26" s="27"/>
      <c r="P26" s="25"/>
      <c r="Q26" s="131"/>
      <c r="S26" s="132"/>
      <c r="T26" s="132"/>
      <c r="U26" s="132"/>
      <c r="AJ26" s="131"/>
      <c r="AZ26" s="92"/>
      <c r="BJ26" s="159"/>
      <c r="BK26" s="159"/>
      <c r="BL26" s="159"/>
      <c r="BO26" s="27"/>
      <c r="BP26" s="159"/>
      <c r="BQ26" s="171"/>
      <c r="BR26" s="172"/>
      <c r="BS26" s="159"/>
      <c r="BT26" s="173"/>
      <c r="BX26" s="159"/>
      <c r="BY26" s="159"/>
      <c r="BZ26" s="27"/>
      <c r="CA26" s="27"/>
      <c r="CB26" s="27"/>
      <c r="CC26" s="27"/>
    </row>
    <row r="27" ht="13.75" spans="1:81">
      <c r="A27" s="76" t="s">
        <v>296</v>
      </c>
      <c r="B27" s="77">
        <f>'LM(2)518x PSR flyback converter'!L8</f>
        <v>41</v>
      </c>
      <c r="C27" s="78" t="s">
        <v>323</v>
      </c>
      <c r="D27" s="49">
        <f>B27/1000</f>
        <v>0.041</v>
      </c>
      <c r="E27" s="52" t="s">
        <v>783</v>
      </c>
      <c r="F27" s="44"/>
      <c r="G27" s="44"/>
      <c r="H27" s="22">
        <v>21</v>
      </c>
      <c r="I27" s="123">
        <f t="shared" si="0"/>
        <v>0.105</v>
      </c>
      <c r="J27" s="25"/>
      <c r="K27" s="25"/>
      <c r="L27" s="25"/>
      <c r="M27" s="25"/>
      <c r="N27" s="124"/>
      <c r="O27" s="27"/>
      <c r="P27" s="25"/>
      <c r="Q27" s="131"/>
      <c r="S27" s="132"/>
      <c r="T27" s="132"/>
      <c r="U27" s="132"/>
      <c r="AJ27" s="131"/>
      <c r="AZ27" s="92"/>
      <c r="BJ27" s="159"/>
      <c r="BK27" s="159"/>
      <c r="BL27" s="159"/>
      <c r="BO27" s="27"/>
      <c r="BP27" s="159"/>
      <c r="BQ27" s="171"/>
      <c r="BR27" s="172"/>
      <c r="BS27" s="159"/>
      <c r="BT27" s="173"/>
      <c r="BX27" s="159"/>
      <c r="BY27" s="159"/>
      <c r="BZ27" s="27"/>
      <c r="CA27" s="27"/>
      <c r="CB27" s="27"/>
      <c r="CC27" s="27"/>
    </row>
    <row r="28" ht="13.75" spans="1:81">
      <c r="A28" s="76" t="s">
        <v>298</v>
      </c>
      <c r="B28" s="77">
        <f>'LM(2)518x PSR flyback converter'!L9</f>
        <v>100</v>
      </c>
      <c r="C28" s="78" t="s">
        <v>323</v>
      </c>
      <c r="D28" s="49">
        <f>B28/1000</f>
        <v>0.1</v>
      </c>
      <c r="E28" s="52" t="s">
        <v>784</v>
      </c>
      <c r="F28" s="44"/>
      <c r="G28" s="44"/>
      <c r="H28" s="22">
        <v>22</v>
      </c>
      <c r="I28" s="123">
        <f t="shared" si="0"/>
        <v>0.11</v>
      </c>
      <c r="J28" s="25"/>
      <c r="K28" s="25"/>
      <c r="L28" s="25"/>
      <c r="M28" s="25"/>
      <c r="N28" s="124"/>
      <c r="O28" s="27"/>
      <c r="P28" s="25"/>
      <c r="Q28" s="131"/>
      <c r="S28" s="132"/>
      <c r="T28" s="132"/>
      <c r="U28" s="132"/>
      <c r="AJ28" s="131"/>
      <c r="AZ28" s="92"/>
      <c r="BJ28" s="159"/>
      <c r="BK28" s="159"/>
      <c r="BL28" s="159"/>
      <c r="BO28" s="27"/>
      <c r="BP28" s="159"/>
      <c r="BQ28" s="171"/>
      <c r="BR28" s="172"/>
      <c r="BS28" s="159"/>
      <c r="BT28" s="173"/>
      <c r="BX28" s="159"/>
      <c r="BY28" s="159"/>
      <c r="BZ28" s="27"/>
      <c r="CA28" s="27"/>
      <c r="CB28" s="27"/>
      <c r="CC28" s="27"/>
    </row>
    <row r="29" ht="13.75" spans="1:81">
      <c r="A29" s="79" t="s">
        <v>785</v>
      </c>
      <c r="B29" s="80">
        <v>0</v>
      </c>
      <c r="C29" s="78"/>
      <c r="D29" s="81">
        <f>B29</f>
        <v>0</v>
      </c>
      <c r="E29" s="82" t="s">
        <v>786</v>
      </c>
      <c r="F29" s="44"/>
      <c r="G29" s="44"/>
      <c r="H29" s="22">
        <v>23</v>
      </c>
      <c r="I29" s="123">
        <f t="shared" si="0"/>
        <v>0.115</v>
      </c>
      <c r="J29" s="25"/>
      <c r="K29" s="25"/>
      <c r="L29" s="25"/>
      <c r="M29" s="25"/>
      <c r="N29" s="124"/>
      <c r="O29" s="27"/>
      <c r="P29" s="25"/>
      <c r="Q29" s="131"/>
      <c r="S29" s="132"/>
      <c r="T29" s="132"/>
      <c r="U29" s="132"/>
      <c r="AJ29" s="131"/>
      <c r="AZ29" s="92"/>
      <c r="BJ29" s="159"/>
      <c r="BK29" s="159"/>
      <c r="BL29" s="159"/>
      <c r="BO29" s="27"/>
      <c r="BP29" s="159"/>
      <c r="BQ29" s="171"/>
      <c r="BR29" s="172"/>
      <c r="BS29" s="159"/>
      <c r="BT29" s="173"/>
      <c r="BX29" s="159"/>
      <c r="BY29" s="159"/>
      <c r="BZ29" s="27"/>
      <c r="CA29" s="27"/>
      <c r="CB29" s="27"/>
      <c r="CC29" s="27"/>
    </row>
    <row r="30" ht="13.75" spans="1:81">
      <c r="A30" s="83" t="s">
        <v>350</v>
      </c>
      <c r="B30" s="77">
        <f>'LM(2)518x PSR flyback converter'!E18</f>
        <v>100</v>
      </c>
      <c r="C30" s="84" t="s">
        <v>25</v>
      </c>
      <c r="D30" s="85">
        <f>B30/1000000</f>
        <v>0.0001</v>
      </c>
      <c r="E30" s="86" t="s">
        <v>351</v>
      </c>
      <c r="F30" s="44"/>
      <c r="G30" s="44"/>
      <c r="H30" s="22">
        <v>24</v>
      </c>
      <c r="I30" s="123">
        <f t="shared" si="0"/>
        <v>0.12</v>
      </c>
      <c r="J30" s="25"/>
      <c r="K30" s="25"/>
      <c r="L30" s="25"/>
      <c r="M30" s="25"/>
      <c r="N30" s="124"/>
      <c r="O30" s="27"/>
      <c r="P30" s="25"/>
      <c r="Q30" s="131"/>
      <c r="S30" s="132"/>
      <c r="T30" s="132"/>
      <c r="U30" s="132"/>
      <c r="AJ30" s="131"/>
      <c r="AZ30" s="92"/>
      <c r="BJ30" s="159"/>
      <c r="BK30" s="159"/>
      <c r="BL30" s="159"/>
      <c r="BO30" s="27"/>
      <c r="BP30" s="159"/>
      <c r="BQ30" s="171"/>
      <c r="BR30" s="172"/>
      <c r="BS30" s="159"/>
      <c r="BT30" s="173"/>
      <c r="BX30" s="159"/>
      <c r="BY30" s="159"/>
      <c r="BZ30" s="27"/>
      <c r="CA30" s="27"/>
      <c r="CB30" s="27"/>
      <c r="CC30" s="27"/>
    </row>
    <row r="31" ht="13.75" spans="1:81">
      <c r="A31" s="79" t="s">
        <v>787</v>
      </c>
      <c r="B31" s="77">
        <f>'LM(2)518x PSR flyback converter'!E19</f>
        <v>3</v>
      </c>
      <c r="C31" s="78" t="s">
        <v>323</v>
      </c>
      <c r="D31" s="49">
        <f>B31/1000</f>
        <v>0.003</v>
      </c>
      <c r="E31" s="52" t="s">
        <v>788</v>
      </c>
      <c r="F31" s="44"/>
      <c r="G31" s="44"/>
      <c r="H31" s="22">
        <v>25</v>
      </c>
      <c r="I31" s="123">
        <f t="shared" si="0"/>
        <v>0.125</v>
      </c>
      <c r="J31" s="25"/>
      <c r="K31" s="25"/>
      <c r="L31" s="25"/>
      <c r="M31" s="25"/>
      <c r="N31" s="124"/>
      <c r="O31" s="27"/>
      <c r="P31" s="25"/>
      <c r="Q31" s="131"/>
      <c r="S31" s="132"/>
      <c r="T31" s="132"/>
      <c r="U31" s="132"/>
      <c r="AJ31" s="131"/>
      <c r="AZ31" s="92"/>
      <c r="BJ31" s="159"/>
      <c r="BK31" s="159"/>
      <c r="BL31" s="159"/>
      <c r="BO31" s="27"/>
      <c r="BP31" s="159"/>
      <c r="BQ31" s="171"/>
      <c r="BR31" s="172"/>
      <c r="BS31" s="159"/>
      <c r="BT31" s="173"/>
      <c r="BX31" s="159"/>
      <c r="BY31" s="159"/>
      <c r="BZ31" s="27"/>
      <c r="CA31" s="27"/>
      <c r="CB31" s="27"/>
      <c r="CC31" s="27"/>
    </row>
    <row r="32" ht="13.75" spans="1:81">
      <c r="A32" s="74" t="s">
        <v>320</v>
      </c>
      <c r="B32" s="87">
        <f>'LM(2)518x PSR flyback converter'!E22</f>
        <v>22</v>
      </c>
      <c r="C32" s="64" t="s">
        <v>25</v>
      </c>
      <c r="D32" s="65">
        <f>B32/1000000</f>
        <v>2.2e-5</v>
      </c>
      <c r="E32" s="52" t="s">
        <v>789</v>
      </c>
      <c r="F32" s="44"/>
      <c r="G32" s="44"/>
      <c r="H32" s="22">
        <v>26</v>
      </c>
      <c r="I32" s="123">
        <f t="shared" si="0"/>
        <v>0.13</v>
      </c>
      <c r="J32" s="25"/>
      <c r="K32" s="25"/>
      <c r="L32" s="25"/>
      <c r="M32" s="25"/>
      <c r="N32" s="124"/>
      <c r="O32" s="27"/>
      <c r="P32" s="25"/>
      <c r="Q32" s="131"/>
      <c r="S32" s="132"/>
      <c r="T32" s="132"/>
      <c r="U32" s="132"/>
      <c r="AJ32" s="131"/>
      <c r="AZ32" s="92"/>
      <c r="BJ32" s="159"/>
      <c r="BK32" s="159"/>
      <c r="BL32" s="159"/>
      <c r="BO32" s="27"/>
      <c r="BP32" s="159"/>
      <c r="BQ32" s="171"/>
      <c r="BR32" s="172"/>
      <c r="BS32" s="159"/>
      <c r="BT32" s="173"/>
      <c r="BX32" s="159"/>
      <c r="BY32" s="159"/>
      <c r="BZ32" s="27"/>
      <c r="CA32" s="27"/>
      <c r="CB32" s="27"/>
      <c r="CC32" s="27"/>
    </row>
    <row r="33" ht="13" spans="1:81">
      <c r="A33" s="79" t="s">
        <v>790</v>
      </c>
      <c r="B33" s="87">
        <f>'LM(2)518x PSR flyback converter'!E23</f>
        <v>3</v>
      </c>
      <c r="C33" s="78" t="s">
        <v>323</v>
      </c>
      <c r="D33" s="49">
        <f>B33/1000</f>
        <v>0.003</v>
      </c>
      <c r="E33" s="52" t="s">
        <v>791</v>
      </c>
      <c r="F33" s="44"/>
      <c r="G33" s="44"/>
      <c r="H33" s="22">
        <v>27</v>
      </c>
      <c r="I33" s="123">
        <f t="shared" si="0"/>
        <v>0.135</v>
      </c>
      <c r="J33" s="25"/>
      <c r="K33" s="25"/>
      <c r="L33" s="25"/>
      <c r="M33" s="25"/>
      <c r="N33" s="124"/>
      <c r="O33" s="27"/>
      <c r="P33" s="25"/>
      <c r="Q33" s="131"/>
      <c r="S33" s="132"/>
      <c r="T33" s="132"/>
      <c r="U33" s="132"/>
      <c r="AJ33" s="131"/>
      <c r="AZ33" s="92"/>
      <c r="BJ33" s="159"/>
      <c r="BK33" s="159"/>
      <c r="BL33" s="159"/>
      <c r="BO33" s="27"/>
      <c r="BP33" s="159"/>
      <c r="BQ33" s="171"/>
      <c r="BR33" s="172"/>
      <c r="BS33" s="159"/>
      <c r="BT33" s="173"/>
      <c r="BX33" s="159"/>
      <c r="BY33" s="159"/>
      <c r="BZ33" s="27"/>
      <c r="CA33" s="27"/>
      <c r="CB33" s="27"/>
      <c r="CC33" s="27"/>
    </row>
    <row r="34" ht="13" spans="1:81">
      <c r="A34" s="88" t="s">
        <v>792</v>
      </c>
      <c r="B34" s="41"/>
      <c r="C34" s="88" t="s">
        <v>415</v>
      </c>
      <c r="D34" s="89" t="s">
        <v>760</v>
      </c>
      <c r="E34" s="90" t="s">
        <v>75</v>
      </c>
      <c r="F34" s="44"/>
      <c r="G34" s="44"/>
      <c r="H34" s="22">
        <v>28</v>
      </c>
      <c r="I34" s="123">
        <f t="shared" si="0"/>
        <v>0.14</v>
      </c>
      <c r="J34" s="25"/>
      <c r="K34" s="25"/>
      <c r="L34" s="25"/>
      <c r="M34" s="25"/>
      <c r="N34" s="124"/>
      <c r="O34" s="27"/>
      <c r="P34" s="25"/>
      <c r="Q34" s="131"/>
      <c r="S34" s="132"/>
      <c r="T34" s="132"/>
      <c r="U34" s="132"/>
      <c r="AJ34" s="131"/>
      <c r="AZ34" s="92"/>
      <c r="BJ34" s="159"/>
      <c r="BK34" s="159"/>
      <c r="BL34" s="159"/>
      <c r="BO34" s="27"/>
      <c r="BP34" s="159"/>
      <c r="BQ34" s="171"/>
      <c r="BR34" s="172"/>
      <c r="BS34" s="159"/>
      <c r="BT34" s="173"/>
      <c r="BX34" s="159"/>
      <c r="BY34" s="159"/>
      <c r="BZ34" s="27"/>
      <c r="CA34" s="27"/>
      <c r="CB34" s="27"/>
      <c r="CC34" s="27"/>
    </row>
    <row r="35" ht="13" spans="1:81">
      <c r="A35" s="76" t="s">
        <v>793</v>
      </c>
      <c r="B35" s="91">
        <f>CHOOSE(VARIANT,1.5,0.75,1.5,2.5,4.1)</f>
        <v>1.5</v>
      </c>
      <c r="C35" s="64" t="s">
        <v>18</v>
      </c>
      <c r="D35" s="92">
        <f>B35</f>
        <v>1.5</v>
      </c>
      <c r="E35" s="50" t="s">
        <v>794</v>
      </c>
      <c r="F35" s="44"/>
      <c r="G35" s="44"/>
      <c r="H35" s="22">
        <v>29</v>
      </c>
      <c r="I35" s="123">
        <f t="shared" si="0"/>
        <v>0.145</v>
      </c>
      <c r="J35" s="25"/>
      <c r="K35" s="25"/>
      <c r="L35" s="25"/>
      <c r="M35" s="25"/>
      <c r="N35" s="124"/>
      <c r="O35" s="27"/>
      <c r="P35" s="25"/>
      <c r="Q35" s="131"/>
      <c r="S35" s="132"/>
      <c r="T35" s="132"/>
      <c r="U35" s="132"/>
      <c r="AJ35" s="131"/>
      <c r="AZ35" s="92"/>
      <c r="BJ35" s="159"/>
      <c r="BK35" s="159"/>
      <c r="BL35" s="159"/>
      <c r="BO35" s="27"/>
      <c r="BP35" s="159"/>
      <c r="BQ35" s="171"/>
      <c r="BR35" s="172"/>
      <c r="BS35" s="159"/>
      <c r="BT35" s="173"/>
      <c r="BX35" s="159"/>
      <c r="BY35" s="159"/>
      <c r="BZ35" s="27"/>
      <c r="CA35" s="27"/>
      <c r="CB35" s="27"/>
      <c r="CC35" s="27"/>
    </row>
    <row r="36" ht="13" spans="1:81">
      <c r="A36" s="76" t="s">
        <v>795</v>
      </c>
      <c r="B36" s="91">
        <f>B35/5</f>
        <v>0.3</v>
      </c>
      <c r="C36" s="64" t="s">
        <v>18</v>
      </c>
      <c r="D36" s="92">
        <f>B36</f>
        <v>0.3</v>
      </c>
      <c r="E36" s="50" t="s">
        <v>796</v>
      </c>
      <c r="F36" s="44"/>
      <c r="G36" s="44"/>
      <c r="H36" s="22">
        <v>30</v>
      </c>
      <c r="I36" s="123">
        <f t="shared" si="0"/>
        <v>0.15</v>
      </c>
      <c r="J36" s="25"/>
      <c r="K36" s="25"/>
      <c r="L36" s="25"/>
      <c r="M36" s="25"/>
      <c r="N36" s="124"/>
      <c r="O36" s="27"/>
      <c r="P36" s="25"/>
      <c r="Q36" s="131"/>
      <c r="S36" s="132"/>
      <c r="T36" s="132"/>
      <c r="U36" s="132"/>
      <c r="AJ36" s="131"/>
      <c r="AZ36" s="92"/>
      <c r="BJ36" s="159"/>
      <c r="BK36" s="159"/>
      <c r="BL36" s="159"/>
      <c r="BO36" s="27"/>
      <c r="BP36" s="159"/>
      <c r="BQ36" s="171"/>
      <c r="BR36" s="172"/>
      <c r="BS36" s="159"/>
      <c r="BT36" s="173"/>
      <c r="BX36" s="159"/>
      <c r="BY36" s="159"/>
      <c r="BZ36" s="27"/>
      <c r="CA36" s="27"/>
      <c r="CB36" s="27"/>
      <c r="CC36" s="27"/>
    </row>
    <row r="37" ht="13.75" spans="1:81">
      <c r="A37" s="76" t="s">
        <v>797</v>
      </c>
      <c r="B37" s="93">
        <v>30</v>
      </c>
      <c r="C37" s="22" t="s">
        <v>307</v>
      </c>
      <c r="D37" s="22">
        <f>B37*0.000000001</f>
        <v>3e-8</v>
      </c>
      <c r="E37" s="22" t="s">
        <v>798</v>
      </c>
      <c r="F37" s="44"/>
      <c r="G37" s="44"/>
      <c r="H37" s="22">
        <v>31</v>
      </c>
      <c r="I37" s="123">
        <f t="shared" si="0"/>
        <v>0.155</v>
      </c>
      <c r="J37" s="25"/>
      <c r="K37" s="25"/>
      <c r="L37" s="25"/>
      <c r="M37" s="25"/>
      <c r="N37" s="124"/>
      <c r="O37" s="27"/>
      <c r="P37" s="25"/>
      <c r="Q37" s="131"/>
      <c r="S37" s="132"/>
      <c r="T37" s="132"/>
      <c r="U37" s="132"/>
      <c r="AJ37" s="131"/>
      <c r="AZ37" s="92"/>
      <c r="BJ37" s="159"/>
      <c r="BK37" s="159"/>
      <c r="BL37" s="159"/>
      <c r="BO37" s="27"/>
      <c r="BP37" s="159"/>
      <c r="BQ37" s="171"/>
      <c r="BR37" s="172"/>
      <c r="BS37" s="159"/>
      <c r="BT37" s="173"/>
      <c r="BX37" s="159"/>
      <c r="BY37" s="159"/>
      <c r="BZ37" s="27"/>
      <c r="CA37" s="27"/>
      <c r="CB37" s="27"/>
      <c r="CC37" s="27"/>
    </row>
    <row r="38" ht="13.25" spans="1:81">
      <c r="A38" s="94" t="s">
        <v>183</v>
      </c>
      <c r="B38" s="95">
        <v>1</v>
      </c>
      <c r="C38" s="64"/>
      <c r="D38" s="92">
        <f>B38</f>
        <v>1</v>
      </c>
      <c r="E38" s="50" t="s">
        <v>799</v>
      </c>
      <c r="H38" s="22">
        <v>32</v>
      </c>
      <c r="I38" s="123">
        <f t="shared" ref="I38:I69" si="24">IF(PLOT_TYPE=1,H38/100*Iout_max,min_I*EXP(H38*rr/100))</f>
        <v>0.16</v>
      </c>
      <c r="J38" s="25"/>
      <c r="K38" s="25"/>
      <c r="L38" s="25"/>
      <c r="M38" s="25"/>
      <c r="N38" s="124"/>
      <c r="O38" s="27"/>
      <c r="P38" s="25"/>
      <c r="Q38" s="131"/>
      <c r="S38" s="132"/>
      <c r="T38" s="132"/>
      <c r="U38" s="132"/>
      <c r="AJ38" s="131"/>
      <c r="AZ38" s="92"/>
      <c r="BJ38" s="159"/>
      <c r="BK38" s="159"/>
      <c r="BL38" s="159"/>
      <c r="BO38" s="27"/>
      <c r="BP38" s="159"/>
      <c r="BQ38" s="171"/>
      <c r="BR38" s="172"/>
      <c r="BS38" s="159"/>
      <c r="BT38" s="173"/>
      <c r="BX38" s="159"/>
      <c r="BY38" s="159"/>
      <c r="BZ38" s="27"/>
      <c r="CA38" s="27"/>
      <c r="CB38" s="27"/>
      <c r="CC38" s="27"/>
    </row>
    <row r="39" spans="1:81">
      <c r="A39" s="76" t="s">
        <v>800</v>
      </c>
      <c r="B39" s="96">
        <v>290</v>
      </c>
      <c r="C39" s="64" t="s">
        <v>801</v>
      </c>
      <c r="D39" s="66">
        <f>B39/1000000</f>
        <v>0.00029</v>
      </c>
      <c r="E39" s="52" t="s">
        <v>802</v>
      </c>
      <c r="H39" s="22">
        <v>33</v>
      </c>
      <c r="I39" s="123">
        <f t="shared" si="24"/>
        <v>0.165</v>
      </c>
      <c r="J39" s="25"/>
      <c r="K39" s="25"/>
      <c r="L39" s="25"/>
      <c r="M39" s="25"/>
      <c r="N39" s="124"/>
      <c r="O39" s="27"/>
      <c r="P39" s="25"/>
      <c r="Q39" s="131"/>
      <c r="S39" s="132"/>
      <c r="T39" s="132"/>
      <c r="U39" s="132"/>
      <c r="AJ39" s="131"/>
      <c r="AZ39" s="92"/>
      <c r="BJ39" s="159"/>
      <c r="BK39" s="159"/>
      <c r="BL39" s="159"/>
      <c r="BO39" s="27"/>
      <c r="BP39" s="159"/>
      <c r="BQ39" s="171"/>
      <c r="BR39" s="172"/>
      <c r="BS39" s="159"/>
      <c r="BT39" s="173"/>
      <c r="BX39" s="159"/>
      <c r="BY39" s="159"/>
      <c r="BZ39" s="27"/>
      <c r="CA39" s="27"/>
      <c r="CB39" s="27"/>
      <c r="CC39" s="27"/>
    </row>
    <row r="40" ht="13.75" spans="1:81">
      <c r="A40" s="88" t="s">
        <v>803</v>
      </c>
      <c r="B40" s="97"/>
      <c r="C40" s="88" t="s">
        <v>415</v>
      </c>
      <c r="D40" s="89" t="s">
        <v>760</v>
      </c>
      <c r="E40" s="98" t="s">
        <v>75</v>
      </c>
      <c r="H40" s="22">
        <v>34</v>
      </c>
      <c r="I40" s="123">
        <f t="shared" si="24"/>
        <v>0.17</v>
      </c>
      <c r="J40" s="25"/>
      <c r="K40" s="25"/>
      <c r="L40" s="25"/>
      <c r="M40" s="25"/>
      <c r="N40" s="124"/>
      <c r="O40" s="27"/>
      <c r="P40" s="25"/>
      <c r="Q40" s="131"/>
      <c r="S40" s="132"/>
      <c r="T40" s="132"/>
      <c r="U40" s="132"/>
      <c r="AJ40" s="131"/>
      <c r="AZ40" s="92"/>
      <c r="BJ40" s="159"/>
      <c r="BK40" s="159"/>
      <c r="BL40" s="159"/>
      <c r="BO40" s="27"/>
      <c r="BP40" s="159"/>
      <c r="BQ40" s="171"/>
      <c r="BR40" s="172"/>
      <c r="BS40" s="159"/>
      <c r="BT40" s="173"/>
      <c r="BX40" s="159"/>
      <c r="BY40" s="159"/>
      <c r="BZ40" s="27"/>
      <c r="CA40" s="27"/>
      <c r="CB40" s="27"/>
      <c r="CC40" s="27"/>
    </row>
    <row r="41" spans="1:81">
      <c r="A41" s="99" t="s">
        <v>804</v>
      </c>
      <c r="B41" s="100">
        <f>CHOOSE(VARIANT,350,350,350,110,110)</f>
        <v>350</v>
      </c>
      <c r="C41" s="54" t="s">
        <v>323</v>
      </c>
      <c r="D41" s="101">
        <f>B41/1000</f>
        <v>0.35</v>
      </c>
      <c r="E41" s="52" t="s">
        <v>805</v>
      </c>
      <c r="H41" s="22">
        <v>35</v>
      </c>
      <c r="I41" s="123">
        <f t="shared" si="24"/>
        <v>0.175</v>
      </c>
      <c r="J41" s="25"/>
      <c r="K41" s="25"/>
      <c r="L41" s="25"/>
      <c r="M41" s="25"/>
      <c r="N41" s="124"/>
      <c r="O41" s="27"/>
      <c r="P41" s="25"/>
      <c r="Q41" s="131"/>
      <c r="S41" s="132"/>
      <c r="T41" s="132"/>
      <c r="U41" s="132"/>
      <c r="AJ41" s="131"/>
      <c r="AZ41" s="92"/>
      <c r="BJ41" s="159"/>
      <c r="BK41" s="159"/>
      <c r="BL41" s="159"/>
      <c r="BO41" s="27"/>
      <c r="BP41" s="159"/>
      <c r="BQ41" s="171"/>
      <c r="BR41" s="172"/>
      <c r="BS41" s="159"/>
      <c r="BT41" s="173"/>
      <c r="BX41" s="159"/>
      <c r="BY41" s="159"/>
      <c r="BZ41" s="27"/>
      <c r="CA41" s="27"/>
      <c r="CB41" s="27"/>
      <c r="CC41" s="27"/>
    </row>
    <row r="42" ht="13.25" spans="1:81">
      <c r="A42" s="22" t="s">
        <v>806</v>
      </c>
      <c r="B42" s="22">
        <v>4500</v>
      </c>
      <c r="C42" s="102" t="s">
        <v>807</v>
      </c>
      <c r="D42" s="101">
        <f>B42/1000000</f>
        <v>0.0045</v>
      </c>
      <c r="E42" s="103" t="s">
        <v>808</v>
      </c>
      <c r="H42" s="22">
        <v>36</v>
      </c>
      <c r="I42" s="123">
        <f t="shared" si="24"/>
        <v>0.18</v>
      </c>
      <c r="J42" s="25"/>
      <c r="K42" s="25"/>
      <c r="L42" s="25"/>
      <c r="M42" s="25"/>
      <c r="N42" s="124"/>
      <c r="O42" s="27"/>
      <c r="P42" s="25"/>
      <c r="Q42" s="131"/>
      <c r="S42" s="132"/>
      <c r="T42" s="132"/>
      <c r="U42" s="132"/>
      <c r="AJ42" s="131"/>
      <c r="AZ42" s="92"/>
      <c r="BJ42" s="159"/>
      <c r="BK42" s="159"/>
      <c r="BL42" s="159"/>
      <c r="BO42" s="27"/>
      <c r="BP42" s="159"/>
      <c r="BQ42" s="171"/>
      <c r="BR42" s="172"/>
      <c r="BS42" s="159"/>
      <c r="BT42" s="173"/>
      <c r="BX42" s="159"/>
      <c r="BY42" s="159"/>
      <c r="BZ42" s="27"/>
      <c r="CA42" s="27"/>
      <c r="CB42" s="27"/>
      <c r="CC42" s="27"/>
    </row>
    <row r="43" ht="13.75" spans="1:81">
      <c r="A43" s="76" t="s">
        <v>809</v>
      </c>
      <c r="B43" s="104"/>
      <c r="C43" s="105" t="s">
        <v>810</v>
      </c>
      <c r="D43" s="101"/>
      <c r="E43" s="52" t="s">
        <v>809</v>
      </c>
      <c r="H43" s="22">
        <v>37</v>
      </c>
      <c r="I43" s="123">
        <f t="shared" si="24"/>
        <v>0.185</v>
      </c>
      <c r="J43" s="25"/>
      <c r="K43" s="25"/>
      <c r="L43" s="25"/>
      <c r="M43" s="25"/>
      <c r="N43" s="124"/>
      <c r="O43" s="27"/>
      <c r="P43" s="25"/>
      <c r="Q43" s="131"/>
      <c r="S43" s="132"/>
      <c r="T43" s="132"/>
      <c r="U43" s="132"/>
      <c r="AJ43" s="131"/>
      <c r="AZ43" s="92"/>
      <c r="BJ43" s="159"/>
      <c r="BK43" s="159"/>
      <c r="BL43" s="159"/>
      <c r="BO43" s="27"/>
      <c r="BP43" s="159"/>
      <c r="BQ43" s="171"/>
      <c r="BR43" s="172"/>
      <c r="BS43" s="159"/>
      <c r="BT43" s="173"/>
      <c r="BX43" s="159"/>
      <c r="BY43" s="159"/>
      <c r="BZ43" s="27"/>
      <c r="CA43" s="27"/>
      <c r="CB43" s="27"/>
      <c r="CC43" s="27"/>
    </row>
    <row r="44" ht="13.25" spans="1:81">
      <c r="A44" s="76" t="s">
        <v>811</v>
      </c>
      <c r="B44" s="100">
        <f>CHOOSE(VARIANT,2.5,2.5,2.5,10,10)</f>
        <v>2.5</v>
      </c>
      <c r="C44" s="64" t="s">
        <v>812</v>
      </c>
      <c r="D44" s="101">
        <f>B44/1000000000</f>
        <v>2.5e-9</v>
      </c>
      <c r="E44" s="52" t="s">
        <v>813</v>
      </c>
      <c r="H44" s="22">
        <v>38</v>
      </c>
      <c r="I44" s="123">
        <f t="shared" si="24"/>
        <v>0.19</v>
      </c>
      <c r="J44" s="25"/>
      <c r="K44" s="25"/>
      <c r="L44" s="25"/>
      <c r="M44" s="25"/>
      <c r="N44" s="124"/>
      <c r="O44" s="27"/>
      <c r="P44" s="25"/>
      <c r="Q44" s="131"/>
      <c r="S44" s="132"/>
      <c r="T44" s="132"/>
      <c r="U44" s="132"/>
      <c r="AJ44" s="131"/>
      <c r="AZ44" s="92"/>
      <c r="BJ44" s="159"/>
      <c r="BK44" s="159"/>
      <c r="BL44" s="159"/>
      <c r="BO44" s="27"/>
      <c r="BP44" s="159"/>
      <c r="BQ44" s="171"/>
      <c r="BR44" s="172"/>
      <c r="BS44" s="159"/>
      <c r="BT44" s="173"/>
      <c r="BX44" s="159"/>
      <c r="BY44" s="159"/>
      <c r="BZ44" s="27"/>
      <c r="CA44" s="27"/>
      <c r="CB44" s="27"/>
      <c r="CC44" s="27"/>
    </row>
    <row r="45" ht="13.25" spans="1:81">
      <c r="A45" s="79" t="s">
        <v>751</v>
      </c>
      <c r="B45" s="100">
        <f>CHOOSE(VARIANT,50,50,50,200,200)</f>
        <v>50</v>
      </c>
      <c r="C45" s="64" t="s">
        <v>64</v>
      </c>
      <c r="D45" s="106">
        <f>B45/1000000000000</f>
        <v>5e-11</v>
      </c>
      <c r="E45" s="52" t="s">
        <v>814</v>
      </c>
      <c r="H45" s="22">
        <v>39</v>
      </c>
      <c r="I45" s="123">
        <f t="shared" si="24"/>
        <v>0.195</v>
      </c>
      <c r="J45" s="25"/>
      <c r="K45" s="25"/>
      <c r="L45" s="25"/>
      <c r="M45" s="25"/>
      <c r="N45" s="124"/>
      <c r="O45" s="27"/>
      <c r="P45" s="25"/>
      <c r="Q45" s="131"/>
      <c r="S45" s="132"/>
      <c r="T45" s="132"/>
      <c r="U45" s="132"/>
      <c r="AJ45" s="131"/>
      <c r="AZ45" s="92"/>
      <c r="BJ45" s="159"/>
      <c r="BK45" s="159"/>
      <c r="BL45" s="159"/>
      <c r="BO45" s="27"/>
      <c r="BP45" s="159"/>
      <c r="BQ45" s="171"/>
      <c r="BR45" s="172"/>
      <c r="BS45" s="159"/>
      <c r="BT45" s="173"/>
      <c r="BX45" s="159"/>
      <c r="BY45" s="159"/>
      <c r="BZ45" s="27"/>
      <c r="CA45" s="27"/>
      <c r="CB45" s="27"/>
      <c r="CC45" s="27"/>
    </row>
    <row r="46" spans="1:81">
      <c r="A46" s="107" t="s">
        <v>815</v>
      </c>
      <c r="B46" s="100">
        <f>CHOOSE(VARIANT,50,50,50,250,250)</f>
        <v>50</v>
      </c>
      <c r="C46" s="64" t="s">
        <v>64</v>
      </c>
      <c r="D46" s="66">
        <f>B46/1000000000000</f>
        <v>5e-11</v>
      </c>
      <c r="E46" s="52" t="s">
        <v>816</v>
      </c>
      <c r="H46" s="22">
        <v>40</v>
      </c>
      <c r="I46" s="123">
        <f t="shared" si="24"/>
        <v>0.2</v>
      </c>
      <c r="J46" s="25"/>
      <c r="K46" s="25"/>
      <c r="L46" s="25"/>
      <c r="M46" s="25"/>
      <c r="N46" s="124"/>
      <c r="O46" s="27"/>
      <c r="P46" s="25"/>
      <c r="Q46" s="131"/>
      <c r="S46" s="132"/>
      <c r="T46" s="132"/>
      <c r="U46" s="132"/>
      <c r="AJ46" s="131"/>
      <c r="AZ46" s="92"/>
      <c r="BJ46" s="159"/>
      <c r="BK46" s="159"/>
      <c r="BL46" s="159"/>
      <c r="BO46" s="27"/>
      <c r="BP46" s="159"/>
      <c r="BQ46" s="171"/>
      <c r="BR46" s="172"/>
      <c r="BS46" s="159"/>
      <c r="BT46" s="173"/>
      <c r="BX46" s="159"/>
      <c r="BY46" s="159"/>
      <c r="BZ46" s="27"/>
      <c r="CA46" s="27"/>
      <c r="CB46" s="27"/>
      <c r="CC46" s="27"/>
    </row>
    <row r="47" ht="13.75" spans="1:81">
      <c r="A47" s="88" t="s">
        <v>817</v>
      </c>
      <c r="B47" s="108"/>
      <c r="C47" s="88" t="s">
        <v>415</v>
      </c>
      <c r="D47" s="89" t="s">
        <v>760</v>
      </c>
      <c r="E47" s="109" t="s">
        <v>75</v>
      </c>
      <c r="H47" s="22">
        <v>41</v>
      </c>
      <c r="I47" s="123">
        <f t="shared" si="24"/>
        <v>0.205</v>
      </c>
      <c r="J47" s="25"/>
      <c r="K47" s="25"/>
      <c r="L47" s="25"/>
      <c r="M47" s="25"/>
      <c r="N47" s="124"/>
      <c r="O47" s="27"/>
      <c r="P47" s="25"/>
      <c r="Q47" s="131"/>
      <c r="S47" s="132"/>
      <c r="T47" s="132"/>
      <c r="U47" s="132"/>
      <c r="AJ47" s="131"/>
      <c r="AZ47" s="92"/>
      <c r="BJ47" s="159"/>
      <c r="BK47" s="159"/>
      <c r="BL47" s="159"/>
      <c r="BO47" s="27"/>
      <c r="BP47" s="159"/>
      <c r="BQ47" s="171"/>
      <c r="BR47" s="172"/>
      <c r="BS47" s="159"/>
      <c r="BT47" s="173"/>
      <c r="BX47" s="159"/>
      <c r="BY47" s="159"/>
      <c r="BZ47" s="27"/>
      <c r="CA47" s="27"/>
      <c r="CB47" s="27"/>
      <c r="CC47" s="27"/>
    </row>
    <row r="48" ht="13.25" spans="1:81">
      <c r="A48" s="99" t="s">
        <v>818</v>
      </c>
      <c r="B48" s="100">
        <f>'LM(2)518x PSR flyback converter'!E42</f>
        <v>0.4</v>
      </c>
      <c r="C48" s="48" t="s">
        <v>9</v>
      </c>
      <c r="D48" s="101">
        <f>B48</f>
        <v>0.4</v>
      </c>
      <c r="E48" s="52" t="s">
        <v>819</v>
      </c>
      <c r="H48" s="22">
        <v>42</v>
      </c>
      <c r="I48" s="123">
        <f t="shared" si="24"/>
        <v>0.21</v>
      </c>
      <c r="J48" s="25"/>
      <c r="K48" s="25"/>
      <c r="L48" s="25"/>
      <c r="M48" s="25"/>
      <c r="N48" s="124"/>
      <c r="O48" s="27"/>
      <c r="P48" s="25"/>
      <c r="Q48" s="131"/>
      <c r="S48" s="132"/>
      <c r="T48" s="132"/>
      <c r="U48" s="132"/>
      <c r="AJ48" s="131"/>
      <c r="AZ48" s="92"/>
      <c r="BJ48" s="159"/>
      <c r="BK48" s="159"/>
      <c r="BL48" s="159"/>
      <c r="BO48" s="27"/>
      <c r="BP48" s="159"/>
      <c r="BQ48" s="171"/>
      <c r="BR48" s="172"/>
      <c r="BS48" s="159"/>
      <c r="BT48" s="173"/>
      <c r="BX48" s="159"/>
      <c r="BY48" s="159"/>
      <c r="BZ48" s="27"/>
      <c r="CA48" s="27"/>
      <c r="CB48" s="27"/>
      <c r="CC48" s="27"/>
    </row>
    <row r="49" ht="13.25" spans="1:81">
      <c r="A49" s="99" t="s">
        <v>820</v>
      </c>
      <c r="B49" s="100">
        <f>'LM(2)518x PSR flyback converter'!E43</f>
        <v>0.77</v>
      </c>
      <c r="C49" s="48" t="s">
        <v>9</v>
      </c>
      <c r="D49" s="101">
        <f>B49</f>
        <v>0.77</v>
      </c>
      <c r="E49" s="52" t="s">
        <v>821</v>
      </c>
      <c r="H49" s="22">
        <v>43</v>
      </c>
      <c r="I49" s="123">
        <f t="shared" si="24"/>
        <v>0.215</v>
      </c>
      <c r="J49" s="25"/>
      <c r="K49" s="25"/>
      <c r="L49" s="25"/>
      <c r="M49" s="25"/>
      <c r="N49" s="124"/>
      <c r="O49" s="27"/>
      <c r="P49" s="25"/>
      <c r="Q49" s="131"/>
      <c r="S49" s="132"/>
      <c r="T49" s="132"/>
      <c r="U49" s="132"/>
      <c r="AJ49" s="131"/>
      <c r="AZ49" s="92"/>
      <c r="BJ49" s="159"/>
      <c r="BK49" s="159"/>
      <c r="BL49" s="159"/>
      <c r="BO49" s="27"/>
      <c r="BP49" s="159"/>
      <c r="BQ49" s="171"/>
      <c r="BR49" s="172"/>
      <c r="BS49" s="159"/>
      <c r="BT49" s="173"/>
      <c r="BX49" s="159"/>
      <c r="BY49" s="159"/>
      <c r="BZ49" s="27"/>
      <c r="CA49" s="27"/>
      <c r="CB49" s="27"/>
      <c r="CC49" s="27"/>
    </row>
    <row r="50" ht="13.25" spans="1:81">
      <c r="A50" s="99" t="s">
        <v>822</v>
      </c>
      <c r="B50" s="100">
        <f>(B49-B48)/Iout</f>
        <v>0.74</v>
      </c>
      <c r="C50" s="54" t="s">
        <v>68</v>
      </c>
      <c r="D50" s="101">
        <f>B50</f>
        <v>0.74</v>
      </c>
      <c r="E50" s="52" t="s">
        <v>823</v>
      </c>
      <c r="H50" s="22">
        <v>44</v>
      </c>
      <c r="I50" s="123">
        <f t="shared" si="24"/>
        <v>0.22</v>
      </c>
      <c r="J50" s="25"/>
      <c r="K50" s="25"/>
      <c r="L50" s="25"/>
      <c r="M50" s="25"/>
      <c r="N50" s="124"/>
      <c r="O50" s="27"/>
      <c r="P50" s="25"/>
      <c r="Q50" s="131"/>
      <c r="S50" s="132"/>
      <c r="T50" s="132"/>
      <c r="U50" s="132"/>
      <c r="AJ50" s="131"/>
      <c r="AZ50" s="92"/>
      <c r="BJ50" s="159"/>
      <c r="BK50" s="159"/>
      <c r="BL50" s="159"/>
      <c r="BO50" s="27"/>
      <c r="BP50" s="159"/>
      <c r="BQ50" s="171"/>
      <c r="BR50" s="172"/>
      <c r="BS50" s="159"/>
      <c r="BT50" s="173"/>
      <c r="BX50" s="159"/>
      <c r="BY50" s="159"/>
      <c r="BZ50" s="27"/>
      <c r="CA50" s="27"/>
      <c r="CB50" s="27"/>
      <c r="CC50" s="27"/>
    </row>
    <row r="51" ht="13.25" spans="1:81">
      <c r="A51" s="76" t="s">
        <v>824</v>
      </c>
      <c r="B51" s="100">
        <v>2</v>
      </c>
      <c r="C51" s="64" t="s">
        <v>812</v>
      </c>
      <c r="D51" s="66">
        <f>B51*0.000000001</f>
        <v>2e-9</v>
      </c>
      <c r="E51" s="52" t="s">
        <v>825</v>
      </c>
      <c r="H51" s="22">
        <v>45</v>
      </c>
      <c r="I51" s="123">
        <f t="shared" si="24"/>
        <v>0.225</v>
      </c>
      <c r="J51" s="25"/>
      <c r="K51" s="25"/>
      <c r="L51" s="25"/>
      <c r="M51" s="25"/>
      <c r="N51" s="124"/>
      <c r="O51" s="27"/>
      <c r="P51" s="25"/>
      <c r="Q51" s="131"/>
      <c r="S51" s="132"/>
      <c r="T51" s="132"/>
      <c r="U51" s="132"/>
      <c r="AJ51" s="131"/>
      <c r="AZ51" s="92"/>
      <c r="BJ51" s="159"/>
      <c r="BK51" s="159"/>
      <c r="BL51" s="159"/>
      <c r="BO51" s="27"/>
      <c r="BP51" s="159"/>
      <c r="BQ51" s="171"/>
      <c r="BR51" s="172"/>
      <c r="BS51" s="159"/>
      <c r="BT51" s="173"/>
      <c r="BX51" s="159"/>
      <c r="BY51" s="159"/>
      <c r="BZ51" s="27"/>
      <c r="CA51" s="27"/>
      <c r="CB51" s="27"/>
      <c r="CC51" s="27"/>
    </row>
    <row r="52" ht="13.25" spans="1:81">
      <c r="A52" s="76" t="s">
        <v>826</v>
      </c>
      <c r="B52" s="100">
        <v>10</v>
      </c>
      <c r="C52" s="64" t="s">
        <v>307</v>
      </c>
      <c r="D52" s="66">
        <f>B52*0.000000001</f>
        <v>1e-8</v>
      </c>
      <c r="E52" s="52" t="s">
        <v>827</v>
      </c>
      <c r="H52" s="22">
        <v>46</v>
      </c>
      <c r="I52" s="123">
        <f t="shared" si="24"/>
        <v>0.23</v>
      </c>
      <c r="J52" s="25"/>
      <c r="K52" s="25"/>
      <c r="L52" s="25"/>
      <c r="M52" s="25"/>
      <c r="N52" s="124"/>
      <c r="O52" s="27"/>
      <c r="P52" s="25"/>
      <c r="Q52" s="131"/>
      <c r="S52" s="132"/>
      <c r="T52" s="132"/>
      <c r="U52" s="132"/>
      <c r="AJ52" s="131"/>
      <c r="AZ52" s="92"/>
      <c r="BJ52" s="159"/>
      <c r="BK52" s="159"/>
      <c r="BL52" s="159"/>
      <c r="BO52" s="27"/>
      <c r="BP52" s="159"/>
      <c r="BQ52" s="171"/>
      <c r="BR52" s="172"/>
      <c r="BS52" s="159"/>
      <c r="BT52" s="173"/>
      <c r="BX52" s="159"/>
      <c r="BY52" s="159"/>
      <c r="BZ52" s="27"/>
      <c r="CA52" s="27"/>
      <c r="CB52" s="27"/>
      <c r="CC52" s="27"/>
    </row>
    <row r="53" spans="1:81">
      <c r="A53" s="107" t="s">
        <v>828</v>
      </c>
      <c r="B53" s="100">
        <v>0</v>
      </c>
      <c r="C53" s="48" t="s">
        <v>829</v>
      </c>
      <c r="D53" s="66">
        <f>B53/1000000</f>
        <v>0</v>
      </c>
      <c r="E53" s="52" t="s">
        <v>830</v>
      </c>
      <c r="H53" s="22">
        <v>47</v>
      </c>
      <c r="I53" s="123">
        <f t="shared" si="24"/>
        <v>0.235</v>
      </c>
      <c r="J53" s="25"/>
      <c r="K53" s="25"/>
      <c r="L53" s="25"/>
      <c r="M53" s="25"/>
      <c r="N53" s="124"/>
      <c r="O53" s="27"/>
      <c r="P53" s="25"/>
      <c r="Q53" s="131"/>
      <c r="S53" s="132"/>
      <c r="T53" s="132"/>
      <c r="U53" s="132"/>
      <c r="AJ53" s="131"/>
      <c r="AZ53" s="92"/>
      <c r="BJ53" s="159"/>
      <c r="BK53" s="159"/>
      <c r="BL53" s="159"/>
      <c r="BO53" s="27"/>
      <c r="BP53" s="159"/>
      <c r="BQ53" s="171"/>
      <c r="BR53" s="172"/>
      <c r="BS53" s="159"/>
      <c r="BT53" s="173"/>
      <c r="BX53" s="159"/>
      <c r="BY53" s="159"/>
      <c r="BZ53" s="27"/>
      <c r="CA53" s="27"/>
      <c r="CB53" s="27"/>
      <c r="CC53" s="27"/>
    </row>
    <row r="54" spans="1:81">
      <c r="A54" s="22" t="s">
        <v>831</v>
      </c>
      <c r="B54" s="24">
        <f>'LM(2)518x PSR flyback converter'!E44</f>
        <v>125</v>
      </c>
      <c r="C54" s="102" t="s">
        <v>57</v>
      </c>
      <c r="D54" s="24">
        <f>B54</f>
        <v>125</v>
      </c>
      <c r="E54" s="22" t="s">
        <v>832</v>
      </c>
      <c r="H54" s="22">
        <v>48</v>
      </c>
      <c r="I54" s="123">
        <f t="shared" si="24"/>
        <v>0.24</v>
      </c>
      <c r="J54" s="25"/>
      <c r="K54" s="25"/>
      <c r="L54" s="25"/>
      <c r="M54" s="25"/>
      <c r="N54" s="124"/>
      <c r="O54" s="27"/>
      <c r="P54" s="25"/>
      <c r="Q54" s="131"/>
      <c r="S54" s="132"/>
      <c r="T54" s="132"/>
      <c r="U54" s="132"/>
      <c r="AJ54" s="131"/>
      <c r="AZ54" s="92"/>
      <c r="BJ54" s="159"/>
      <c r="BK54" s="159"/>
      <c r="BL54" s="159"/>
      <c r="BO54" s="27"/>
      <c r="BP54" s="159"/>
      <c r="BQ54" s="171"/>
      <c r="BR54" s="172"/>
      <c r="BS54" s="159"/>
      <c r="BT54" s="173"/>
      <c r="BX54" s="159"/>
      <c r="BY54" s="159"/>
      <c r="BZ54" s="27"/>
      <c r="CA54" s="27"/>
      <c r="CB54" s="27"/>
      <c r="CC54" s="27"/>
    </row>
    <row r="55" spans="8:81">
      <c r="H55" s="22">
        <v>49</v>
      </c>
      <c r="I55" s="123">
        <f t="shared" si="24"/>
        <v>0.245</v>
      </c>
      <c r="J55" s="25"/>
      <c r="K55" s="25"/>
      <c r="L55" s="25"/>
      <c r="M55" s="25"/>
      <c r="N55" s="124"/>
      <c r="O55" s="27"/>
      <c r="P55" s="25"/>
      <c r="Q55" s="131"/>
      <c r="S55" s="132"/>
      <c r="T55" s="132"/>
      <c r="U55" s="132"/>
      <c r="AJ55" s="131"/>
      <c r="AZ55" s="92"/>
      <c r="BJ55" s="159"/>
      <c r="BK55" s="159"/>
      <c r="BL55" s="159"/>
      <c r="BO55" s="27"/>
      <c r="BP55" s="159"/>
      <c r="BQ55" s="171"/>
      <c r="BR55" s="172"/>
      <c r="BS55" s="159"/>
      <c r="BT55" s="173"/>
      <c r="BX55" s="159"/>
      <c r="BY55" s="159"/>
      <c r="BZ55" s="27"/>
      <c r="CA55" s="27"/>
      <c r="CB55" s="27"/>
      <c r="CC55" s="27"/>
    </row>
    <row r="56" spans="8:81">
      <c r="H56" s="22">
        <v>50</v>
      </c>
      <c r="I56" s="123">
        <f t="shared" si="24"/>
        <v>0.25</v>
      </c>
      <c r="J56" s="25"/>
      <c r="K56" s="25"/>
      <c r="L56" s="25"/>
      <c r="M56" s="25"/>
      <c r="N56" s="124"/>
      <c r="O56" s="27"/>
      <c r="P56" s="25"/>
      <c r="Q56" s="131"/>
      <c r="S56" s="132"/>
      <c r="T56" s="132"/>
      <c r="U56" s="132"/>
      <c r="AJ56" s="131"/>
      <c r="AZ56" s="92"/>
      <c r="BJ56" s="159"/>
      <c r="BK56" s="159"/>
      <c r="BL56" s="159"/>
      <c r="BO56" s="27"/>
      <c r="BP56" s="159"/>
      <c r="BQ56" s="171"/>
      <c r="BR56" s="172"/>
      <c r="BS56" s="159"/>
      <c r="BT56" s="173"/>
      <c r="BX56" s="159"/>
      <c r="BY56" s="159"/>
      <c r="BZ56" s="27"/>
      <c r="CA56" s="27"/>
      <c r="CB56" s="27"/>
      <c r="CC56" s="27"/>
    </row>
    <row r="57" spans="8:81">
      <c r="H57" s="22">
        <v>51</v>
      </c>
      <c r="I57" s="123">
        <f t="shared" si="24"/>
        <v>0.255</v>
      </c>
      <c r="J57" s="25"/>
      <c r="K57" s="25"/>
      <c r="L57" s="25"/>
      <c r="M57" s="25"/>
      <c r="N57" s="124"/>
      <c r="O57" s="27"/>
      <c r="P57" s="25"/>
      <c r="Q57" s="131"/>
      <c r="S57" s="132"/>
      <c r="T57" s="132"/>
      <c r="U57" s="132"/>
      <c r="AJ57" s="131"/>
      <c r="AZ57" s="92"/>
      <c r="BJ57" s="159"/>
      <c r="BK57" s="159"/>
      <c r="BL57" s="159"/>
      <c r="BO57" s="27"/>
      <c r="BP57" s="159"/>
      <c r="BQ57" s="171"/>
      <c r="BR57" s="172"/>
      <c r="BS57" s="159"/>
      <c r="BT57" s="173"/>
      <c r="BX57" s="159"/>
      <c r="BY57" s="159"/>
      <c r="BZ57" s="27"/>
      <c r="CA57" s="27"/>
      <c r="CB57" s="27"/>
      <c r="CC57" s="27"/>
    </row>
    <row r="58" spans="8:81">
      <c r="H58" s="22">
        <v>52</v>
      </c>
      <c r="I58" s="123">
        <f t="shared" si="24"/>
        <v>0.26</v>
      </c>
      <c r="J58" s="25"/>
      <c r="K58" s="25"/>
      <c r="L58" s="25"/>
      <c r="M58" s="25"/>
      <c r="N58" s="124"/>
      <c r="O58" s="27"/>
      <c r="P58" s="25"/>
      <c r="Q58" s="131"/>
      <c r="S58" s="132"/>
      <c r="T58" s="132"/>
      <c r="U58" s="132"/>
      <c r="AJ58" s="131"/>
      <c r="AZ58" s="92"/>
      <c r="BJ58" s="159"/>
      <c r="BK58" s="159"/>
      <c r="BL58" s="159"/>
      <c r="BO58" s="27"/>
      <c r="BP58" s="159"/>
      <c r="BQ58" s="171"/>
      <c r="BR58" s="172"/>
      <c r="BS58" s="159"/>
      <c r="BT58" s="173"/>
      <c r="BX58" s="159"/>
      <c r="BY58" s="159"/>
      <c r="BZ58" s="27"/>
      <c r="CA58" s="27"/>
      <c r="CB58" s="27"/>
      <c r="CC58" s="27"/>
    </row>
    <row r="59" spans="8:81">
      <c r="H59" s="22">
        <v>53</v>
      </c>
      <c r="I59" s="123">
        <f t="shared" si="24"/>
        <v>0.265</v>
      </c>
      <c r="J59" s="25"/>
      <c r="K59" s="25"/>
      <c r="L59" s="25"/>
      <c r="M59" s="25"/>
      <c r="N59" s="124"/>
      <c r="O59" s="27"/>
      <c r="P59" s="25"/>
      <c r="Q59" s="131"/>
      <c r="S59" s="132"/>
      <c r="T59" s="132"/>
      <c r="U59" s="132"/>
      <c r="AJ59" s="131"/>
      <c r="AZ59" s="92"/>
      <c r="BJ59" s="159"/>
      <c r="BK59" s="159"/>
      <c r="BL59" s="159"/>
      <c r="BO59" s="27"/>
      <c r="BP59" s="159"/>
      <c r="BQ59" s="171"/>
      <c r="BR59" s="172"/>
      <c r="BS59" s="159"/>
      <c r="BT59" s="173"/>
      <c r="BX59" s="159"/>
      <c r="BY59" s="159"/>
      <c r="BZ59" s="27"/>
      <c r="CA59" s="27"/>
      <c r="CB59" s="27"/>
      <c r="CC59" s="27"/>
    </row>
    <row r="60" spans="8:81">
      <c r="H60" s="22">
        <v>54</v>
      </c>
      <c r="I60" s="123">
        <f t="shared" si="24"/>
        <v>0.27</v>
      </c>
      <c r="J60" s="25"/>
      <c r="K60" s="25"/>
      <c r="L60" s="25"/>
      <c r="M60" s="25"/>
      <c r="N60" s="124"/>
      <c r="O60" s="27"/>
      <c r="P60" s="25"/>
      <c r="Q60" s="131"/>
      <c r="S60" s="132"/>
      <c r="T60" s="132"/>
      <c r="U60" s="132"/>
      <c r="AJ60" s="131"/>
      <c r="AZ60" s="92"/>
      <c r="BJ60" s="159"/>
      <c r="BK60" s="159"/>
      <c r="BL60" s="159"/>
      <c r="BO60" s="27"/>
      <c r="BP60" s="159"/>
      <c r="BQ60" s="171"/>
      <c r="BR60" s="172"/>
      <c r="BS60" s="159"/>
      <c r="BT60" s="173"/>
      <c r="BX60" s="159"/>
      <c r="BY60" s="159"/>
      <c r="BZ60" s="27"/>
      <c r="CA60" s="27"/>
      <c r="CB60" s="27"/>
      <c r="CC60" s="27"/>
    </row>
    <row r="61" spans="8:81">
      <c r="H61" s="22">
        <v>55</v>
      </c>
      <c r="I61" s="123">
        <f t="shared" si="24"/>
        <v>0.275</v>
      </c>
      <c r="J61" s="25"/>
      <c r="K61" s="25"/>
      <c r="L61" s="25"/>
      <c r="M61" s="25"/>
      <c r="N61" s="124"/>
      <c r="O61" s="27"/>
      <c r="P61" s="25"/>
      <c r="Q61" s="131"/>
      <c r="S61" s="132"/>
      <c r="T61" s="132"/>
      <c r="U61" s="132"/>
      <c r="AJ61" s="131"/>
      <c r="AZ61" s="92"/>
      <c r="BJ61" s="159"/>
      <c r="BK61" s="159"/>
      <c r="BL61" s="159"/>
      <c r="BO61" s="27"/>
      <c r="BP61" s="159"/>
      <c r="BQ61" s="171"/>
      <c r="BR61" s="172"/>
      <c r="BS61" s="159"/>
      <c r="BT61" s="173"/>
      <c r="BX61" s="159"/>
      <c r="BY61" s="159"/>
      <c r="BZ61" s="27"/>
      <c r="CA61" s="27"/>
      <c r="CB61" s="27"/>
      <c r="CC61" s="27"/>
    </row>
    <row r="62" spans="8:81">
      <c r="H62" s="22">
        <v>56</v>
      </c>
      <c r="I62" s="123">
        <f t="shared" si="24"/>
        <v>0.28</v>
      </c>
      <c r="J62" s="25"/>
      <c r="K62" s="25"/>
      <c r="L62" s="25"/>
      <c r="M62" s="25"/>
      <c r="N62" s="124"/>
      <c r="O62" s="27"/>
      <c r="P62" s="25"/>
      <c r="Q62" s="131"/>
      <c r="S62" s="132"/>
      <c r="T62" s="132"/>
      <c r="U62" s="132"/>
      <c r="AJ62" s="131"/>
      <c r="AZ62" s="92"/>
      <c r="BJ62" s="159"/>
      <c r="BK62" s="159"/>
      <c r="BL62" s="159"/>
      <c r="BO62" s="27"/>
      <c r="BP62" s="159"/>
      <c r="BQ62" s="171"/>
      <c r="BR62" s="172"/>
      <c r="BS62" s="159"/>
      <c r="BT62" s="173"/>
      <c r="BX62" s="159"/>
      <c r="BY62" s="159"/>
      <c r="BZ62" s="27"/>
      <c r="CA62" s="27"/>
      <c r="CB62" s="27"/>
      <c r="CC62" s="27"/>
    </row>
    <row r="63" ht="13" spans="6:81">
      <c r="F63" s="110" t="s">
        <v>833</v>
      </c>
      <c r="G63" s="110" t="s">
        <v>594</v>
      </c>
      <c r="H63" s="22">
        <v>57</v>
      </c>
      <c r="I63" s="123">
        <f t="shared" si="24"/>
        <v>0.285</v>
      </c>
      <c r="J63" s="25"/>
      <c r="K63" s="25"/>
      <c r="L63" s="25"/>
      <c r="M63" s="25"/>
      <c r="N63" s="124"/>
      <c r="O63" s="27"/>
      <c r="P63" s="25"/>
      <c r="Q63" s="131"/>
      <c r="S63" s="132"/>
      <c r="T63" s="132"/>
      <c r="U63" s="132"/>
      <c r="AJ63" s="131"/>
      <c r="AZ63" s="92"/>
      <c r="BJ63" s="159"/>
      <c r="BK63" s="159"/>
      <c r="BL63" s="159"/>
      <c r="BO63" s="27"/>
      <c r="BP63" s="159"/>
      <c r="BQ63" s="171"/>
      <c r="BR63" s="172"/>
      <c r="BS63" s="159"/>
      <c r="BT63" s="173"/>
      <c r="BX63" s="159"/>
      <c r="BY63" s="159"/>
      <c r="BZ63" s="27"/>
      <c r="CA63" s="27"/>
      <c r="CB63" s="27"/>
      <c r="CC63" s="27"/>
    </row>
    <row r="64" spans="6:81">
      <c r="F64" s="111">
        <f>BM56</f>
        <v>0</v>
      </c>
      <c r="G64" s="112">
        <f>I56*1000</f>
        <v>250</v>
      </c>
      <c r="H64" s="22">
        <v>58</v>
      </c>
      <c r="I64" s="123">
        <f t="shared" si="24"/>
        <v>0.29</v>
      </c>
      <c r="J64" s="25"/>
      <c r="K64" s="25"/>
      <c r="L64" s="25"/>
      <c r="M64" s="25"/>
      <c r="N64" s="124"/>
      <c r="O64" s="27"/>
      <c r="P64" s="25"/>
      <c r="Q64" s="131"/>
      <c r="S64" s="132"/>
      <c r="T64" s="132"/>
      <c r="U64" s="132"/>
      <c r="AJ64" s="131"/>
      <c r="AZ64" s="92"/>
      <c r="BJ64" s="159"/>
      <c r="BK64" s="159"/>
      <c r="BL64" s="159"/>
      <c r="BO64" s="27"/>
      <c r="BP64" s="159"/>
      <c r="BQ64" s="171"/>
      <c r="BR64" s="172"/>
      <c r="BS64" s="159"/>
      <c r="BT64" s="173"/>
      <c r="BX64" s="159"/>
      <c r="BY64" s="159"/>
      <c r="BZ64" s="27"/>
      <c r="CA64" s="27"/>
      <c r="CB64" s="27"/>
      <c r="CC64" s="27"/>
    </row>
    <row r="65" spans="6:81">
      <c r="F65" s="111">
        <f>BM81</f>
        <v>0</v>
      </c>
      <c r="G65" s="112">
        <f>I81*1000</f>
        <v>375</v>
      </c>
      <c r="H65" s="22">
        <v>59</v>
      </c>
      <c r="I65" s="123">
        <f t="shared" si="24"/>
        <v>0.295</v>
      </c>
      <c r="J65" s="25"/>
      <c r="K65" s="25"/>
      <c r="L65" s="25"/>
      <c r="M65" s="25"/>
      <c r="N65" s="124"/>
      <c r="O65" s="27"/>
      <c r="P65" s="25"/>
      <c r="Q65" s="131"/>
      <c r="S65" s="132"/>
      <c r="T65" s="132"/>
      <c r="U65" s="132"/>
      <c r="AJ65" s="131"/>
      <c r="AZ65" s="92"/>
      <c r="BJ65" s="159"/>
      <c r="BK65" s="159"/>
      <c r="BL65" s="159"/>
      <c r="BO65" s="27"/>
      <c r="BP65" s="159"/>
      <c r="BQ65" s="171"/>
      <c r="BR65" s="172"/>
      <c r="BS65" s="159"/>
      <c r="BT65" s="173"/>
      <c r="BX65" s="159"/>
      <c r="BY65" s="159"/>
      <c r="BZ65" s="27"/>
      <c r="CA65" s="27"/>
      <c r="CB65" s="27"/>
      <c r="CC65" s="27"/>
    </row>
    <row r="66" spans="6:81">
      <c r="F66" s="111">
        <f>BM106</f>
        <v>100</v>
      </c>
      <c r="G66" s="112">
        <f>I106*1000</f>
        <v>500</v>
      </c>
      <c r="H66" s="22">
        <v>60</v>
      </c>
      <c r="I66" s="123">
        <f t="shared" si="24"/>
        <v>0.3</v>
      </c>
      <c r="J66" s="25"/>
      <c r="K66" s="25"/>
      <c r="L66" s="25"/>
      <c r="M66" s="25"/>
      <c r="N66" s="124"/>
      <c r="O66" s="27"/>
      <c r="P66" s="25"/>
      <c r="Q66" s="131"/>
      <c r="S66" s="132"/>
      <c r="T66" s="132"/>
      <c r="U66" s="132"/>
      <c r="AJ66" s="131"/>
      <c r="AZ66" s="92"/>
      <c r="BJ66" s="159"/>
      <c r="BK66" s="159"/>
      <c r="BL66" s="159"/>
      <c r="BO66" s="27"/>
      <c r="BP66" s="159"/>
      <c r="BQ66" s="171"/>
      <c r="BR66" s="172"/>
      <c r="BS66" s="159"/>
      <c r="BT66" s="173"/>
      <c r="BX66" s="159"/>
      <c r="BY66" s="159"/>
      <c r="BZ66" s="27"/>
      <c r="CA66" s="27"/>
      <c r="CB66" s="27"/>
      <c r="CC66" s="27"/>
    </row>
    <row r="67" spans="8:81">
      <c r="H67" s="22">
        <v>61</v>
      </c>
      <c r="I67" s="123">
        <f t="shared" si="24"/>
        <v>0.305</v>
      </c>
      <c r="J67" s="25"/>
      <c r="K67" s="25"/>
      <c r="L67" s="25"/>
      <c r="M67" s="25"/>
      <c r="N67" s="124"/>
      <c r="O67" s="27"/>
      <c r="P67" s="25"/>
      <c r="Q67" s="131"/>
      <c r="S67" s="132"/>
      <c r="T67" s="132"/>
      <c r="U67" s="132"/>
      <c r="AJ67" s="131"/>
      <c r="AZ67" s="92"/>
      <c r="BJ67" s="159"/>
      <c r="BK67" s="159"/>
      <c r="BL67" s="159"/>
      <c r="BO67" s="27"/>
      <c r="BP67" s="159"/>
      <c r="BQ67" s="171"/>
      <c r="BR67" s="172"/>
      <c r="BS67" s="159"/>
      <c r="BT67" s="173"/>
      <c r="BX67" s="159"/>
      <c r="BY67" s="159"/>
      <c r="BZ67" s="27"/>
      <c r="CA67" s="27"/>
      <c r="CB67" s="27"/>
      <c r="CC67" s="27"/>
    </row>
    <row r="68" spans="8:81">
      <c r="H68" s="22">
        <v>62</v>
      </c>
      <c r="I68" s="123">
        <f t="shared" si="24"/>
        <v>0.31</v>
      </c>
      <c r="J68" s="25"/>
      <c r="K68" s="25"/>
      <c r="L68" s="25"/>
      <c r="M68" s="25"/>
      <c r="N68" s="124"/>
      <c r="O68" s="27"/>
      <c r="P68" s="25"/>
      <c r="Q68" s="131"/>
      <c r="S68" s="132"/>
      <c r="T68" s="132"/>
      <c r="U68" s="132"/>
      <c r="AJ68" s="131"/>
      <c r="AZ68" s="92"/>
      <c r="BJ68" s="159"/>
      <c r="BK68" s="159"/>
      <c r="BL68" s="159"/>
      <c r="BO68" s="27"/>
      <c r="BP68" s="159"/>
      <c r="BQ68" s="171"/>
      <c r="BR68" s="172"/>
      <c r="BS68" s="159"/>
      <c r="BT68" s="173"/>
      <c r="BX68" s="159"/>
      <c r="BY68" s="159"/>
      <c r="BZ68" s="27"/>
      <c r="CA68" s="27"/>
      <c r="CB68" s="27"/>
      <c r="CC68" s="27"/>
    </row>
    <row r="69" spans="8:81">
      <c r="H69" s="22">
        <v>63</v>
      </c>
      <c r="I69" s="123">
        <f t="shared" si="24"/>
        <v>0.315</v>
      </c>
      <c r="J69" s="25"/>
      <c r="K69" s="25"/>
      <c r="L69" s="25"/>
      <c r="M69" s="25"/>
      <c r="N69" s="124"/>
      <c r="O69" s="27"/>
      <c r="P69" s="25"/>
      <c r="Q69" s="131"/>
      <c r="S69" s="132"/>
      <c r="T69" s="132"/>
      <c r="U69" s="132"/>
      <c r="AJ69" s="131"/>
      <c r="AZ69" s="92"/>
      <c r="BJ69" s="159"/>
      <c r="BK69" s="159"/>
      <c r="BL69" s="159"/>
      <c r="BO69" s="27"/>
      <c r="BP69" s="159"/>
      <c r="BQ69" s="171"/>
      <c r="BR69" s="172"/>
      <c r="BS69" s="159"/>
      <c r="BT69" s="173"/>
      <c r="BX69" s="159"/>
      <c r="BY69" s="159"/>
      <c r="BZ69" s="27"/>
      <c r="CA69" s="27"/>
      <c r="CB69" s="27"/>
      <c r="CC69" s="27"/>
    </row>
    <row r="70" spans="8:81">
      <c r="H70" s="22">
        <v>64</v>
      </c>
      <c r="I70" s="123">
        <f t="shared" ref="I70:I101" si="25">IF(PLOT_TYPE=1,H70/100*Iout_max,min_I*EXP(H70*rr/100))</f>
        <v>0.32</v>
      </c>
      <c r="J70" s="25"/>
      <c r="K70" s="25"/>
      <c r="L70" s="25"/>
      <c r="M70" s="25"/>
      <c r="N70" s="124"/>
      <c r="O70" s="27"/>
      <c r="P70" s="25"/>
      <c r="Q70" s="131"/>
      <c r="S70" s="132"/>
      <c r="T70" s="132"/>
      <c r="U70" s="132"/>
      <c r="AJ70" s="131"/>
      <c r="AZ70" s="92"/>
      <c r="BJ70" s="159"/>
      <c r="BK70" s="159"/>
      <c r="BL70" s="159"/>
      <c r="BO70" s="27"/>
      <c r="BP70" s="159"/>
      <c r="BQ70" s="171"/>
      <c r="BR70" s="172"/>
      <c r="BS70" s="159"/>
      <c r="BT70" s="173"/>
      <c r="BX70" s="159"/>
      <c r="BY70" s="159"/>
      <c r="BZ70" s="27"/>
      <c r="CA70" s="27"/>
      <c r="CB70" s="27"/>
      <c r="CC70" s="27"/>
    </row>
    <row r="71" spans="8:81">
      <c r="H71" s="22">
        <v>65</v>
      </c>
      <c r="I71" s="123">
        <f t="shared" si="25"/>
        <v>0.325</v>
      </c>
      <c r="J71" s="25"/>
      <c r="K71" s="25"/>
      <c r="L71" s="25"/>
      <c r="M71" s="25"/>
      <c r="N71" s="124"/>
      <c r="O71" s="27"/>
      <c r="P71" s="25"/>
      <c r="Q71" s="131"/>
      <c r="S71" s="132"/>
      <c r="T71" s="132"/>
      <c r="U71" s="132"/>
      <c r="AJ71" s="131"/>
      <c r="AZ71" s="92"/>
      <c r="BJ71" s="159"/>
      <c r="BK71" s="159"/>
      <c r="BL71" s="159"/>
      <c r="BO71" s="27"/>
      <c r="BP71" s="159"/>
      <c r="BQ71" s="171"/>
      <c r="BR71" s="172"/>
      <c r="BS71" s="159"/>
      <c r="BT71" s="173"/>
      <c r="BX71" s="159"/>
      <c r="BY71" s="159"/>
      <c r="BZ71" s="27"/>
      <c r="CA71" s="27"/>
      <c r="CB71" s="27"/>
      <c r="CC71" s="27"/>
    </row>
    <row r="72" spans="8:81">
      <c r="H72" s="22">
        <v>66</v>
      </c>
      <c r="I72" s="123">
        <f t="shared" si="25"/>
        <v>0.33</v>
      </c>
      <c r="J72" s="25"/>
      <c r="K72" s="25"/>
      <c r="L72" s="25"/>
      <c r="M72" s="25"/>
      <c r="N72" s="124"/>
      <c r="O72" s="27"/>
      <c r="P72" s="25"/>
      <c r="Q72" s="131"/>
      <c r="S72" s="132"/>
      <c r="T72" s="132"/>
      <c r="U72" s="132"/>
      <c r="AJ72" s="131"/>
      <c r="AZ72" s="92"/>
      <c r="BJ72" s="159"/>
      <c r="BK72" s="159"/>
      <c r="BL72" s="159"/>
      <c r="BO72" s="27"/>
      <c r="BP72" s="159"/>
      <c r="BQ72" s="171"/>
      <c r="BR72" s="172"/>
      <c r="BS72" s="159"/>
      <c r="BT72" s="173"/>
      <c r="BX72" s="159"/>
      <c r="BY72" s="159"/>
      <c r="BZ72" s="27"/>
      <c r="CA72" s="27"/>
      <c r="CB72" s="27"/>
      <c r="CC72" s="27"/>
    </row>
    <row r="73" spans="8:81">
      <c r="H73" s="22">
        <v>67</v>
      </c>
      <c r="I73" s="123">
        <f t="shared" si="25"/>
        <v>0.335</v>
      </c>
      <c r="J73" s="25"/>
      <c r="K73" s="25"/>
      <c r="L73" s="25"/>
      <c r="M73" s="25"/>
      <c r="N73" s="124"/>
      <c r="O73" s="27"/>
      <c r="P73" s="25"/>
      <c r="Q73" s="131"/>
      <c r="S73" s="132"/>
      <c r="T73" s="132"/>
      <c r="U73" s="132"/>
      <c r="AJ73" s="131"/>
      <c r="AZ73" s="92"/>
      <c r="BJ73" s="159"/>
      <c r="BK73" s="159"/>
      <c r="BL73" s="159"/>
      <c r="BO73" s="27"/>
      <c r="BP73" s="159"/>
      <c r="BQ73" s="171"/>
      <c r="BR73" s="172"/>
      <c r="BS73" s="159"/>
      <c r="BT73" s="173"/>
      <c r="BX73" s="159"/>
      <c r="BY73" s="159"/>
      <c r="BZ73" s="27"/>
      <c r="CA73" s="27"/>
      <c r="CB73" s="27"/>
      <c r="CC73" s="27"/>
    </row>
    <row r="74" spans="8:81">
      <c r="H74" s="22">
        <v>68</v>
      </c>
      <c r="I74" s="123">
        <f t="shared" si="25"/>
        <v>0.34</v>
      </c>
      <c r="J74" s="25"/>
      <c r="K74" s="25"/>
      <c r="L74" s="25"/>
      <c r="M74" s="25"/>
      <c r="N74" s="124"/>
      <c r="O74" s="27"/>
      <c r="P74" s="25"/>
      <c r="Q74" s="131"/>
      <c r="S74" s="132"/>
      <c r="T74" s="132"/>
      <c r="U74" s="132"/>
      <c r="AJ74" s="131"/>
      <c r="AZ74" s="92"/>
      <c r="BJ74" s="159"/>
      <c r="BK74" s="159"/>
      <c r="BL74" s="159"/>
      <c r="BO74" s="27"/>
      <c r="BP74" s="159"/>
      <c r="BQ74" s="171"/>
      <c r="BR74" s="172"/>
      <c r="BS74" s="159"/>
      <c r="BT74" s="173"/>
      <c r="BX74" s="159"/>
      <c r="BY74" s="159"/>
      <c r="BZ74" s="27"/>
      <c r="CA74" s="27"/>
      <c r="CB74" s="27"/>
      <c r="CC74" s="27"/>
    </row>
    <row r="75" spans="8:81">
      <c r="H75" s="22">
        <v>69</v>
      </c>
      <c r="I75" s="123">
        <f t="shared" si="25"/>
        <v>0.345</v>
      </c>
      <c r="J75" s="25"/>
      <c r="K75" s="25"/>
      <c r="L75" s="25"/>
      <c r="M75" s="25"/>
      <c r="N75" s="124"/>
      <c r="O75" s="27"/>
      <c r="P75" s="25"/>
      <c r="Q75" s="131"/>
      <c r="S75" s="132"/>
      <c r="T75" s="132"/>
      <c r="U75" s="132"/>
      <c r="AJ75" s="131"/>
      <c r="AZ75" s="92"/>
      <c r="BJ75" s="159"/>
      <c r="BK75" s="159"/>
      <c r="BL75" s="159"/>
      <c r="BO75" s="27"/>
      <c r="BP75" s="159"/>
      <c r="BQ75" s="171"/>
      <c r="BR75" s="172"/>
      <c r="BS75" s="159"/>
      <c r="BT75" s="173"/>
      <c r="BX75" s="159"/>
      <c r="BY75" s="159"/>
      <c r="BZ75" s="27"/>
      <c r="CA75" s="27"/>
      <c r="CB75" s="27"/>
      <c r="CC75" s="27"/>
    </row>
    <row r="76" spans="8:81">
      <c r="H76" s="22">
        <v>70</v>
      </c>
      <c r="I76" s="123">
        <f t="shared" si="25"/>
        <v>0.35</v>
      </c>
      <c r="J76" s="25"/>
      <c r="K76" s="25"/>
      <c r="L76" s="25"/>
      <c r="M76" s="25"/>
      <c r="N76" s="124"/>
      <c r="O76" s="27"/>
      <c r="P76" s="25"/>
      <c r="Q76" s="131"/>
      <c r="S76" s="132"/>
      <c r="T76" s="132"/>
      <c r="U76" s="132"/>
      <c r="AJ76" s="131"/>
      <c r="AZ76" s="92"/>
      <c r="BJ76" s="159"/>
      <c r="BK76" s="159"/>
      <c r="BL76" s="159"/>
      <c r="BO76" s="27"/>
      <c r="BP76" s="159"/>
      <c r="BQ76" s="171"/>
      <c r="BR76" s="172"/>
      <c r="BS76" s="159"/>
      <c r="BT76" s="173"/>
      <c r="BX76" s="159"/>
      <c r="BY76" s="159"/>
      <c r="BZ76" s="27"/>
      <c r="CA76" s="27"/>
      <c r="CB76" s="27"/>
      <c r="CC76" s="27"/>
    </row>
    <row r="77" spans="8:81">
      <c r="H77" s="22">
        <v>71</v>
      </c>
      <c r="I77" s="123">
        <f t="shared" si="25"/>
        <v>0.355</v>
      </c>
      <c r="J77" s="25"/>
      <c r="K77" s="25"/>
      <c r="L77" s="25"/>
      <c r="M77" s="25"/>
      <c r="N77" s="124"/>
      <c r="O77" s="27"/>
      <c r="P77" s="25"/>
      <c r="Q77" s="131"/>
      <c r="S77" s="132"/>
      <c r="T77" s="132"/>
      <c r="U77" s="132"/>
      <c r="AJ77" s="131"/>
      <c r="AZ77" s="92"/>
      <c r="BJ77" s="159"/>
      <c r="BK77" s="159"/>
      <c r="BL77" s="159"/>
      <c r="BO77" s="27"/>
      <c r="BP77" s="159"/>
      <c r="BQ77" s="171"/>
      <c r="BR77" s="172"/>
      <c r="BS77" s="159"/>
      <c r="BT77" s="173"/>
      <c r="BX77" s="159"/>
      <c r="BY77" s="159"/>
      <c r="BZ77" s="27"/>
      <c r="CA77" s="27"/>
      <c r="CB77" s="27"/>
      <c r="CC77" s="27"/>
    </row>
    <row r="78" spans="8:81">
      <c r="H78" s="22">
        <v>72</v>
      </c>
      <c r="I78" s="123">
        <f t="shared" si="25"/>
        <v>0.36</v>
      </c>
      <c r="J78" s="25"/>
      <c r="K78" s="25"/>
      <c r="L78" s="25"/>
      <c r="M78" s="25"/>
      <c r="N78" s="124"/>
      <c r="O78" s="27"/>
      <c r="P78" s="25"/>
      <c r="Q78" s="131"/>
      <c r="S78" s="132"/>
      <c r="T78" s="132"/>
      <c r="U78" s="132"/>
      <c r="AJ78" s="131"/>
      <c r="AZ78" s="92"/>
      <c r="BJ78" s="159"/>
      <c r="BK78" s="159"/>
      <c r="BL78" s="159"/>
      <c r="BO78" s="27"/>
      <c r="BP78" s="159"/>
      <c r="BQ78" s="171"/>
      <c r="BR78" s="172"/>
      <c r="BS78" s="159"/>
      <c r="BT78" s="173"/>
      <c r="BX78" s="159"/>
      <c r="BY78" s="159"/>
      <c r="BZ78" s="27"/>
      <c r="CA78" s="27"/>
      <c r="CB78" s="27"/>
      <c r="CC78" s="27"/>
    </row>
    <row r="79" spans="8:81">
      <c r="H79" s="22">
        <v>73</v>
      </c>
      <c r="I79" s="123">
        <f t="shared" si="25"/>
        <v>0.365</v>
      </c>
      <c r="J79" s="25"/>
      <c r="K79" s="25"/>
      <c r="L79" s="25"/>
      <c r="M79" s="25"/>
      <c r="N79" s="124"/>
      <c r="O79" s="27"/>
      <c r="P79" s="25"/>
      <c r="Q79" s="131"/>
      <c r="S79" s="132"/>
      <c r="T79" s="132"/>
      <c r="U79" s="132"/>
      <c r="AJ79" s="131"/>
      <c r="AZ79" s="92"/>
      <c r="BJ79" s="159"/>
      <c r="BK79" s="159"/>
      <c r="BL79" s="159"/>
      <c r="BO79" s="27"/>
      <c r="BP79" s="159"/>
      <c r="BQ79" s="171"/>
      <c r="BR79" s="172"/>
      <c r="BS79" s="159"/>
      <c r="BT79" s="173"/>
      <c r="BX79" s="159"/>
      <c r="BY79" s="159"/>
      <c r="BZ79" s="27"/>
      <c r="CA79" s="27"/>
      <c r="CB79" s="27"/>
      <c r="CC79" s="27"/>
    </row>
    <row r="80" spans="8:81">
      <c r="H80" s="22">
        <v>74</v>
      </c>
      <c r="I80" s="123">
        <f t="shared" si="25"/>
        <v>0.37</v>
      </c>
      <c r="J80" s="25"/>
      <c r="K80" s="25"/>
      <c r="L80" s="25"/>
      <c r="M80" s="25"/>
      <c r="N80" s="124"/>
      <c r="O80" s="27"/>
      <c r="P80" s="25"/>
      <c r="Q80" s="131"/>
      <c r="S80" s="132"/>
      <c r="T80" s="132"/>
      <c r="U80" s="132"/>
      <c r="AJ80" s="131"/>
      <c r="AZ80" s="92"/>
      <c r="BJ80" s="159"/>
      <c r="BK80" s="159"/>
      <c r="BL80" s="159"/>
      <c r="BO80" s="27"/>
      <c r="BP80" s="159"/>
      <c r="BQ80" s="171"/>
      <c r="BR80" s="172"/>
      <c r="BS80" s="159"/>
      <c r="BT80" s="173"/>
      <c r="BX80" s="159"/>
      <c r="BY80" s="159"/>
      <c r="BZ80" s="27"/>
      <c r="CA80" s="27"/>
      <c r="CB80" s="27"/>
      <c r="CC80" s="27"/>
    </row>
    <row r="81" spans="8:81">
      <c r="H81" s="22">
        <v>75</v>
      </c>
      <c r="I81" s="123">
        <f t="shared" si="25"/>
        <v>0.375</v>
      </c>
      <c r="J81" s="25"/>
      <c r="K81" s="25"/>
      <c r="L81" s="25"/>
      <c r="M81" s="25"/>
      <c r="N81" s="124"/>
      <c r="O81" s="27"/>
      <c r="P81" s="25"/>
      <c r="Q81" s="131"/>
      <c r="S81" s="132"/>
      <c r="T81" s="132"/>
      <c r="U81" s="132"/>
      <c r="AJ81" s="131"/>
      <c r="AZ81" s="92"/>
      <c r="BJ81" s="159"/>
      <c r="BK81" s="159"/>
      <c r="BL81" s="159"/>
      <c r="BO81" s="27"/>
      <c r="BP81" s="159"/>
      <c r="BQ81" s="171"/>
      <c r="BR81" s="172"/>
      <c r="BS81" s="159"/>
      <c r="BT81" s="173"/>
      <c r="BX81" s="159"/>
      <c r="BY81" s="159"/>
      <c r="BZ81" s="27"/>
      <c r="CA81" s="27"/>
      <c r="CB81" s="27"/>
      <c r="CC81" s="27"/>
    </row>
    <row r="82" spans="8:81">
      <c r="H82" s="22">
        <v>76</v>
      </c>
      <c r="I82" s="123">
        <f t="shared" si="25"/>
        <v>0.38</v>
      </c>
      <c r="J82" s="25"/>
      <c r="K82" s="25"/>
      <c r="L82" s="25"/>
      <c r="M82" s="25"/>
      <c r="N82" s="124"/>
      <c r="O82" s="27"/>
      <c r="P82" s="25"/>
      <c r="Q82" s="131"/>
      <c r="S82" s="132"/>
      <c r="T82" s="132"/>
      <c r="U82" s="132"/>
      <c r="AJ82" s="131"/>
      <c r="AZ82" s="92"/>
      <c r="BJ82" s="159"/>
      <c r="BK82" s="159"/>
      <c r="BL82" s="159"/>
      <c r="BO82" s="27"/>
      <c r="BP82" s="159"/>
      <c r="BQ82" s="171"/>
      <c r="BR82" s="172"/>
      <c r="BS82" s="159"/>
      <c r="BT82" s="173"/>
      <c r="BX82" s="159"/>
      <c r="BY82" s="159"/>
      <c r="BZ82" s="27"/>
      <c r="CA82" s="27"/>
      <c r="CB82" s="27"/>
      <c r="CC82" s="27"/>
    </row>
    <row r="83" spans="8:81">
      <c r="H83" s="22">
        <v>77</v>
      </c>
      <c r="I83" s="123">
        <f t="shared" si="25"/>
        <v>0.385</v>
      </c>
      <c r="J83" s="25"/>
      <c r="K83" s="25"/>
      <c r="L83" s="25"/>
      <c r="M83" s="25"/>
      <c r="N83" s="124"/>
      <c r="O83" s="27"/>
      <c r="P83" s="25"/>
      <c r="Q83" s="131"/>
      <c r="S83" s="132"/>
      <c r="T83" s="132"/>
      <c r="U83" s="132"/>
      <c r="AJ83" s="131"/>
      <c r="AZ83" s="92"/>
      <c r="BJ83" s="159"/>
      <c r="BK83" s="159"/>
      <c r="BL83" s="159"/>
      <c r="BO83" s="27"/>
      <c r="BP83" s="159"/>
      <c r="BQ83" s="171"/>
      <c r="BR83" s="172"/>
      <c r="BS83" s="159"/>
      <c r="BT83" s="173"/>
      <c r="BX83" s="159"/>
      <c r="BY83" s="159"/>
      <c r="BZ83" s="27"/>
      <c r="CA83" s="27"/>
      <c r="CB83" s="27"/>
      <c r="CC83" s="27"/>
    </row>
    <row r="84" spans="8:81">
      <c r="H84" s="22">
        <v>78</v>
      </c>
      <c r="I84" s="123">
        <f t="shared" si="25"/>
        <v>0.39</v>
      </c>
      <c r="J84" s="25"/>
      <c r="K84" s="25"/>
      <c r="L84" s="25"/>
      <c r="M84" s="25"/>
      <c r="N84" s="124"/>
      <c r="O84" s="27"/>
      <c r="P84" s="25"/>
      <c r="Q84" s="131"/>
      <c r="S84" s="132"/>
      <c r="T84" s="132"/>
      <c r="U84" s="132"/>
      <c r="AJ84" s="131"/>
      <c r="AZ84" s="92"/>
      <c r="BJ84" s="159"/>
      <c r="BK84" s="159"/>
      <c r="BL84" s="159"/>
      <c r="BO84" s="27"/>
      <c r="BP84" s="159"/>
      <c r="BQ84" s="171"/>
      <c r="BR84" s="172"/>
      <c r="BS84" s="159"/>
      <c r="BT84" s="173"/>
      <c r="BX84" s="159"/>
      <c r="BY84" s="159"/>
      <c r="BZ84" s="27"/>
      <c r="CA84" s="27"/>
      <c r="CB84" s="27"/>
      <c r="CC84" s="27"/>
    </row>
    <row r="85" spans="8:81">
      <c r="H85" s="22">
        <v>79</v>
      </c>
      <c r="I85" s="123">
        <f t="shared" si="25"/>
        <v>0.395</v>
      </c>
      <c r="J85" s="25"/>
      <c r="K85" s="25"/>
      <c r="L85" s="25"/>
      <c r="M85" s="25"/>
      <c r="N85" s="124"/>
      <c r="O85" s="27"/>
      <c r="P85" s="25"/>
      <c r="Q85" s="131"/>
      <c r="S85" s="132"/>
      <c r="T85" s="132"/>
      <c r="U85" s="132"/>
      <c r="AJ85" s="131"/>
      <c r="AZ85" s="92"/>
      <c r="BJ85" s="159"/>
      <c r="BK85" s="159"/>
      <c r="BL85" s="159"/>
      <c r="BO85" s="27"/>
      <c r="BP85" s="159"/>
      <c r="BQ85" s="171"/>
      <c r="BR85" s="172"/>
      <c r="BS85" s="159"/>
      <c r="BT85" s="173"/>
      <c r="BX85" s="159"/>
      <c r="BY85" s="159"/>
      <c r="BZ85" s="27"/>
      <c r="CA85" s="27"/>
      <c r="CB85" s="27"/>
      <c r="CC85" s="27"/>
    </row>
    <row r="86" spans="8:81">
      <c r="H86" s="22">
        <v>80</v>
      </c>
      <c r="I86" s="123">
        <f t="shared" si="25"/>
        <v>0.4</v>
      </c>
      <c r="J86" s="25"/>
      <c r="K86" s="25"/>
      <c r="L86" s="25"/>
      <c r="M86" s="25"/>
      <c r="N86" s="124"/>
      <c r="O86" s="27"/>
      <c r="P86" s="25"/>
      <c r="Q86" s="131"/>
      <c r="S86" s="132"/>
      <c r="T86" s="132"/>
      <c r="U86" s="132"/>
      <c r="AJ86" s="131"/>
      <c r="AZ86" s="92"/>
      <c r="BJ86" s="159"/>
      <c r="BK86" s="159"/>
      <c r="BL86" s="159"/>
      <c r="BO86" s="27"/>
      <c r="BP86" s="159"/>
      <c r="BQ86" s="171"/>
      <c r="BR86" s="172"/>
      <c r="BS86" s="159"/>
      <c r="BT86" s="173"/>
      <c r="BX86" s="159"/>
      <c r="BY86" s="159"/>
      <c r="BZ86" s="27"/>
      <c r="CA86" s="27"/>
      <c r="CB86" s="27"/>
      <c r="CC86" s="27"/>
    </row>
    <row r="87" spans="8:81">
      <c r="H87" s="22">
        <v>81</v>
      </c>
      <c r="I87" s="123">
        <f t="shared" si="25"/>
        <v>0.405</v>
      </c>
      <c r="J87" s="25"/>
      <c r="K87" s="25"/>
      <c r="L87" s="25"/>
      <c r="M87" s="25"/>
      <c r="N87" s="124"/>
      <c r="O87" s="27"/>
      <c r="P87" s="25"/>
      <c r="Q87" s="131"/>
      <c r="S87" s="132"/>
      <c r="T87" s="132"/>
      <c r="U87" s="132"/>
      <c r="AJ87" s="131"/>
      <c r="AZ87" s="92"/>
      <c r="BJ87" s="159"/>
      <c r="BK87" s="159"/>
      <c r="BL87" s="159"/>
      <c r="BO87" s="27"/>
      <c r="BP87" s="159"/>
      <c r="BQ87" s="171"/>
      <c r="BR87" s="172"/>
      <c r="BS87" s="159"/>
      <c r="BT87" s="173"/>
      <c r="BX87" s="159"/>
      <c r="BY87" s="159"/>
      <c r="BZ87" s="27"/>
      <c r="CA87" s="27"/>
      <c r="CB87" s="27"/>
      <c r="CC87" s="27"/>
    </row>
    <row r="88" ht="13" spans="6:81">
      <c r="F88" s="110" t="s">
        <v>833</v>
      </c>
      <c r="G88" s="110" t="s">
        <v>594</v>
      </c>
      <c r="H88" s="22">
        <v>82</v>
      </c>
      <c r="I88" s="123">
        <f t="shared" si="25"/>
        <v>0.41</v>
      </c>
      <c r="J88" s="25"/>
      <c r="K88" s="25"/>
      <c r="L88" s="25"/>
      <c r="M88" s="25"/>
      <c r="N88" s="124"/>
      <c r="O88" s="27"/>
      <c r="P88" s="25"/>
      <c r="Q88" s="131"/>
      <c r="S88" s="132"/>
      <c r="T88" s="132"/>
      <c r="U88" s="132"/>
      <c r="AJ88" s="131"/>
      <c r="AZ88" s="92"/>
      <c r="BJ88" s="159"/>
      <c r="BK88" s="159"/>
      <c r="BL88" s="159"/>
      <c r="BO88" s="27"/>
      <c r="BP88" s="159"/>
      <c r="BQ88" s="171"/>
      <c r="BR88" s="172"/>
      <c r="BS88" s="159"/>
      <c r="BT88" s="173"/>
      <c r="BX88" s="159"/>
      <c r="BY88" s="159"/>
      <c r="BZ88" s="27"/>
      <c r="CA88" s="27"/>
      <c r="CB88" s="27"/>
      <c r="CC88" s="27"/>
    </row>
    <row r="89" spans="6:81">
      <c r="F89" s="111">
        <f>BO51</f>
        <v>0</v>
      </c>
      <c r="G89" s="112">
        <f>I56*1000</f>
        <v>250</v>
      </c>
      <c r="H89" s="22">
        <v>83</v>
      </c>
      <c r="I89" s="123">
        <f t="shared" si="25"/>
        <v>0.415</v>
      </c>
      <c r="J89" s="25"/>
      <c r="K89" s="25"/>
      <c r="L89" s="25"/>
      <c r="M89" s="25"/>
      <c r="N89" s="124"/>
      <c r="O89" s="27"/>
      <c r="P89" s="25"/>
      <c r="Q89" s="131"/>
      <c r="S89" s="132"/>
      <c r="T89" s="132"/>
      <c r="U89" s="132"/>
      <c r="AJ89" s="131"/>
      <c r="AZ89" s="92"/>
      <c r="BJ89" s="159"/>
      <c r="BK89" s="159"/>
      <c r="BL89" s="159"/>
      <c r="BO89" s="27"/>
      <c r="BP89" s="159"/>
      <c r="BQ89" s="171"/>
      <c r="BR89" s="172"/>
      <c r="BS89" s="159"/>
      <c r="BT89" s="173"/>
      <c r="BX89" s="159"/>
      <c r="BY89" s="159"/>
      <c r="BZ89" s="27"/>
      <c r="CA89" s="27"/>
      <c r="CB89" s="27"/>
      <c r="CC89" s="27"/>
    </row>
    <row r="90" spans="6:81">
      <c r="F90" s="111">
        <f>BO81</f>
        <v>0</v>
      </c>
      <c r="G90" s="112">
        <f>I81*1000</f>
        <v>375</v>
      </c>
      <c r="H90" s="22">
        <v>84</v>
      </c>
      <c r="I90" s="123">
        <f t="shared" si="25"/>
        <v>0.42</v>
      </c>
      <c r="J90" s="25"/>
      <c r="K90" s="25"/>
      <c r="L90" s="25"/>
      <c r="M90" s="25"/>
      <c r="N90" s="124"/>
      <c r="O90" s="27"/>
      <c r="P90" s="25"/>
      <c r="Q90" s="131"/>
      <c r="S90" s="132"/>
      <c r="T90" s="132"/>
      <c r="U90" s="132"/>
      <c r="AJ90" s="131"/>
      <c r="AZ90" s="92"/>
      <c r="BJ90" s="159"/>
      <c r="BK90" s="159"/>
      <c r="BL90" s="159"/>
      <c r="BO90" s="27"/>
      <c r="BP90" s="159"/>
      <c r="BQ90" s="171"/>
      <c r="BR90" s="172"/>
      <c r="BS90" s="159"/>
      <c r="BT90" s="173"/>
      <c r="BX90" s="159"/>
      <c r="BY90" s="159"/>
      <c r="BZ90" s="27"/>
      <c r="CA90" s="27"/>
      <c r="CB90" s="27"/>
      <c r="CC90" s="27"/>
    </row>
    <row r="91" spans="6:81">
      <c r="F91" s="111">
        <f>BO106</f>
        <v>88.6981813823265</v>
      </c>
      <c r="G91" s="112">
        <f>I106*1000</f>
        <v>500</v>
      </c>
      <c r="H91" s="22">
        <v>85</v>
      </c>
      <c r="I91" s="123">
        <f t="shared" si="25"/>
        <v>0.425</v>
      </c>
      <c r="J91" s="25"/>
      <c r="K91" s="25"/>
      <c r="L91" s="25"/>
      <c r="M91" s="25"/>
      <c r="N91" s="124"/>
      <c r="O91" s="27"/>
      <c r="P91" s="25"/>
      <c r="Q91" s="131"/>
      <c r="S91" s="132"/>
      <c r="T91" s="132"/>
      <c r="U91" s="132"/>
      <c r="AJ91" s="131"/>
      <c r="AZ91" s="92"/>
      <c r="BJ91" s="159"/>
      <c r="BK91" s="159"/>
      <c r="BL91" s="159"/>
      <c r="BO91" s="27"/>
      <c r="BP91" s="159"/>
      <c r="BQ91" s="171"/>
      <c r="BR91" s="172"/>
      <c r="BS91" s="159"/>
      <c r="BT91" s="173"/>
      <c r="BX91" s="159"/>
      <c r="BY91" s="159"/>
      <c r="BZ91" s="27"/>
      <c r="CA91" s="27"/>
      <c r="CB91" s="27"/>
      <c r="CC91" s="27"/>
    </row>
    <row r="92" spans="8:81">
      <c r="H92" s="22">
        <v>86</v>
      </c>
      <c r="I92" s="123">
        <f t="shared" si="25"/>
        <v>0.43</v>
      </c>
      <c r="J92" s="25"/>
      <c r="K92" s="25"/>
      <c r="L92" s="25"/>
      <c r="M92" s="25"/>
      <c r="N92" s="124"/>
      <c r="O92" s="27"/>
      <c r="P92" s="25"/>
      <c r="Q92" s="131"/>
      <c r="S92" s="132"/>
      <c r="T92" s="132"/>
      <c r="U92" s="132"/>
      <c r="AJ92" s="131"/>
      <c r="AZ92" s="92"/>
      <c r="BJ92" s="159"/>
      <c r="BK92" s="159"/>
      <c r="BL92" s="159"/>
      <c r="BO92" s="27"/>
      <c r="BP92" s="159"/>
      <c r="BQ92" s="171"/>
      <c r="BR92" s="172"/>
      <c r="BS92" s="159"/>
      <c r="BT92" s="173"/>
      <c r="BX92" s="159"/>
      <c r="BY92" s="159"/>
      <c r="BZ92" s="27"/>
      <c r="CA92" s="27"/>
      <c r="CB92" s="27"/>
      <c r="CC92" s="27"/>
    </row>
    <row r="93" spans="8:81">
      <c r="H93" s="22">
        <v>87</v>
      </c>
      <c r="I93" s="123">
        <f t="shared" si="25"/>
        <v>0.435</v>
      </c>
      <c r="J93" s="25"/>
      <c r="K93" s="25"/>
      <c r="L93" s="25"/>
      <c r="M93" s="25"/>
      <c r="N93" s="124"/>
      <c r="O93" s="27"/>
      <c r="P93" s="25"/>
      <c r="Q93" s="131"/>
      <c r="S93" s="132"/>
      <c r="T93" s="132"/>
      <c r="U93" s="132"/>
      <c r="AJ93" s="131"/>
      <c r="AZ93" s="92"/>
      <c r="BJ93" s="159"/>
      <c r="BK93" s="159"/>
      <c r="BL93" s="159"/>
      <c r="BO93" s="27"/>
      <c r="BP93" s="159"/>
      <c r="BQ93" s="171"/>
      <c r="BR93" s="172"/>
      <c r="BS93" s="159"/>
      <c r="BT93" s="173"/>
      <c r="BX93" s="159"/>
      <c r="BY93" s="159"/>
      <c r="BZ93" s="27"/>
      <c r="CA93" s="27"/>
      <c r="CB93" s="27"/>
      <c r="CC93" s="27"/>
    </row>
    <row r="94" spans="8:81">
      <c r="H94" s="22">
        <v>88</v>
      </c>
      <c r="I94" s="123">
        <f t="shared" si="25"/>
        <v>0.44</v>
      </c>
      <c r="J94" s="25"/>
      <c r="K94" s="25"/>
      <c r="L94" s="25"/>
      <c r="M94" s="25"/>
      <c r="N94" s="124"/>
      <c r="O94" s="27"/>
      <c r="P94" s="25"/>
      <c r="Q94" s="131"/>
      <c r="S94" s="132"/>
      <c r="T94" s="132"/>
      <c r="U94" s="132"/>
      <c r="AJ94" s="131"/>
      <c r="AZ94" s="92"/>
      <c r="BJ94" s="159"/>
      <c r="BK94" s="159"/>
      <c r="BL94" s="159"/>
      <c r="BO94" s="27"/>
      <c r="BP94" s="159"/>
      <c r="BQ94" s="171"/>
      <c r="BR94" s="172"/>
      <c r="BS94" s="159"/>
      <c r="BT94" s="173"/>
      <c r="BX94" s="159"/>
      <c r="BY94" s="159"/>
      <c r="BZ94" s="27"/>
      <c r="CA94" s="27"/>
      <c r="CB94" s="27"/>
      <c r="CC94" s="27"/>
    </row>
    <row r="95" spans="8:81">
      <c r="H95" s="22">
        <v>89</v>
      </c>
      <c r="I95" s="123">
        <f t="shared" si="25"/>
        <v>0.445</v>
      </c>
      <c r="J95" s="25"/>
      <c r="K95" s="25"/>
      <c r="L95" s="25"/>
      <c r="M95" s="25"/>
      <c r="N95" s="124"/>
      <c r="O95" s="27"/>
      <c r="P95" s="25"/>
      <c r="Q95" s="131"/>
      <c r="S95" s="132"/>
      <c r="T95" s="132"/>
      <c r="U95" s="132"/>
      <c r="AJ95" s="131"/>
      <c r="AZ95" s="92"/>
      <c r="BJ95" s="159"/>
      <c r="BK95" s="159"/>
      <c r="BL95" s="159"/>
      <c r="BO95" s="27"/>
      <c r="BP95" s="159"/>
      <c r="BQ95" s="171"/>
      <c r="BR95" s="172"/>
      <c r="BS95" s="159"/>
      <c r="BT95" s="173"/>
      <c r="BX95" s="159"/>
      <c r="BY95" s="159"/>
      <c r="BZ95" s="27"/>
      <c r="CA95" s="27"/>
      <c r="CB95" s="27"/>
      <c r="CC95" s="27"/>
    </row>
    <row r="96" spans="8:81">
      <c r="H96" s="22">
        <v>90</v>
      </c>
      <c r="I96" s="123">
        <f t="shared" si="25"/>
        <v>0.45</v>
      </c>
      <c r="J96" s="25"/>
      <c r="K96" s="25"/>
      <c r="L96" s="25"/>
      <c r="M96" s="25"/>
      <c r="N96" s="124"/>
      <c r="O96" s="27"/>
      <c r="P96" s="25"/>
      <c r="Q96" s="131"/>
      <c r="S96" s="132"/>
      <c r="T96" s="132"/>
      <c r="U96" s="132"/>
      <c r="AJ96" s="131"/>
      <c r="AZ96" s="92"/>
      <c r="BJ96" s="159"/>
      <c r="BK96" s="159"/>
      <c r="BL96" s="159"/>
      <c r="BO96" s="27"/>
      <c r="BP96" s="159"/>
      <c r="BQ96" s="171"/>
      <c r="BR96" s="172"/>
      <c r="BS96" s="159"/>
      <c r="BT96" s="173"/>
      <c r="BX96" s="159"/>
      <c r="BY96" s="159"/>
      <c r="BZ96" s="27"/>
      <c r="CA96" s="27"/>
      <c r="CB96" s="27"/>
      <c r="CC96" s="27"/>
    </row>
    <row r="97" spans="8:81">
      <c r="H97" s="22">
        <v>91</v>
      </c>
      <c r="I97" s="123">
        <f t="shared" si="25"/>
        <v>0.455</v>
      </c>
      <c r="J97" s="25"/>
      <c r="K97" s="25"/>
      <c r="L97" s="25"/>
      <c r="M97" s="25"/>
      <c r="N97" s="124"/>
      <c r="O97" s="27"/>
      <c r="P97" s="25"/>
      <c r="Q97" s="131"/>
      <c r="S97" s="132"/>
      <c r="T97" s="132"/>
      <c r="U97" s="132"/>
      <c r="AJ97" s="131"/>
      <c r="AZ97" s="92"/>
      <c r="BJ97" s="159"/>
      <c r="BK97" s="159"/>
      <c r="BL97" s="159"/>
      <c r="BO97" s="27"/>
      <c r="BP97" s="159"/>
      <c r="BQ97" s="171"/>
      <c r="BR97" s="172"/>
      <c r="BS97" s="159"/>
      <c r="BT97" s="173"/>
      <c r="BX97" s="159"/>
      <c r="BY97" s="159"/>
      <c r="BZ97" s="27"/>
      <c r="CA97" s="27"/>
      <c r="CB97" s="27"/>
      <c r="CC97" s="27"/>
    </row>
    <row r="98" spans="8:81">
      <c r="H98" s="22">
        <v>92</v>
      </c>
      <c r="I98" s="123">
        <f t="shared" si="25"/>
        <v>0.46</v>
      </c>
      <c r="J98" s="25"/>
      <c r="K98" s="25"/>
      <c r="L98" s="25"/>
      <c r="M98" s="25"/>
      <c r="N98" s="124"/>
      <c r="O98" s="27"/>
      <c r="P98" s="25"/>
      <c r="Q98" s="131"/>
      <c r="S98" s="132"/>
      <c r="T98" s="132"/>
      <c r="U98" s="132"/>
      <c r="AJ98" s="131"/>
      <c r="AZ98" s="92"/>
      <c r="BJ98" s="159"/>
      <c r="BK98" s="159"/>
      <c r="BL98" s="159"/>
      <c r="BO98" s="27"/>
      <c r="BP98" s="159"/>
      <c r="BQ98" s="171"/>
      <c r="BR98" s="172"/>
      <c r="BS98" s="159"/>
      <c r="BT98" s="173"/>
      <c r="BX98" s="159"/>
      <c r="BY98" s="159"/>
      <c r="BZ98" s="27"/>
      <c r="CA98" s="27"/>
      <c r="CB98" s="27"/>
      <c r="CC98" s="27"/>
    </row>
    <row r="99" spans="8:81">
      <c r="H99" s="22">
        <v>93</v>
      </c>
      <c r="I99" s="123">
        <f t="shared" si="25"/>
        <v>0.465</v>
      </c>
      <c r="J99" s="25"/>
      <c r="K99" s="25"/>
      <c r="L99" s="25"/>
      <c r="M99" s="25"/>
      <c r="N99" s="124"/>
      <c r="O99" s="27"/>
      <c r="P99" s="25"/>
      <c r="Q99" s="131"/>
      <c r="S99" s="132"/>
      <c r="T99" s="132"/>
      <c r="U99" s="132"/>
      <c r="AJ99" s="131"/>
      <c r="AZ99" s="92"/>
      <c r="BJ99" s="159"/>
      <c r="BK99" s="159"/>
      <c r="BL99" s="159"/>
      <c r="BO99" s="27"/>
      <c r="BP99" s="159"/>
      <c r="BQ99" s="171"/>
      <c r="BR99" s="172"/>
      <c r="BS99" s="159"/>
      <c r="BT99" s="173"/>
      <c r="BX99" s="159"/>
      <c r="BY99" s="159"/>
      <c r="BZ99" s="27"/>
      <c r="CA99" s="27"/>
      <c r="CB99" s="27"/>
      <c r="CC99" s="27"/>
    </row>
    <row r="100" spans="8:81">
      <c r="H100" s="22">
        <v>94</v>
      </c>
      <c r="I100" s="123">
        <f t="shared" si="25"/>
        <v>0.47</v>
      </c>
      <c r="J100" s="25"/>
      <c r="K100" s="25"/>
      <c r="L100" s="25"/>
      <c r="M100" s="25"/>
      <c r="N100" s="124"/>
      <c r="O100" s="27"/>
      <c r="P100" s="25"/>
      <c r="Q100" s="131"/>
      <c r="S100" s="132"/>
      <c r="T100" s="132"/>
      <c r="U100" s="132"/>
      <c r="AJ100" s="131"/>
      <c r="AZ100" s="92"/>
      <c r="BJ100" s="159"/>
      <c r="BK100" s="159"/>
      <c r="BL100" s="159"/>
      <c r="BO100" s="27"/>
      <c r="BP100" s="159"/>
      <c r="BQ100" s="171"/>
      <c r="BR100" s="172"/>
      <c r="BS100" s="159"/>
      <c r="BT100" s="173"/>
      <c r="BX100" s="159"/>
      <c r="BY100" s="159"/>
      <c r="BZ100" s="27"/>
      <c r="CA100" s="27"/>
      <c r="CB100" s="27"/>
      <c r="CC100" s="27"/>
    </row>
    <row r="101" spans="8:81">
      <c r="H101" s="22">
        <v>95</v>
      </c>
      <c r="I101" s="123">
        <f t="shared" si="25"/>
        <v>0.475</v>
      </c>
      <c r="J101" s="25"/>
      <c r="K101" s="25"/>
      <c r="L101" s="25"/>
      <c r="M101" s="25"/>
      <c r="N101" s="124"/>
      <c r="O101" s="27"/>
      <c r="P101" s="25"/>
      <c r="Q101" s="131"/>
      <c r="S101" s="132"/>
      <c r="T101" s="132"/>
      <c r="U101" s="132"/>
      <c r="AJ101" s="131"/>
      <c r="AZ101" s="92"/>
      <c r="BJ101" s="159"/>
      <c r="BK101" s="159"/>
      <c r="BL101" s="159"/>
      <c r="BO101" s="27"/>
      <c r="BP101" s="159"/>
      <c r="BQ101" s="171"/>
      <c r="BR101" s="172"/>
      <c r="BS101" s="159"/>
      <c r="BT101" s="173"/>
      <c r="BX101" s="159"/>
      <c r="BY101" s="159"/>
      <c r="BZ101" s="27"/>
      <c r="CA101" s="27"/>
      <c r="CB101" s="27"/>
      <c r="CC101" s="27"/>
    </row>
    <row r="102" spans="8:81">
      <c r="H102" s="22">
        <v>96</v>
      </c>
      <c r="I102" s="123">
        <f t="shared" ref="I102:I106" si="26">IF(PLOT_TYPE=1,H102/100*Iout_max,min_I*EXP(H102*rr/100))</f>
        <v>0.48</v>
      </c>
      <c r="J102" s="25"/>
      <c r="K102" s="25"/>
      <c r="L102" s="25"/>
      <c r="M102" s="25"/>
      <c r="N102" s="124"/>
      <c r="O102" s="27"/>
      <c r="P102" s="25"/>
      <c r="Q102" s="131"/>
      <c r="S102" s="132"/>
      <c r="T102" s="132"/>
      <c r="U102" s="132"/>
      <c r="AJ102" s="131"/>
      <c r="AZ102" s="92"/>
      <c r="BJ102" s="159"/>
      <c r="BK102" s="159"/>
      <c r="BL102" s="159"/>
      <c r="BO102" s="27"/>
      <c r="BP102" s="159"/>
      <c r="BQ102" s="171"/>
      <c r="BR102" s="172"/>
      <c r="BS102" s="159"/>
      <c r="BT102" s="173"/>
      <c r="BX102" s="159"/>
      <c r="BY102" s="159"/>
      <c r="BZ102" s="27"/>
      <c r="CA102" s="27"/>
      <c r="CB102" s="27"/>
      <c r="CC102" s="27"/>
    </row>
    <row r="103" spans="8:81">
      <c r="H103" s="22">
        <v>97</v>
      </c>
      <c r="I103" s="123">
        <f t="shared" si="26"/>
        <v>0.485</v>
      </c>
      <c r="J103" s="25"/>
      <c r="K103" s="25"/>
      <c r="L103" s="25"/>
      <c r="M103" s="25"/>
      <c r="N103" s="124"/>
      <c r="O103" s="27"/>
      <c r="P103" s="25"/>
      <c r="Q103" s="131"/>
      <c r="S103" s="132"/>
      <c r="T103" s="132"/>
      <c r="U103" s="132"/>
      <c r="AJ103" s="131"/>
      <c r="AZ103" s="92"/>
      <c r="BJ103" s="159"/>
      <c r="BK103" s="159"/>
      <c r="BL103" s="159"/>
      <c r="BO103" s="27"/>
      <c r="BP103" s="159"/>
      <c r="BQ103" s="171"/>
      <c r="BR103" s="172"/>
      <c r="BS103" s="159"/>
      <c r="BT103" s="173"/>
      <c r="BX103" s="159"/>
      <c r="BY103" s="159"/>
      <c r="BZ103" s="27"/>
      <c r="CA103" s="27"/>
      <c r="CB103" s="27"/>
      <c r="CC103" s="27"/>
    </row>
    <row r="104" spans="8:81">
      <c r="H104" s="22">
        <v>98</v>
      </c>
      <c r="I104" s="123">
        <f t="shared" si="26"/>
        <v>0.49</v>
      </c>
      <c r="J104" s="25"/>
      <c r="K104" s="25"/>
      <c r="L104" s="25"/>
      <c r="M104" s="25"/>
      <c r="N104" s="124"/>
      <c r="O104" s="27"/>
      <c r="P104" s="25"/>
      <c r="Q104" s="131"/>
      <c r="S104" s="132"/>
      <c r="T104" s="132"/>
      <c r="U104" s="132"/>
      <c r="AJ104" s="131"/>
      <c r="AZ104" s="92"/>
      <c r="BJ104" s="159"/>
      <c r="BK104" s="159"/>
      <c r="BL104" s="159"/>
      <c r="BO104" s="27"/>
      <c r="BP104" s="159"/>
      <c r="BQ104" s="171"/>
      <c r="BR104" s="172"/>
      <c r="BS104" s="159"/>
      <c r="BT104" s="173"/>
      <c r="BX104" s="159"/>
      <c r="BY104" s="159"/>
      <c r="BZ104" s="27"/>
      <c r="CA104" s="27"/>
      <c r="CB104" s="27"/>
      <c r="CC104" s="27"/>
    </row>
    <row r="105" spans="8:81">
      <c r="H105" s="22">
        <v>99</v>
      </c>
      <c r="I105" s="123">
        <f t="shared" si="26"/>
        <v>0.495</v>
      </c>
      <c r="J105" s="25"/>
      <c r="K105" s="25"/>
      <c r="L105" s="25"/>
      <c r="M105" s="25"/>
      <c r="N105" s="124"/>
      <c r="O105" s="27"/>
      <c r="P105" s="25"/>
      <c r="Q105" s="131"/>
      <c r="S105" s="132"/>
      <c r="T105" s="132"/>
      <c r="U105" s="132"/>
      <c r="AJ105" s="131"/>
      <c r="AZ105" s="92"/>
      <c r="BJ105" s="159"/>
      <c r="BK105" s="159"/>
      <c r="BL105" s="159"/>
      <c r="BO105" s="27"/>
      <c r="BP105" s="159"/>
      <c r="BQ105" s="171"/>
      <c r="BR105" s="172"/>
      <c r="BS105" s="159"/>
      <c r="BT105" s="173"/>
      <c r="BX105" s="159"/>
      <c r="BY105" s="159"/>
      <c r="BZ105" s="27"/>
      <c r="CA105" s="27"/>
      <c r="CB105" s="27"/>
      <c r="CC105" s="27"/>
    </row>
    <row r="106" spans="8:81">
      <c r="H106" s="22">
        <v>100</v>
      </c>
      <c r="I106" s="123">
        <f t="shared" si="26"/>
        <v>0.5</v>
      </c>
      <c r="J106" s="25"/>
      <c r="K106" s="25"/>
      <c r="L106" s="25"/>
      <c r="M106" s="25"/>
      <c r="N106" s="124"/>
      <c r="O106" s="27"/>
      <c r="P106" s="25"/>
      <c r="Q106" s="131"/>
      <c r="S106" s="132"/>
      <c r="T106" s="132"/>
      <c r="U106" s="132"/>
      <c r="AJ106" s="131"/>
      <c r="AY106" s="23">
        <f>Vout*I106</f>
        <v>9</v>
      </c>
      <c r="AZ106" s="92">
        <f t="shared" ref="AZ106" si="27">AY106/(AY106+AX106)</f>
        <v>1</v>
      </c>
      <c r="BA106" s="28">
        <f t="shared" ref="BA106" si="28">AG106/($AY106+$AX106)</f>
        <v>0</v>
      </c>
      <c r="BB106" s="28">
        <f t="shared" ref="BB106" si="29">AO106/($AY106+$AX106)</f>
        <v>0</v>
      </c>
      <c r="BC106" s="28" t="e">
        <f t="shared" ref="BC106" si="30">Vin*R106*(QgBot+Qg)/($AY106+$AX106)</f>
        <v>#NAME?</v>
      </c>
      <c r="BD106" s="28">
        <f t="shared" ref="BD106" si="31">AK106/($AY106+$AX106)</f>
        <v>0</v>
      </c>
      <c r="BE106" s="28">
        <f t="shared" ref="BE106" si="32">AQ106/(AX106+AY106)</f>
        <v>0</v>
      </c>
      <c r="BF106" s="28">
        <f t="shared" ref="BF106" si="33">AR106/($AY106+$AX106)</f>
        <v>0</v>
      </c>
      <c r="BG106" s="28">
        <f t="shared" ref="BG106" si="34">W106/($AY106+$AX106)</f>
        <v>0</v>
      </c>
      <c r="BH106" s="28">
        <f t="shared" ref="BH106" si="35">X106/($AY106+$AX106)</f>
        <v>0</v>
      </c>
      <c r="BI106" s="28">
        <f t="shared" ref="BI106" si="36">(AB106+AE106)/($AY106+$AX106)</f>
        <v>0</v>
      </c>
      <c r="BJ106" s="159">
        <f t="shared" ref="BJ106" si="37">AT106/($AY106+$AX106)</f>
        <v>0</v>
      </c>
      <c r="BK106" s="159">
        <f t="shared" ref="BK106" si="38">AX106/($AY106+$AX106)</f>
        <v>0</v>
      </c>
      <c r="BL106" s="159">
        <f t="shared" ref="BL106" si="39">AZ106</f>
        <v>1</v>
      </c>
      <c r="BM106" s="27">
        <f t="shared" ref="BM106" si="40">100*BL106</f>
        <v>100</v>
      </c>
      <c r="BN106" s="25" t="e">
        <f>CHOOSE(MODE,I106*1000,#REF!)</f>
        <v>#REF!</v>
      </c>
      <c r="BO106" s="27">
        <v>88.6981813823265</v>
      </c>
      <c r="BP106" s="159">
        <f t="shared" ref="BP106" si="41">BO106/100</f>
        <v>0.886981813823265</v>
      </c>
      <c r="BQ106" s="171">
        <f t="shared" ref="BQ106" si="42">R106/1000</f>
        <v>0</v>
      </c>
      <c r="BR106" s="172"/>
      <c r="BS106" s="159">
        <f t="shared" ref="BS106" si="43">AL106/($AY106+$AX106)</f>
        <v>0</v>
      </c>
      <c r="BT106" s="173"/>
      <c r="BU106" s="27">
        <f t="shared" ref="BU106" si="44">1000*AW106</f>
        <v>0</v>
      </c>
      <c r="BV106" s="27">
        <f t="shared" ref="BV106" si="45">1000*AU106</f>
        <v>0</v>
      </c>
      <c r="BW106" s="27">
        <f t="shared" ref="BW106" si="46">1000*Y106</f>
        <v>0</v>
      </c>
      <c r="BX106" s="159"/>
      <c r="BY106" s="159"/>
      <c r="BZ106" s="27" t="e">
        <f>IF(MODE=1,BM106,#REF!)</f>
        <v>#REF!</v>
      </c>
      <c r="CA106" s="27" t="e">
        <f>IF(MODE=1,BU106,#REF!)</f>
        <v>#REF!</v>
      </c>
      <c r="CB106" s="27" t="e">
        <f>IF(MODE=1,BV106,#REF!)</f>
        <v>#REF!</v>
      </c>
      <c r="CC106" s="27" t="e">
        <f>IF(MODE=1,BW106,#REF!)</f>
        <v>#REF!</v>
      </c>
    </row>
    <row r="107" spans="69:77">
      <c r="BQ107" s="171"/>
      <c r="BR107" s="172"/>
      <c r="BS107" s="172"/>
      <c r="BT107" s="173"/>
      <c r="BX107" s="159"/>
      <c r="BY107" s="159"/>
    </row>
    <row r="108" ht="13" spans="8:62">
      <c r="H108" s="179">
        <v>1e-5</v>
      </c>
      <c r="I108" s="181" t="s">
        <v>18</v>
      </c>
      <c r="J108" s="182" t="s">
        <v>834</v>
      </c>
      <c r="AG108" s="23">
        <v>0.00495168787782023</v>
      </c>
      <c r="AH108" s="23">
        <v>0.0037188236700538</v>
      </c>
      <c r="AI108">
        <v>20</v>
      </c>
      <c r="AJ108" s="23">
        <v>18.9435917879211</v>
      </c>
      <c r="AK108" s="23">
        <v>0.00414533674853972</v>
      </c>
      <c r="AL108" s="23">
        <v>0.00716402151823072</v>
      </c>
      <c r="AN108" s="23">
        <v>0.0919404319324014</v>
      </c>
      <c r="AO108" s="23">
        <v>0.00845304302391653</v>
      </c>
      <c r="AP108" s="23">
        <v>0.000932815301852959</v>
      </c>
      <c r="AQ108" s="23">
        <v>0.009117875720263</v>
      </c>
      <c r="AR108" s="23">
        <v>0.00121407523348874</v>
      </c>
      <c r="AS108" s="23">
        <v>0.0187849939776683</v>
      </c>
      <c r="AZ108" s="188" t="s">
        <v>835</v>
      </c>
      <c r="BA108" s="189">
        <v>0.0036409104085969</v>
      </c>
      <c r="BB108" s="189">
        <v>0.00656922458411901</v>
      </c>
      <c r="BC108" s="189">
        <v>0.0543946942056835</v>
      </c>
      <c r="BD108" s="189">
        <v>0.0045907837520612</v>
      </c>
      <c r="BE108" s="189">
        <v>0</v>
      </c>
      <c r="BF108" s="189">
        <v>0.000737515794847654</v>
      </c>
      <c r="BG108" s="189">
        <v>0.00721512461803902</v>
      </c>
      <c r="BH108" s="189">
        <v>0.0149291203526308</v>
      </c>
      <c r="BI108" s="189">
        <v>5.50244344210278e-6</v>
      </c>
      <c r="BJ108" s="189">
        <v>0.0825515062288752</v>
      </c>
    </row>
    <row r="109" ht="13" spans="8:62">
      <c r="H109" s="180">
        <f>Iout_max</f>
        <v>0.5</v>
      </c>
      <c r="I109" s="181" t="s">
        <v>18</v>
      </c>
      <c r="J109" s="182" t="s">
        <v>836</v>
      </c>
      <c r="AZ109" s="188" t="s">
        <v>837</v>
      </c>
      <c r="BA109" s="189">
        <v>0.00810007090180003</v>
      </c>
      <c r="BB109" s="189">
        <v>0.0146148020493912</v>
      </c>
      <c r="BC109" s="189">
        <v>0.0248315346643259</v>
      </c>
      <c r="BD109" s="189">
        <v>0.00990570398271827</v>
      </c>
      <c r="BE109" s="189">
        <v>0.0116316083113056</v>
      </c>
      <c r="BF109" s="189">
        <v>0.00164655428034734</v>
      </c>
      <c r="BG109" s="189">
        <v>0.0160517602502505</v>
      </c>
      <c r="BH109" s="189">
        <v>0.00681524135685847</v>
      </c>
      <c r="BI109" s="189">
        <v>1.7517781122614e-5</v>
      </c>
      <c r="BJ109" s="189">
        <v>0.0128378298650886</v>
      </c>
    </row>
    <row r="110" ht="13" spans="8:10">
      <c r="H110" s="180">
        <f>LOG(max_I/min_I,EXP(1))</f>
        <v>10.8197782844103</v>
      </c>
      <c r="I110" s="25"/>
      <c r="J110" s="182" t="s">
        <v>838</v>
      </c>
    </row>
    <row r="111" ht="13" spans="52:62">
      <c r="AZ111" s="188"/>
      <c r="BA111" s="189"/>
      <c r="BB111" s="189"/>
      <c r="BC111" s="189"/>
      <c r="BD111" s="189"/>
      <c r="BE111" s="189"/>
      <c r="BF111" s="189"/>
      <c r="BG111" s="189"/>
      <c r="BH111" s="189"/>
      <c r="BI111" s="189"/>
      <c r="BJ111" s="189"/>
    </row>
    <row r="112" ht="13" spans="10:22">
      <c r="J112" s="183"/>
      <c r="R112" s="185"/>
      <c r="S112" s="185"/>
      <c r="T112" s="185"/>
      <c r="U112" s="185"/>
      <c r="V112" s="186"/>
    </row>
    <row r="113" ht="13" spans="10:22">
      <c r="J113" s="183"/>
      <c r="R113" s="185"/>
      <c r="S113" s="185"/>
      <c r="T113" s="185"/>
      <c r="U113" s="185"/>
      <c r="V113" s="186"/>
    </row>
    <row r="114" ht="13" spans="18:22">
      <c r="R114" s="187"/>
      <c r="S114" s="187"/>
      <c r="T114" s="187"/>
      <c r="U114" s="187"/>
      <c r="V114" s="186"/>
    </row>
    <row r="116" ht="13" spans="18:22">
      <c r="R116" s="187"/>
      <c r="S116" s="187"/>
      <c r="T116" s="187"/>
      <c r="U116" s="187"/>
      <c r="V116" s="186"/>
    </row>
    <row r="121" spans="22:22">
      <c r="V121" s="182"/>
    </row>
    <row r="122" spans="15:17">
      <c r="O122" s="182"/>
      <c r="P122" s="182"/>
      <c r="Q122" s="182"/>
    </row>
    <row r="123" spans="15:17">
      <c r="O123" s="182"/>
      <c r="P123" s="182"/>
      <c r="Q123" s="182"/>
    </row>
    <row r="124" spans="15:17">
      <c r="O124" s="182"/>
      <c r="P124" s="182"/>
      <c r="Q124" s="182"/>
    </row>
    <row r="125" spans="15:17">
      <c r="O125" s="182"/>
      <c r="P125" s="182"/>
      <c r="Q125" s="182"/>
    </row>
    <row r="126" spans="10:17">
      <c r="J126" s="184"/>
      <c r="O126" s="182"/>
      <c r="P126" s="182"/>
      <c r="Q126" s="182"/>
    </row>
    <row r="127" spans="10:17">
      <c r="J127" s="184"/>
      <c r="O127" s="182"/>
      <c r="P127" s="182"/>
      <c r="Q127" s="182"/>
    </row>
    <row r="128" spans="10:17">
      <c r="J128" s="184"/>
      <c r="O128" s="182"/>
      <c r="P128" s="182"/>
      <c r="Q128" s="182"/>
    </row>
    <row r="129" spans="10:17">
      <c r="J129" s="181"/>
      <c r="O129" s="182"/>
      <c r="P129" s="182"/>
      <c r="Q129" s="182"/>
    </row>
    <row r="130" spans="10:10">
      <c r="J130" s="181"/>
    </row>
    <row r="131" spans="10:10">
      <c r="J131" s="181"/>
    </row>
    <row r="132" spans="10:10">
      <c r="J132" s="181"/>
    </row>
    <row r="133" spans="10:10">
      <c r="J133" s="181"/>
    </row>
  </sheetData>
  <mergeCells count="4">
    <mergeCell ref="G2:H2"/>
    <mergeCell ref="A4:E4"/>
    <mergeCell ref="K4:U4"/>
    <mergeCell ref="A1:E3"/>
  </mergeCells>
  <conditionalFormatting sqref="B29">
    <cfRule type="cellIs" dxfId="21" priority="145" stopIfTrue="1" operator="notEqual">
      <formula>G30</formula>
    </cfRule>
  </conditionalFormatting>
  <conditionalFormatting sqref="B41">
    <cfRule type="cellIs" dxfId="21" priority="4" stopIfTrue="1" operator="notEqual">
      <formula>G53</formula>
    </cfRule>
  </conditionalFormatting>
  <conditionalFormatting sqref="B46">
    <cfRule type="cellIs" dxfId="21" priority="2" stopIfTrue="1" operator="notEqual">
      <formula>G66</formula>
    </cfRule>
  </conditionalFormatting>
  <conditionalFormatting sqref="B26:B28">
    <cfRule type="cellIs" dxfId="21" priority="8" stopIfTrue="1" operator="notEqual">
      <formula>G28</formula>
    </cfRule>
  </conditionalFormatting>
  <conditionalFormatting sqref="B30:B33">
    <cfRule type="cellIs" dxfId="21" priority="6" stopIfTrue="1" operator="notEqual">
      <formula>G36</formula>
    </cfRule>
  </conditionalFormatting>
  <conditionalFormatting sqref="B35:B36">
    <cfRule type="cellIs" dxfId="21" priority="5" stopIfTrue="1" operator="notEqual">
      <formula>G42</formula>
    </cfRule>
  </conditionalFormatting>
  <conditionalFormatting sqref="B38:B39">
    <cfRule type="cellIs" dxfId="21" priority="147" stopIfTrue="1" operator="notEqual">
      <formula>G43</formula>
    </cfRule>
  </conditionalFormatting>
  <conditionalFormatting sqref="B43:B45">
    <cfRule type="cellIs" dxfId="21" priority="13" stopIfTrue="1" operator="notEqual">
      <formula>G54</formula>
    </cfRule>
  </conditionalFormatting>
  <conditionalFormatting sqref="B48:B49">
    <cfRule type="cellIs" dxfId="21" priority="12" stopIfTrue="1" operator="notEqual">
      <formula>G68</formula>
    </cfRule>
  </conditionalFormatting>
  <conditionalFormatting sqref="B50:B53">
    <cfRule type="cellIs" dxfId="21" priority="9" stopIfTrue="1" operator="notEqual">
      <formula>G70</formula>
    </cfRule>
  </conditionalFormatting>
  <pageMargins left="0.75" right="0.75" top="1" bottom="1" header="0.5" footer="0.5"/>
  <pageSetup paperSize="1" scale="79" orientation="portrait"/>
  <headerFooter alignWithMargins="0"/>
  <colBreaks count="1" manualBreakCount="1">
    <brk id="7" max="1048575" man="1"/>
  </colBreaks>
  <ignoredErrors>
    <ignoredError sqref="D37 D11" formula="1"/>
    <ignoredError sqref="B41 BQ6:BQ7 B8:B9" unlockedFormula="1"/>
  </ignoredErrors>
  <drawing r:id="rId2"/>
  <legacyDrawing r:id="rId3"/>
  <oleObjects>
    <mc:AlternateContent xmlns:mc="http://schemas.openxmlformats.org/markup-compatibility/2006">
      <mc:Choice Requires="x14">
        <oleObject shapeId="683009" progId="Visio.Drawing.11" r:id="rId4">
          <objectPr defaultSize="0" r:id="rId5">
            <anchor moveWithCells="1">
              <from>
                <xdr:col>22</xdr:col>
                <xdr:colOff>184150</xdr:colOff>
                <xdr:row>111</xdr:row>
                <xdr:rowOff>146050</xdr:rowOff>
              </from>
              <to>
                <xdr:col>36</xdr:col>
                <xdr:colOff>12700</xdr:colOff>
                <xdr:row>125</xdr:row>
                <xdr:rowOff>146050</xdr:rowOff>
              </to>
            </anchor>
          </objectPr>
        </oleObject>
      </mc:Choice>
      <mc:Fallback>
        <oleObject shapeId="683009" progId="Visio.Drawing.11"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16" master="" otherUserPermission="visible"/>
  <rangeList sheetStid="14" master="" otherUserPermission="visible"/>
  <rangeList sheetStid="2" master="" otherUserPermission="visible"/>
  <rangeList sheetStid="29" master="" otherUserPermission="visible"/>
  <rangeList sheetStid="24" master="" otherUserPermission="visible"/>
  <rangeList sheetStid="25" master="" otherUserPermission="visible"/>
  <rangeList sheetStid="23" master="" otherUserPermission="visible"/>
  <rangeList sheetStid="19" master="" otherUserPermission="visible"/>
  <rangeList sheetStid="22" master="" otherUserPermission="visible"/>
  <rangeList sheetStid="28" master="" otherUserPermission="visible"/>
  <rangeList sheetStid="21" master="" otherUserPermission="visible"/>
  <rangeList sheetStid="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LM(2)518x PSR flyback converter</vt:lpstr>
      <vt:lpstr>BOM &amp; Schematic</vt:lpstr>
      <vt:lpstr>EVM Examples Layouts</vt:lpstr>
      <vt:lpstr>Variable Mgmt</vt:lpstr>
      <vt:lpstr>Stability Calculations</vt:lpstr>
      <vt:lpstr>Calculations - Single</vt:lpstr>
      <vt:lpstr>Calculations - Dual</vt:lpstr>
      <vt:lpstr>Fsw vs VIN</vt:lpstr>
      <vt:lpstr>Parameters</vt:lpstr>
      <vt:lpstr>Efficiency Plots</vt:lpstr>
      <vt:lpstr>Fsw Plots</vt:lpstr>
      <vt:lpstr>Schematic Mgmt</vt:lpstr>
      <vt:lpstr>Standard Value Calculator</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qzuser</cp:lastModifiedBy>
  <dcterms:created xsi:type="dcterms:W3CDTF">1996-10-14T23:33:00Z</dcterms:created>
  <cp:lastPrinted>2016-03-02T21:18:00Z</cp:lastPrinted>
  <dcterms:modified xsi:type="dcterms:W3CDTF">2024-12-19T08:22:23Z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C50137C658BF41159CC761D7F72EAA6F_13</vt:lpwstr>
  </property>
</Properties>
</file>