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C:\Users\a0132557\Desktop\Final Design Calculators\Rev 2\"/>
    </mc:Choice>
  </mc:AlternateContent>
  <xr:revisionPtr revIDLastSave="0" documentId="8_{3374AD45-DBA0-4952-A20D-4DF23182789C}" xr6:coauthVersionLast="36" xr6:coauthVersionMax="36" xr10:uidLastSave="{00000000-0000-0000-0000-000000000000}"/>
  <bookViews>
    <workbookView xWindow="0" yWindow="0" windowWidth="23040" windowHeight="9060" tabRatio="773" activeTab="1" xr2:uid="{00000000-000D-0000-FFFF-FFFF00000000}"/>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 name="Cap Tables" sheetId="17" state="hidden" r:id="rId8"/>
    <sheet name="Res EIA Tables" sheetId="16" state="hidden" r:id="rId9"/>
  </sheets>
  <externalReferences>
    <externalReference r:id="rId10"/>
    <externalReference r:id="rId11"/>
    <externalReference r:id="rId12"/>
  </externalReferences>
  <definedNames>
    <definedName name="CLMAX">'Design Calculator'!$F$35</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'[1]Calculation Sheet'!$D$9</definedName>
    <definedName name="COUTMAX">'Design Calculator'!$F$18</definedName>
    <definedName name="CTIMER">'Design Calculator'!#REF!</definedName>
    <definedName name="CTMR">'[1]Calculation Sheet'!$D$43</definedName>
    <definedName name="FETPDISS">'Design Calculator'!$F$58</definedName>
    <definedName name="I_Cout_ss">Equations!$F$74</definedName>
    <definedName name="IBST">'[1]Calculation Sheet'!$D$110</definedName>
    <definedName name="Iinrush">'[1]Calculation Sheet'!$D$11</definedName>
    <definedName name="ILIM" localSheetId="5">[2]ILIM_SOA_considerations!$C$25</definedName>
    <definedName name="ILIM">[3]ILIM_SOA_considerations!$C$25</definedName>
    <definedName name="Ilim_min" localSheetId="5">[2]ILIM_SOA_considerations!$C$61</definedName>
    <definedName name="Ilim_min">[3]ILIM_SOA_considerations!$C$61</definedName>
    <definedName name="Imax">'[1]Calculation Sheet'!$D$12</definedName>
    <definedName name="Inrush_Current">'Design Calculator'!$F$22</definedName>
    <definedName name="IOUTMAX">'Design Calculator'!$F$23</definedName>
    <definedName name="ISCP">'[1]Calculation Sheet'!$D$14</definedName>
    <definedName name="IWRN">'[1]Calculation Sheet'!$D$13</definedName>
    <definedName name="IWRN_final">'[1]Calculation Sheet'!$D$26</definedName>
    <definedName name="MaxFETPW">'Design Calculator'!#REF!</definedName>
    <definedName name="NUMFETS">'Design Calculator'!$F$50</definedName>
    <definedName name="Ovref_fall">'[1]Calculation Sheet'!$D$107</definedName>
    <definedName name="Ovref_rise">'[1]Calculation Sheet'!$D$106</definedName>
    <definedName name="OVset">'[1]Calculation Sheet'!$D$8</definedName>
    <definedName name="PLIM" localSheetId="5">[2]ILIM_SOA_considerations!$C$40</definedName>
    <definedName name="PLIM">[3]ILIM_SOA_considerations!$C$40</definedName>
    <definedName name="PLIMMAX">'Design Calculator'!#REF!</definedName>
    <definedName name="PLIMMIN">'Design Calculator'!#REF!</definedName>
    <definedName name="PLIMNOM">'Design Calculator'!#REF!</definedName>
    <definedName name="_xlnm.Print_Area" localSheetId="1">'Design Calculator'!$A$1:$M$180</definedName>
    <definedName name="R_1">'[1]Calculation Sheet'!$D$61</definedName>
    <definedName name="RDIV1">'Design Calculator'!#REF!</definedName>
    <definedName name="RDIV2">'Design Calculator'!#REF!</definedName>
    <definedName name="RDSON">'Design Calculator'!$AN$51</definedName>
    <definedName name="RIMON" localSheetId="7">'[1]Calculation Sheet'!$D$37</definedName>
    <definedName name="RIMON" localSheetId="8">'[1]Calculation Sheet'!$D$37</definedName>
    <definedName name="RIMON">'Design Calculator'!$F10</definedName>
    <definedName name="RISCP">'[1]Calculation Sheet'!$D$32</definedName>
    <definedName name="RIWRN">'[1]Calculation Sheet'!$D$25</definedName>
    <definedName name="RLIM">'Design Calculator'!$F$32</definedName>
    <definedName name="RPWR">'Design Calculator'!$F$64</definedName>
    <definedName name="Rrflt" localSheetId="5">[2]ILIM_SOA_considerations!$C$46</definedName>
    <definedName name="Rrflt">[3]ILIM_SOA_considerations!$C$46</definedName>
    <definedName name="Rs">'Design Calculator'!$F$29</definedName>
    <definedName name="RsEFF">Equations!$F$23</definedName>
    <definedName name="Rsense" localSheetId="5">[2]ILIM_SOA_considerations!$C$30</definedName>
    <definedName name="Rsense">[3]ILIM_SOA_considerations!$C$30</definedName>
    <definedName name="RSET">'[1]Calculation Sheet'!$D$22</definedName>
    <definedName name="RsMAX">'Design Calculator'!#REF!</definedName>
    <definedName name="RSNS">'Design Calculator'!XDR1048567</definedName>
    <definedName name="SOA_av" localSheetId="5">[2]ILIM_SOA_considerations!$C$52</definedName>
    <definedName name="SOA_av">[3]ILIM_SOA_considerations!$C$52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Equations!$F$70</definedName>
    <definedName name="T_cap_charge" localSheetId="5">[2]ILIM_SOA_considerations!$C$45</definedName>
    <definedName name="T_cap_charge">[3]ILIM_SOA_considerations!$C$45</definedName>
    <definedName name="T_margin" localSheetId="5">[2]ILIM_SOA_considerations!$C$9</definedName>
    <definedName name="T_margin">[3]ILIM_SOA_considerations!$C$9</definedName>
    <definedName name="T_total" localSheetId="5">[2]ILIM_SOA_considerations!$C$47</definedName>
    <definedName name="T_total">[3]ILIM_SOA_considerations!$C$47</definedName>
    <definedName name="TAMB">'Design Calculator'!$F$19</definedName>
    <definedName name="Tfault">'Design Calculator'!#REF!</definedName>
    <definedName name="Tfaultmax">'Design Calculator'!#REF!</definedName>
    <definedName name="ThetaJA">'Design Calculator'!$F$49</definedName>
    <definedName name="TINSERT">'Design Calculator'!#REF!</definedName>
    <definedName name="TINSERTMAX">Equations!$F$117</definedName>
    <definedName name="TINSERTMIN">Equations!$F$115</definedName>
    <definedName name="TJ">'Design Calculator'!$F$59</definedName>
    <definedName name="TJMAX">'Design Calculator'!$AN$52</definedName>
    <definedName name="TOC">'[1]Calculation Sheet'!$D$16</definedName>
    <definedName name="Tsd" localSheetId="5">[2]ILIM_SOA_considerations!$C$67</definedName>
    <definedName name="Tsd">[3]ILIM_SOA_considerations!$C$67</definedName>
    <definedName name="TSTARTMAX">Equations!$F$104</definedName>
    <definedName name="TSTARTMIN">Equations!$F$102</definedName>
    <definedName name="TSTARTNOM">Equations!$F$103</definedName>
    <definedName name="Uvref_fall">'[1]Calculation Sheet'!$D$105</definedName>
    <definedName name="Uvref_rise">'[1]Calculation Sheet'!$D$104</definedName>
    <definedName name="UVset">'[1]Calculation Sheet'!$D$7</definedName>
    <definedName name="V_BST_SRC">'[1]Calculation Sheet'!$D$109</definedName>
    <definedName name="V_sns_cl_max" localSheetId="5">[2]ILIM_SOA_considerations!$C$15</definedName>
    <definedName name="V_sns_cl_max">[3]ILIM_SOA_considerations!$C$15</definedName>
    <definedName name="VBST_UVLO">'[1]Calculation Sheet'!$D$108</definedName>
    <definedName name="Vbus" localSheetId="5">[2]ILIM_SOA_considerations!$C$23</definedName>
    <definedName name="Vbus">[3]ILIM_SOA_considerations!$C$23</definedName>
    <definedName name="Vimon_max">'[1]Calculation Sheet'!$D$18</definedName>
    <definedName name="VIN_nom">'[1]Calculation Sheet'!$D$6</definedName>
    <definedName name="VINMAX">'Design Calculator'!$F$16</definedName>
    <definedName name="VINMIN">'Design Calculator'!$F$14</definedName>
    <definedName name="VINNOM">'Design Calculator'!$F$15</definedName>
    <definedName name="yesno">'Design Calculator'!#REF!</definedName>
  </definedNames>
  <calcPr calcId="191029"/>
</workbook>
</file>

<file path=xl/calcChain.xml><?xml version="1.0" encoding="utf-8"?>
<calcChain xmlns="http://schemas.openxmlformats.org/spreadsheetml/2006/main">
  <c r="D35" i="6" l="1"/>
  <c r="L29" i="3" l="1"/>
  <c r="F29" i="3"/>
  <c r="F119" i="1" l="1"/>
  <c r="F28" i="3"/>
  <c r="F31" i="1" l="1"/>
  <c r="G143" i="3"/>
  <c r="F143" i="3"/>
  <c r="G142" i="3"/>
  <c r="I143" i="3"/>
  <c r="F97" i="1" s="1"/>
  <c r="I142" i="3"/>
  <c r="F96" i="1" s="1"/>
  <c r="I23" i="3"/>
  <c r="F34" i="1" s="1"/>
  <c r="F33" i="1" s="1"/>
  <c r="F116" i="1" l="1"/>
  <c r="F107" i="1"/>
  <c r="J2" i="13"/>
  <c r="L30" i="3"/>
  <c r="F31" i="3" s="1"/>
  <c r="F23" i="3"/>
  <c r="I29" i="3"/>
  <c r="I32" i="3"/>
  <c r="F42" i="1" s="1"/>
  <c r="F32" i="3"/>
  <c r="F40" i="1" s="1"/>
  <c r="I31" i="3" l="1"/>
  <c r="D8" i="6"/>
  <c r="F37" i="1"/>
  <c r="F30" i="3"/>
  <c r="F43" i="1" s="1"/>
  <c r="F113" i="1"/>
  <c r="F114" i="1"/>
  <c r="C74" i="17"/>
  <c r="C73" i="17" s="1"/>
  <c r="B74" i="17"/>
  <c r="B73" i="17" s="1"/>
  <c r="C71" i="17"/>
  <c r="B71" i="17"/>
  <c r="C70" i="17"/>
  <c r="C69" i="17" s="1"/>
  <c r="B70" i="17"/>
  <c r="B69" i="17" s="1"/>
  <c r="C67" i="17"/>
  <c r="B67" i="17"/>
  <c r="C66" i="17"/>
  <c r="B66" i="17"/>
  <c r="C65" i="17"/>
  <c r="B65" i="17"/>
  <c r="C63" i="17"/>
  <c r="C62" i="17" s="1"/>
  <c r="C61" i="17" s="1"/>
  <c r="B63" i="17"/>
  <c r="B62" i="17" s="1"/>
  <c r="B61" i="17" s="1"/>
  <c r="C59" i="17"/>
  <c r="C58" i="17" s="1"/>
  <c r="C57" i="17" s="1"/>
  <c r="B59" i="17"/>
  <c r="B58" i="17" s="1"/>
  <c r="B57" i="17" s="1"/>
  <c r="C55" i="17"/>
  <c r="C54" i="17" s="1"/>
  <c r="C53" i="17" s="1"/>
  <c r="B55" i="17"/>
  <c r="B54" i="17"/>
  <c r="B53" i="17" s="1"/>
  <c r="C51" i="17"/>
  <c r="B51" i="17"/>
  <c r="C50" i="17"/>
  <c r="B50" i="17"/>
  <c r="C49" i="17"/>
  <c r="B49" i="17"/>
  <c r="C47" i="17"/>
  <c r="C46" i="17" s="1"/>
  <c r="C45" i="17" s="1"/>
  <c r="B47" i="17"/>
  <c r="B46" i="17"/>
  <c r="B45" i="17"/>
  <c r="C43" i="17"/>
  <c r="C42" i="17" s="1"/>
  <c r="C41" i="17" s="1"/>
  <c r="B43" i="17"/>
  <c r="B42" i="17" s="1"/>
  <c r="B41" i="17" s="1"/>
  <c r="C39" i="17"/>
  <c r="B39" i="17"/>
  <c r="C38" i="17"/>
  <c r="C37" i="17" s="1"/>
  <c r="B38" i="17"/>
  <c r="B37" i="17" s="1"/>
  <c r="C35" i="17"/>
  <c r="B35" i="17"/>
  <c r="C34" i="17"/>
  <c r="B34" i="17"/>
  <c r="C33" i="17"/>
  <c r="B33" i="17"/>
  <c r="C31" i="17"/>
  <c r="B31" i="17"/>
  <c r="B30" i="17" s="1"/>
  <c r="B29" i="17" s="1"/>
  <c r="C30" i="17"/>
  <c r="C29" i="17" s="1"/>
  <c r="C27" i="17"/>
  <c r="C26" i="17"/>
  <c r="C25" i="17" s="1"/>
  <c r="C23" i="17"/>
  <c r="C22" i="17" s="1"/>
  <c r="C21" i="17" s="1"/>
  <c r="C19" i="17"/>
  <c r="C18" i="17"/>
  <c r="C17" i="17"/>
  <c r="I25" i="3"/>
  <c r="F189" i="3" l="1"/>
  <c r="E16" i="3"/>
  <c r="C8" i="6"/>
  <c r="E15" i="3" s="1"/>
  <c r="E8" i="6"/>
  <c r="E17" i="3" s="1"/>
  <c r="F108" i="1"/>
  <c r="AN43" i="1"/>
  <c r="I30" i="3"/>
  <c r="F190" i="3" l="1"/>
  <c r="F188" i="3"/>
  <c r="F45" i="1"/>
  <c r="F106" i="1" l="1"/>
  <c r="F142" i="3"/>
  <c r="F139" i="3"/>
  <c r="F137" i="3" s="1"/>
  <c r="H143" i="3"/>
  <c r="F98" i="1" s="1"/>
  <c r="H142" i="3"/>
  <c r="G140" i="3"/>
  <c r="G138" i="3"/>
  <c r="F95" i="1" l="1"/>
  <c r="F69" i="3"/>
  <c r="F71" i="3" s="1"/>
  <c r="F71" i="1" s="1"/>
  <c r="F66" i="3"/>
  <c r="F35" i="1" l="1"/>
  <c r="F46" i="1"/>
  <c r="F20" i="3"/>
  <c r="F117" i="1"/>
  <c r="AN52" i="1" l="1"/>
  <c r="AN53" i="1"/>
  <c r="AN54" i="1"/>
  <c r="AN55" i="1"/>
  <c r="AN56" i="1"/>
  <c r="AN57" i="1"/>
  <c r="AN51" i="1"/>
  <c r="F58" i="1" l="1"/>
  <c r="F59" i="1" s="1"/>
  <c r="F118" i="1"/>
  <c r="E35" i="14"/>
  <c r="E29" i="14"/>
  <c r="E32" i="14" s="1"/>
  <c r="E27" i="14"/>
  <c r="E26" i="14"/>
  <c r="E25" i="14"/>
  <c r="E21" i="14"/>
  <c r="H24" i="7"/>
  <c r="H25" i="7" s="1"/>
  <c r="H9" i="7"/>
  <c r="C9" i="7"/>
  <c r="E19" i="14" l="1"/>
  <c r="E59" i="14"/>
  <c r="F35" i="14"/>
  <c r="E37" i="14"/>
  <c r="E36" i="14"/>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0" i="14"/>
  <c r="E39" i="14"/>
  <c r="F37" i="14"/>
  <c r="F36" i="14"/>
  <c r="G35" i="14"/>
  <c r="E41" i="14"/>
  <c r="E42" i="14" s="1"/>
  <c r="F70" i="3"/>
  <c r="J25" i="14" l="1"/>
  <c r="E33" i="7"/>
  <c r="L24" i="14" s="1"/>
  <c r="D33" i="7"/>
  <c r="K24" i="14" s="1"/>
  <c r="K25" i="14"/>
  <c r="F33" i="7"/>
  <c r="M24" i="14" s="1"/>
  <c r="H35" i="14"/>
  <c r="G37" i="14"/>
  <c r="G36" i="14"/>
  <c r="E44" i="14"/>
  <c r="F40" i="14"/>
  <c r="F39" i="14"/>
  <c r="F41" i="14"/>
  <c r="F42" i="14" s="1"/>
  <c r="F86" i="3"/>
  <c r="F87" i="3" s="1"/>
  <c r="F2" i="13"/>
  <c r="F44" i="14" l="1"/>
  <c r="G40" i="14"/>
  <c r="G39" i="14"/>
  <c r="G41" i="14"/>
  <c r="G42" i="14" s="1"/>
  <c r="H37" i="14"/>
  <c r="H36" i="14"/>
  <c r="I35" i="14"/>
  <c r="J35" i="14" l="1"/>
  <c r="I37" i="14"/>
  <c r="I36" i="14"/>
  <c r="G44" i="14"/>
  <c r="H39" i="14"/>
  <c r="H40" i="14"/>
  <c r="H41" i="14"/>
  <c r="H42" i="14" s="1"/>
  <c r="D31" i="6"/>
  <c r="H44" i="14" l="1"/>
  <c r="I40" i="14"/>
  <c r="I39" i="14"/>
  <c r="I41" i="14"/>
  <c r="I42" i="14" s="1"/>
  <c r="J37" i="14"/>
  <c r="J36" i="14"/>
  <c r="K35" i="14"/>
  <c r="I44" i="14" l="1"/>
  <c r="L35" i="14"/>
  <c r="K36" i="14"/>
  <c r="K37" i="14"/>
  <c r="J40" i="14"/>
  <c r="J39" i="14"/>
  <c r="J41" i="14"/>
  <c r="J42" i="14" s="1"/>
  <c r="F72" i="3"/>
  <c r="F73" i="3" s="1"/>
  <c r="R2" i="13"/>
  <c r="Q2" i="13"/>
  <c r="A114" i="13"/>
  <c r="A113" i="13"/>
  <c r="A112" i="13"/>
  <c r="H2" i="13"/>
  <c r="F73" i="1" l="1"/>
  <c r="F74" i="3"/>
  <c r="F75" i="3"/>
  <c r="K40" i="14"/>
  <c r="K39" i="14"/>
  <c r="K41" i="14"/>
  <c r="K42" i="14" s="1"/>
  <c r="J44" i="14"/>
  <c r="L37" i="14"/>
  <c r="L36" i="14"/>
  <c r="M35" i="14"/>
  <c r="F59" i="3"/>
  <c r="O220" i="3"/>
  <c r="E224" i="3"/>
  <c r="F46" i="3"/>
  <c r="F62" i="3"/>
  <c r="F116" i="3" s="1"/>
  <c r="F76" i="1" l="1"/>
  <c r="F84" i="3" s="1"/>
  <c r="F85" i="3" s="1"/>
  <c r="N35" i="14"/>
  <c r="M36" i="14"/>
  <c r="M37" i="14"/>
  <c r="L40" i="14"/>
  <c r="L39" i="14"/>
  <c r="L41" i="14"/>
  <c r="L42" i="14" s="1"/>
  <c r="K44" i="14"/>
  <c r="F63" i="3"/>
  <c r="F117" i="3"/>
  <c r="F115" i="3"/>
  <c r="D2" i="13"/>
  <c r="G2" i="13"/>
  <c r="M18" i="6"/>
  <c r="N17" i="6"/>
  <c r="F44" i="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N18" i="6"/>
  <c r="L18" i="6"/>
  <c r="L17" i="6"/>
  <c r="M17" i="6" s="1"/>
  <c r="Q17" i="6" l="1"/>
  <c r="C8" i="7"/>
  <c r="C10" i="7" s="1"/>
  <c r="C12" i="7" s="1"/>
  <c r="C13" i="7" s="1"/>
  <c r="C15" i="7" s="1"/>
  <c r="M40" i="14"/>
  <c r="M39" i="14"/>
  <c r="M41" i="14"/>
  <c r="M42" i="14" s="1"/>
  <c r="L44" i="14"/>
  <c r="N37" i="14"/>
  <c r="N36" i="14"/>
  <c r="O35" i="14"/>
  <c r="H73" i="3"/>
  <c r="C114" i="13"/>
  <c r="E114" i="13" s="1"/>
  <c r="C113" i="13"/>
  <c r="E113" i="13" s="1"/>
  <c r="C112" i="13"/>
  <c r="E112" i="13" s="1"/>
  <c r="C80" i="13"/>
  <c r="E80" i="13" s="1"/>
  <c r="C62" i="13"/>
  <c r="E62" i="13" s="1"/>
  <c r="C111" i="13"/>
  <c r="E111" i="13" s="1"/>
  <c r="C75" i="13"/>
  <c r="E75" i="13" s="1"/>
  <c r="C43" i="13"/>
  <c r="E43" i="13" s="1"/>
  <c r="C95" i="13"/>
  <c r="E95" i="13" s="1"/>
  <c r="C91" i="13"/>
  <c r="E91" i="13" s="1"/>
  <c r="C102" i="13"/>
  <c r="E102" i="13" s="1"/>
  <c r="C76" i="13"/>
  <c r="E76" i="13" s="1"/>
  <c r="C72" i="13"/>
  <c r="E72" i="13" s="1"/>
  <c r="C15" i="13"/>
  <c r="E15" i="13" s="1"/>
  <c r="C11" i="13"/>
  <c r="E11" i="13" s="1"/>
  <c r="C101" i="13"/>
  <c r="E101" i="13" s="1"/>
  <c r="C100" i="13"/>
  <c r="E100" i="13" s="1"/>
  <c r="C98" i="13"/>
  <c r="E98" i="13" s="1"/>
  <c r="C90" i="13"/>
  <c r="E90" i="13" s="1"/>
  <c r="C79" i="13"/>
  <c r="E79" i="13" s="1"/>
  <c r="C74" i="13"/>
  <c r="E74" i="13" s="1"/>
  <c r="C58" i="13"/>
  <c r="E58" i="13" s="1"/>
  <c r="C54" i="13"/>
  <c r="E54" i="13" s="1"/>
  <c r="C49" i="13"/>
  <c r="E49" i="13" s="1"/>
  <c r="C47" i="13"/>
  <c r="E47" i="13" s="1"/>
  <c r="C39" i="13"/>
  <c r="E39" i="13" s="1"/>
  <c r="C32" i="13"/>
  <c r="E32" i="13" s="1"/>
  <c r="C23" i="13"/>
  <c r="E23" i="13" s="1"/>
  <c r="C19" i="13"/>
  <c r="E19" i="13" s="1"/>
  <c r="C110" i="13"/>
  <c r="E110" i="13" s="1"/>
  <c r="C109" i="13"/>
  <c r="E109" i="13" s="1"/>
  <c r="C107" i="13"/>
  <c r="E107" i="13" s="1"/>
  <c r="C99" i="13"/>
  <c r="E99" i="13" s="1"/>
  <c r="C96" i="13"/>
  <c r="E96" i="13" s="1"/>
  <c r="C84" i="13"/>
  <c r="E84" i="13" s="1"/>
  <c r="C82" i="13"/>
  <c r="E82" i="13" s="1"/>
  <c r="C69" i="13"/>
  <c r="E69" i="13" s="1"/>
  <c r="C67" i="13"/>
  <c r="E67" i="13" s="1"/>
  <c r="C65" i="13"/>
  <c r="E65" i="13" s="1"/>
  <c r="C63" i="13"/>
  <c r="E63" i="13" s="1"/>
  <c r="C59" i="13"/>
  <c r="E59" i="13" s="1"/>
  <c r="C36" i="13"/>
  <c r="E36" i="13" s="1"/>
  <c r="C20" i="13"/>
  <c r="E20" i="13" s="1"/>
  <c r="C105" i="13"/>
  <c r="E105" i="13" s="1"/>
  <c r="C103" i="13"/>
  <c r="E103" i="13" s="1"/>
  <c r="C92" i="13"/>
  <c r="E92" i="13" s="1"/>
  <c r="C88" i="13"/>
  <c r="E88" i="13" s="1"/>
  <c r="C87" i="13"/>
  <c r="E87" i="13" s="1"/>
  <c r="C83" i="13"/>
  <c r="E83" i="13" s="1"/>
  <c r="C71" i="13"/>
  <c r="E71" i="13" s="1"/>
  <c r="C68" i="13"/>
  <c r="E68" i="13" s="1"/>
  <c r="C66" i="13"/>
  <c r="E66" i="13" s="1"/>
  <c r="C57" i="13"/>
  <c r="E57" i="13" s="1"/>
  <c r="C55" i="13"/>
  <c r="E55" i="13" s="1"/>
  <c r="C51" i="13"/>
  <c r="E51" i="13" s="1"/>
  <c r="C46" i="13"/>
  <c r="E46" i="13" s="1"/>
  <c r="C44" i="13"/>
  <c r="E44" i="13" s="1"/>
  <c r="C40" i="13"/>
  <c r="E40" i="13" s="1"/>
  <c r="C35" i="13"/>
  <c r="E35" i="13" s="1"/>
  <c r="C31" i="13"/>
  <c r="E31" i="13" s="1"/>
  <c r="C27" i="13"/>
  <c r="E27" i="13" s="1"/>
  <c r="C50" i="13"/>
  <c r="E50" i="13" s="1"/>
  <c r="C28" i="13"/>
  <c r="E28" i="13" s="1"/>
  <c r="C24" i="13"/>
  <c r="E24" i="13" s="1"/>
  <c r="C16" i="13"/>
  <c r="E16" i="13" s="1"/>
  <c r="C12" i="13"/>
  <c r="E12" i="13" s="1"/>
  <c r="C108" i="13"/>
  <c r="E108" i="13" s="1"/>
  <c r="C94" i="13"/>
  <c r="E94" i="13" s="1"/>
  <c r="C77" i="13"/>
  <c r="E77" i="13" s="1"/>
  <c r="C106" i="13"/>
  <c r="E106" i="13" s="1"/>
  <c r="C93" i="13"/>
  <c r="E93" i="13" s="1"/>
  <c r="C86" i="13"/>
  <c r="E86" i="13" s="1"/>
  <c r="C104" i="13"/>
  <c r="E104" i="13" s="1"/>
  <c r="C85" i="13"/>
  <c r="E85" i="13" s="1"/>
  <c r="C78" i="13"/>
  <c r="E78" i="13" s="1"/>
  <c r="C97" i="13"/>
  <c r="E97" i="13" s="1"/>
  <c r="C89" i="13"/>
  <c r="E89" i="13" s="1"/>
  <c r="C81" i="13"/>
  <c r="E81" i="13" s="1"/>
  <c r="C73" i="13"/>
  <c r="E73" i="13" s="1"/>
  <c r="C61" i="13"/>
  <c r="E61" i="13" s="1"/>
  <c r="C53" i="13"/>
  <c r="E53" i="13" s="1"/>
  <c r="C70" i="13"/>
  <c r="E70" i="13" s="1"/>
  <c r="C60" i="13"/>
  <c r="E60" i="13" s="1"/>
  <c r="C52" i="13"/>
  <c r="E52" i="13" s="1"/>
  <c r="C64" i="13"/>
  <c r="E64" i="13" s="1"/>
  <c r="C56" i="13"/>
  <c r="E56" i="13" s="1"/>
  <c r="C48" i="13"/>
  <c r="E48" i="13" s="1"/>
  <c r="C45" i="13"/>
  <c r="E45" i="13" s="1"/>
  <c r="C42" i="13"/>
  <c r="E42" i="13" s="1"/>
  <c r="C41" i="13"/>
  <c r="E41" i="13" s="1"/>
  <c r="C38" i="13"/>
  <c r="E38" i="13" s="1"/>
  <c r="C37" i="13"/>
  <c r="E37" i="13" s="1"/>
  <c r="C34" i="13"/>
  <c r="E34" i="13" s="1"/>
  <c r="C33" i="13"/>
  <c r="E33" i="13" s="1"/>
  <c r="C30" i="13"/>
  <c r="E30" i="13" s="1"/>
  <c r="C29" i="13"/>
  <c r="E29" i="13" s="1"/>
  <c r="C26" i="13"/>
  <c r="E26" i="13" s="1"/>
  <c r="C25" i="13"/>
  <c r="E25" i="13" s="1"/>
  <c r="C22" i="13"/>
  <c r="E22" i="13" s="1"/>
  <c r="C21" i="13"/>
  <c r="E21" i="13" s="1"/>
  <c r="C18" i="13"/>
  <c r="E18" i="13" s="1"/>
  <c r="C17" i="13"/>
  <c r="E17" i="13" s="1"/>
  <c r="C14" i="13"/>
  <c r="E14" i="13" s="1"/>
  <c r="C13" i="13"/>
  <c r="E13" i="13" s="1"/>
  <c r="Y24" i="13"/>
  <c r="C10" i="13"/>
  <c r="E10" i="13" s="1"/>
  <c r="F10" i="13" l="1"/>
  <c r="F74" i="1"/>
  <c r="C11" i="7"/>
  <c r="C14" i="7" s="1"/>
  <c r="C19" i="7" s="1"/>
  <c r="C18" i="7" s="1"/>
  <c r="C20" i="7" s="1"/>
  <c r="C22" i="7" s="1"/>
  <c r="P35" i="14"/>
  <c r="O37" i="14"/>
  <c r="O36" i="14"/>
  <c r="N40" i="14"/>
  <c r="N39" i="14"/>
  <c r="N41" i="14"/>
  <c r="N42" i="14" s="1"/>
  <c r="M44" i="14"/>
  <c r="E23" i="14"/>
  <c r="F105" i="1"/>
  <c r="N44" i="14" l="1"/>
  <c r="O40" i="14"/>
  <c r="O39" i="14"/>
  <c r="O41" i="14"/>
  <c r="O42" i="14" s="1"/>
  <c r="P37" i="14"/>
  <c r="P36" i="14"/>
  <c r="Q35" i="14"/>
  <c r="F126" i="3"/>
  <c r="F125" i="3"/>
  <c r="F124" i="3"/>
  <c r="F123" i="3"/>
  <c r="F121" i="3"/>
  <c r="F122" i="3"/>
  <c r="R35" i="14" l="1"/>
  <c r="Q37" i="14"/>
  <c r="Q36" i="14"/>
  <c r="P39" i="14"/>
  <c r="P40" i="14"/>
  <c r="P41" i="14"/>
  <c r="P42" i="14" s="1"/>
  <c r="O44" i="14"/>
  <c r="J120" i="3"/>
  <c r="I118" i="3"/>
  <c r="I120" i="3"/>
  <c r="H120" i="3"/>
  <c r="J118" i="3"/>
  <c r="H118" i="3"/>
  <c r="J119" i="3"/>
  <c r="I119" i="3"/>
  <c r="H119" i="3"/>
  <c r="F118" i="3" l="1"/>
  <c r="Q39" i="14"/>
  <c r="Q40" i="14"/>
  <c r="Q41" i="14"/>
  <c r="Q42" i="14" s="1"/>
  <c r="P44" i="14"/>
  <c r="R37" i="14"/>
  <c r="R36" i="14"/>
  <c r="S35" i="14"/>
  <c r="F120" i="3"/>
  <c r="F119" i="3"/>
  <c r="T35" i="14" l="1"/>
  <c r="S36" i="14"/>
  <c r="S37" i="14"/>
  <c r="R40" i="14"/>
  <c r="R39" i="14"/>
  <c r="R41" i="14"/>
  <c r="R42" i="14" s="1"/>
  <c r="Q44" i="14"/>
  <c r="AO49" i="1"/>
  <c r="S40" i="14" l="1"/>
  <c r="S39" i="14"/>
  <c r="S41" i="14"/>
  <c r="S42" i="14" s="1"/>
  <c r="R44" i="14"/>
  <c r="T37" i="14"/>
  <c r="T36" i="14"/>
  <c r="U35" i="14"/>
  <c r="S44" i="14" l="1"/>
  <c r="V35" i="14"/>
  <c r="U36" i="14"/>
  <c r="U37" i="14"/>
  <c r="T40" i="14"/>
  <c r="T39" i="14"/>
  <c r="T41" i="14"/>
  <c r="T42" i="14" s="1"/>
  <c r="U40" i="14" l="1"/>
  <c r="U39" i="14"/>
  <c r="U41" i="14"/>
  <c r="U42" i="14" s="1"/>
  <c r="T44" i="14"/>
  <c r="V37" i="14"/>
  <c r="V36" i="14"/>
  <c r="W35" i="14"/>
  <c r="X35" i="14" l="1"/>
  <c r="W37" i="14"/>
  <c r="W36" i="14"/>
  <c r="V40" i="14"/>
  <c r="V39" i="14"/>
  <c r="V41" i="14"/>
  <c r="V42" i="14" s="1"/>
  <c r="U44" i="14"/>
  <c r="V44" i="14" l="1"/>
  <c r="W40" i="14"/>
  <c r="W39" i="14"/>
  <c r="W41" i="14"/>
  <c r="W42" i="14" s="1"/>
  <c r="X37" i="14"/>
  <c r="X36" i="14"/>
  <c r="W44" i="14" l="1"/>
  <c r="X39" i="14"/>
  <c r="X40" i="14"/>
  <c r="X41" i="14"/>
  <c r="X42" i="14" s="1"/>
  <c r="X44" i="14" l="1"/>
  <c r="C25" i="7"/>
  <c r="C26" i="7" l="1"/>
  <c r="C39" i="7" s="1"/>
  <c r="C40" i="7" l="1"/>
  <c r="C41" i="7"/>
  <c r="F88" i="3"/>
  <c r="F41" i="3" l="1"/>
  <c r="F40" i="3"/>
  <c r="F39" i="3"/>
  <c r="F38" i="3"/>
  <c r="G68" i="1" l="1"/>
  <c r="F161" i="3" l="1"/>
  <c r="F160" i="3"/>
  <c r="O225" i="3"/>
  <c r="H40" i="3" l="1"/>
  <c r="H38" i="3"/>
  <c r="H41" i="3"/>
  <c r="H39" i="3"/>
  <c r="F162" i="3"/>
  <c r="O224" i="3"/>
  <c r="O221" i="3"/>
  <c r="O223" i="3"/>
  <c r="O222" i="3"/>
  <c r="F186" i="3"/>
  <c r="U221" i="3" s="1"/>
  <c r="F185" i="3"/>
  <c r="F184" i="3"/>
  <c r="F88" i="1"/>
  <c r="F112" i="1"/>
  <c r="F111" i="1"/>
  <c r="F110" i="1"/>
  <c r="F109" i="1"/>
  <c r="F85" i="1" l="1"/>
  <c r="F87" i="1"/>
  <c r="T219" i="3"/>
  <c r="T220" i="3"/>
  <c r="T221" i="3"/>
  <c r="S219" i="3"/>
  <c r="U219" i="3"/>
  <c r="S220" i="3"/>
  <c r="U220" i="3"/>
  <c r="S221" i="3"/>
  <c r="F86" i="1" l="1"/>
  <c r="P67" i="13" l="1"/>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G10" i="13"/>
  <c r="O10" i="13" s="1"/>
  <c r="N54" i="13" l="1"/>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N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98" i="13" l="1"/>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20" i="13"/>
  <c r="N21" i="13"/>
  <c r="N55" i="13"/>
  <c r="N56" i="13"/>
  <c r="L18" i="13"/>
  <c r="N19" i="13"/>
  <c r="L31" i="13"/>
  <c r="L63" i="13"/>
  <c r="L29" i="13"/>
  <c r="N30" i="13"/>
  <c r="L16" i="13"/>
  <c r="N17" i="13"/>
  <c r="N90" i="13"/>
  <c r="N39" i="13"/>
  <c r="N40" i="13"/>
  <c r="N68" i="13"/>
  <c r="N42" i="13"/>
  <c r="Q4" i="13"/>
  <c r="F77"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N5" i="13" l="1"/>
  <c r="O2" i="13"/>
  <c r="J10" i="13"/>
  <c r="F76" i="3" l="1"/>
  <c r="E22" i="14" s="1"/>
  <c r="J11" i="13"/>
  <c r="K10" i="13"/>
  <c r="F78" i="3" l="1"/>
  <c r="H8" i="7" s="1"/>
  <c r="H10" i="7" s="1"/>
  <c r="H12" i="7" s="1"/>
  <c r="H13" i="7" s="1"/>
  <c r="H15" i="7" s="1"/>
  <c r="O38" i="14"/>
  <c r="O45" i="14" s="1"/>
  <c r="O48" i="14" s="1"/>
  <c r="P38" i="14"/>
  <c r="P45" i="14" s="1"/>
  <c r="P48" i="14" s="1"/>
  <c r="E38" i="14"/>
  <c r="E45" i="14" s="1"/>
  <c r="E48" i="14" s="1"/>
  <c r="F38" i="14"/>
  <c r="F45" i="14" s="1"/>
  <c r="F47" i="14" s="1"/>
  <c r="R38" i="14"/>
  <c r="R45" i="14" s="1"/>
  <c r="R47" i="14" s="1"/>
  <c r="S38" i="14"/>
  <c r="S45" i="14" s="1"/>
  <c r="S48" i="14" s="1"/>
  <c r="H38" i="14"/>
  <c r="H45" i="14" s="1"/>
  <c r="H47" i="14" s="1"/>
  <c r="T38" i="14"/>
  <c r="T45" i="14" s="1"/>
  <c r="T47" i="14" s="1"/>
  <c r="U38" i="14"/>
  <c r="U45" i="14" s="1"/>
  <c r="U47" i="14" s="1"/>
  <c r="J38" i="14"/>
  <c r="J45" i="14" s="1"/>
  <c r="J48" i="14" s="1"/>
  <c r="V38" i="14"/>
  <c r="V45" i="14" s="1"/>
  <c r="V48" i="14" s="1"/>
  <c r="K38" i="14"/>
  <c r="K45" i="14" s="1"/>
  <c r="K48" i="14" s="1"/>
  <c r="W38" i="14"/>
  <c r="W45" i="14" s="1"/>
  <c r="W47" i="14" s="1"/>
  <c r="M38" i="14"/>
  <c r="M45" i="14" s="1"/>
  <c r="M47" i="14" s="1"/>
  <c r="G38" i="14"/>
  <c r="G45" i="14" s="1"/>
  <c r="G47" i="14" s="1"/>
  <c r="X38" i="14"/>
  <c r="X45" i="14" s="1"/>
  <c r="X47" i="14" s="1"/>
  <c r="Q38" i="14"/>
  <c r="Q45" i="14" s="1"/>
  <c r="Q48" i="14" s="1"/>
  <c r="L38" i="14"/>
  <c r="L45" i="14" s="1"/>
  <c r="L47" i="14" s="1"/>
  <c r="N38" i="14"/>
  <c r="N45" i="14" s="1"/>
  <c r="N48" i="14" s="1"/>
  <c r="I38" i="14"/>
  <c r="I45" i="14" s="1"/>
  <c r="I47" i="14" s="1"/>
  <c r="J12" i="13"/>
  <c r="K11" i="13"/>
  <c r="R48" i="14" l="1"/>
  <c r="R50" i="14" s="1"/>
  <c r="R51" i="14" s="1"/>
  <c r="R52" i="14" s="1"/>
  <c r="R54" i="14" s="1"/>
  <c r="F48" i="14"/>
  <c r="O47" i="14"/>
  <c r="W48" i="14"/>
  <c r="W50" i="14" s="1"/>
  <c r="W51" i="14" s="1"/>
  <c r="W52" i="14" s="1"/>
  <c r="W54" i="14" s="1"/>
  <c r="P47" i="14"/>
  <c r="P50" i="14" s="1"/>
  <c r="P51" i="14" s="1"/>
  <c r="P52" i="14" s="1"/>
  <c r="P54" i="14" s="1"/>
  <c r="X48" i="14"/>
  <c r="X50" i="14" s="1"/>
  <c r="X51" i="14" s="1"/>
  <c r="X52" i="14" s="1"/>
  <c r="X54" i="14" s="1"/>
  <c r="E47" i="14"/>
  <c r="E50" i="14" s="1"/>
  <c r="E51" i="14" s="1"/>
  <c r="E52" i="14" s="1"/>
  <c r="E54" i="14" s="1"/>
  <c r="E55" i="14" s="1"/>
  <c r="E58" i="14" s="1"/>
  <c r="M48" i="14"/>
  <c r="M50" i="14" s="1"/>
  <c r="M51" i="14" s="1"/>
  <c r="M52" i="14" s="1"/>
  <c r="M54" i="14" s="1"/>
  <c r="G48" i="14"/>
  <c r="G50" i="14" s="1"/>
  <c r="G51" i="14" s="1"/>
  <c r="G52" i="14" s="1"/>
  <c r="G54" i="14" s="1"/>
  <c r="T48" i="14"/>
  <c r="T50" i="14" s="1"/>
  <c r="T51" i="14" s="1"/>
  <c r="T52" i="14" s="1"/>
  <c r="T54" i="14" s="1"/>
  <c r="S47" i="14"/>
  <c r="S50" i="14" s="1"/>
  <c r="S51" i="14" s="1"/>
  <c r="S52" i="14" s="1"/>
  <c r="S54" i="14" s="1"/>
  <c r="Q47" i="14"/>
  <c r="Q50" i="14" s="1"/>
  <c r="Q51" i="14" s="1"/>
  <c r="Q52" i="14" s="1"/>
  <c r="Q54" i="14" s="1"/>
  <c r="L48" i="14"/>
  <c r="L50" i="14" s="1"/>
  <c r="L51" i="14" s="1"/>
  <c r="L52" i="14" s="1"/>
  <c r="L54" i="14" s="1"/>
  <c r="U48" i="14"/>
  <c r="U50" i="14" s="1"/>
  <c r="U51" i="14" s="1"/>
  <c r="U52" i="14" s="1"/>
  <c r="U54" i="14" s="1"/>
  <c r="K47" i="14"/>
  <c r="K50" i="14" s="1"/>
  <c r="K51" i="14" s="1"/>
  <c r="K52" i="14" s="1"/>
  <c r="K54" i="14" s="1"/>
  <c r="V47" i="14"/>
  <c r="V50" i="14" s="1"/>
  <c r="V51" i="14" s="1"/>
  <c r="V52" i="14" s="1"/>
  <c r="V54" i="14" s="1"/>
  <c r="J47" i="14"/>
  <c r="J50" i="14" s="1"/>
  <c r="J51" i="14" s="1"/>
  <c r="J52" i="14" s="1"/>
  <c r="J54" i="14" s="1"/>
  <c r="H48" i="14"/>
  <c r="H50" i="14" s="1"/>
  <c r="H51" i="14" s="1"/>
  <c r="H52" i="14" s="1"/>
  <c r="H54" i="14" s="1"/>
  <c r="N47" i="14"/>
  <c r="N50" i="14" s="1"/>
  <c r="N51" i="14" s="1"/>
  <c r="N52" i="14" s="1"/>
  <c r="N54" i="14" s="1"/>
  <c r="I48" i="14"/>
  <c r="I50" i="14" s="1"/>
  <c r="I51" i="14" s="1"/>
  <c r="I52" i="14" s="1"/>
  <c r="I54" i="14" s="1"/>
  <c r="H11" i="7"/>
  <c r="H14" i="7" s="1"/>
  <c r="H19" i="7" s="1"/>
  <c r="H18" i="7" s="1"/>
  <c r="H20" i="7" s="1"/>
  <c r="H22" i="7" s="1"/>
  <c r="O50" i="14"/>
  <c r="O51" i="14" s="1"/>
  <c r="O52" i="14" s="1"/>
  <c r="O54" i="14" s="1"/>
  <c r="F50" i="14"/>
  <c r="F51" i="14" s="1"/>
  <c r="F52" i="14" s="1"/>
  <c r="F54" i="14" s="1"/>
  <c r="J13" i="13"/>
  <c r="K12" i="13"/>
  <c r="R56" i="14" l="1"/>
  <c r="R59" i="14" s="1"/>
  <c r="H28" i="7"/>
  <c r="X202" i="3" s="1"/>
  <c r="H55" i="14"/>
  <c r="H58" i="14" s="1"/>
  <c r="S55" i="14"/>
  <c r="S58" i="14" s="1"/>
  <c r="V55" i="14"/>
  <c r="V58" i="14" s="1"/>
  <c r="Q55" i="14"/>
  <c r="Q58" i="14" s="1"/>
  <c r="R55" i="14"/>
  <c r="R58" i="14" s="1"/>
  <c r="S56" i="14"/>
  <c r="S59" i="14" s="1"/>
  <c r="Q56" i="14"/>
  <c r="Q59" i="14" s="1"/>
  <c r="J56" i="14"/>
  <c r="J59" i="14" s="1"/>
  <c r="K55" i="14"/>
  <c r="K58" i="14" s="1"/>
  <c r="G56" i="14"/>
  <c r="G59" i="14" s="1"/>
  <c r="K56" i="14"/>
  <c r="K59" i="14" s="1"/>
  <c r="M55" i="14"/>
  <c r="M58" i="14" s="1"/>
  <c r="O55" i="14"/>
  <c r="O58" i="14" s="1"/>
  <c r="U56" i="14"/>
  <c r="U59" i="14" s="1"/>
  <c r="F55" i="14"/>
  <c r="F58" i="14" s="1"/>
  <c r="F56" i="14"/>
  <c r="F59" i="14" s="1"/>
  <c r="H56" i="14"/>
  <c r="H59" i="14" s="1"/>
  <c r="I55" i="14"/>
  <c r="I58" i="14" s="1"/>
  <c r="W55" i="14"/>
  <c r="W58" i="14" s="1"/>
  <c r="G55" i="14"/>
  <c r="G58" i="14" s="1"/>
  <c r="T55" i="14"/>
  <c r="T58" i="14" s="1"/>
  <c r="T56" i="14"/>
  <c r="T59" i="14" s="1"/>
  <c r="W56" i="14"/>
  <c r="W59" i="14" s="1"/>
  <c r="X56" i="14"/>
  <c r="X59" i="14" s="1"/>
  <c r="X55" i="14"/>
  <c r="X58" i="14" s="1"/>
  <c r="J55" i="14"/>
  <c r="J58" i="14" s="1"/>
  <c r="V56" i="14"/>
  <c r="V59" i="14" s="1"/>
  <c r="N55" i="14"/>
  <c r="N58" i="14" s="1"/>
  <c r="N56" i="14"/>
  <c r="N59" i="14" s="1"/>
  <c r="L55" i="14"/>
  <c r="L58" i="14" s="1"/>
  <c r="L56" i="14"/>
  <c r="L59" i="14" s="1"/>
  <c r="O56" i="14"/>
  <c r="O59" i="14" s="1"/>
  <c r="P55" i="14"/>
  <c r="P58" i="14" s="1"/>
  <c r="P56" i="14"/>
  <c r="P59" i="14" s="1"/>
  <c r="I56" i="14"/>
  <c r="I59" i="14" s="1"/>
  <c r="U55" i="14"/>
  <c r="U58" i="14" s="1"/>
  <c r="M56" i="14"/>
  <c r="M59" i="14" s="1"/>
  <c r="J14" i="13"/>
  <c r="K13" i="13"/>
  <c r="V218" i="3" l="1"/>
  <c r="V213" i="3"/>
  <c r="V216" i="3"/>
  <c r="V220" i="3"/>
  <c r="V209" i="3"/>
  <c r="V210" i="3"/>
  <c r="V203" i="3"/>
  <c r="V202" i="3"/>
  <c r="V215" i="3"/>
  <c r="V211" i="3"/>
  <c r="V207" i="3"/>
  <c r="V217" i="3"/>
  <c r="V219" i="3"/>
  <c r="V205" i="3"/>
  <c r="V208" i="3"/>
  <c r="V206" i="3"/>
  <c r="V204" i="3"/>
  <c r="V214" i="3"/>
  <c r="V221" i="3"/>
  <c r="V212" i="3"/>
  <c r="F79" i="3"/>
  <c r="F80" i="3" s="1"/>
  <c r="F75" i="1" s="1"/>
  <c r="H40" i="7"/>
  <c r="H39" i="7"/>
  <c r="H41" i="7"/>
  <c r="O215" i="3"/>
  <c r="O216" i="3" s="1"/>
  <c r="O206" i="3"/>
  <c r="O210" i="3"/>
  <c r="I29" i="14"/>
  <c r="J29" i="14" s="1"/>
  <c r="I28" i="14"/>
  <c r="J28" i="14" s="1"/>
  <c r="J15" i="13"/>
  <c r="K14" i="13"/>
  <c r="O209" i="3" l="1"/>
  <c r="O213" i="3"/>
  <c r="O207" i="3"/>
  <c r="O208" i="3"/>
  <c r="O212" i="3"/>
  <c r="O217" i="3"/>
  <c r="O218" i="3"/>
  <c r="O214" i="3"/>
  <c r="O211" i="3"/>
  <c r="O219" i="3"/>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8" i="3" l="1"/>
  <c r="F60" i="3" s="1"/>
  <c r="F61" i="3" l="1"/>
  <c r="F21" i="3" l="1"/>
  <c r="F25" i="3" l="1"/>
  <c r="F22" i="3"/>
  <c r="F43" i="3" l="1"/>
  <c r="F24" i="3"/>
  <c r="F26" i="3"/>
  <c r="I2" i="13"/>
  <c r="E223" i="3"/>
  <c r="F45" i="3"/>
  <c r="F47" i="3"/>
  <c r="F52" i="3" s="1"/>
  <c r="F36" i="1"/>
  <c r="F39" i="1" s="1"/>
  <c r="AN49" i="1" l="1"/>
  <c r="F27" i="3"/>
  <c r="F89" i="3"/>
  <c r="F193" i="3"/>
  <c r="F64" i="3"/>
  <c r="F53" i="3"/>
  <c r="F194" i="3" s="1"/>
  <c r="F51" i="3"/>
  <c r="F192" i="3" s="1"/>
  <c r="C2" i="13" l="1"/>
  <c r="M111" i="13" s="1"/>
  <c r="AS38" i="1"/>
  <c r="AS30" i="1" s="1"/>
  <c r="F212" i="3"/>
  <c r="F208" i="3"/>
  <c r="F216" i="3"/>
  <c r="F217" i="3"/>
  <c r="F210" i="3"/>
  <c r="F213" i="3"/>
  <c r="F209" i="3"/>
  <c r="F205" i="3"/>
  <c r="F211" i="3"/>
  <c r="F206" i="3"/>
  <c r="F214" i="3"/>
  <c r="F215" i="3"/>
  <c r="F218" i="3"/>
  <c r="F207" i="3"/>
  <c r="F202" i="3"/>
  <c r="F203" i="3"/>
  <c r="F204" i="3"/>
  <c r="M20" i="13"/>
  <c r="M52" i="13"/>
  <c r="M44" i="13"/>
  <c r="M90" i="13"/>
  <c r="M65" i="13"/>
  <c r="M67" i="13"/>
  <c r="M24" i="13"/>
  <c r="M66" i="13"/>
  <c r="M16" i="13"/>
  <c r="M71" i="13"/>
  <c r="M46" i="13"/>
  <c r="M31" i="13"/>
  <c r="M75" i="13"/>
  <c r="M68" i="13"/>
  <c r="M62" i="13"/>
  <c r="M110" i="13"/>
  <c r="M10" i="13"/>
  <c r="M91" i="13"/>
  <c r="M21" i="13"/>
  <c r="M13" i="13"/>
  <c r="M94" i="13"/>
  <c r="M107" i="13"/>
  <c r="M11" i="13"/>
  <c r="M93" i="13"/>
  <c r="M85" i="13"/>
  <c r="M26" i="13"/>
  <c r="M86" i="13"/>
  <c r="M104" i="13"/>
  <c r="M89" i="13"/>
  <c r="M88" i="13"/>
  <c r="M102" i="13"/>
  <c r="M57" i="13"/>
  <c r="M17" i="13"/>
  <c r="M79" i="13"/>
  <c r="M43" i="13"/>
  <c r="M76" i="13"/>
  <c r="M33" i="13"/>
  <c r="M36" i="13"/>
  <c r="M108" i="13"/>
  <c r="M105" i="13"/>
  <c r="M98" i="13"/>
  <c r="M106" i="13"/>
  <c r="M70" i="13"/>
  <c r="M37" i="13"/>
  <c r="M22" i="13"/>
  <c r="M92" i="13"/>
  <c r="M87" i="13"/>
  <c r="M42" i="13"/>
  <c r="M72" i="13"/>
  <c r="M63" i="13"/>
  <c r="M83" i="13"/>
  <c r="M41" i="13"/>
  <c r="M15" i="13"/>
  <c r="M54" i="13"/>
  <c r="M69" i="13"/>
  <c r="M14" i="13"/>
  <c r="M74" i="13"/>
  <c r="M49" i="13"/>
  <c r="M45" i="13"/>
  <c r="M81" i="13"/>
  <c r="M101" i="13"/>
  <c r="M25" i="13"/>
  <c r="M100" i="13"/>
  <c r="M73" i="13"/>
  <c r="M53" i="13"/>
  <c r="M95" i="13"/>
  <c r="M51" i="13"/>
  <c r="M47" i="13"/>
  <c r="M39" i="13"/>
  <c r="M77" i="13"/>
  <c r="M60" i="13"/>
  <c r="M18" i="13"/>
  <c r="M32" i="13"/>
  <c r="M109" i="13"/>
  <c r="M23" i="13"/>
  <c r="M97" i="13"/>
  <c r="M50" i="13"/>
  <c r="M58" i="13"/>
  <c r="M29" i="13"/>
  <c r="M82" i="13"/>
  <c r="M27" i="13"/>
  <c r="M35" i="13"/>
  <c r="M59" i="13"/>
  <c r="M78" i="13"/>
  <c r="M12" i="13"/>
  <c r="M64" i="13"/>
  <c r="M55" i="13"/>
  <c r="M38" i="13"/>
  <c r="M61" i="13"/>
  <c r="M99" i="13"/>
  <c r="M84" i="13"/>
  <c r="M103" i="13"/>
  <c r="M48" i="13"/>
  <c r="M19" i="13"/>
  <c r="M96" i="13"/>
  <c r="M56" i="13"/>
  <c r="M34" i="13"/>
  <c r="M80" i="13"/>
  <c r="M40" i="13"/>
  <c r="M28" i="13"/>
  <c r="M30" i="13"/>
  <c r="M113" i="13" l="1"/>
  <c r="M114" i="13"/>
  <c r="M112" i="13"/>
  <c r="AS36" i="1"/>
  <c r="B203" i="3"/>
  <c r="K203" i="3"/>
  <c r="T203" i="3" s="1"/>
  <c r="G203" i="3"/>
  <c r="L203" i="3" s="1"/>
  <c r="U203" i="3" s="1"/>
  <c r="E203" i="3"/>
  <c r="J203" i="3" s="1"/>
  <c r="S203" i="3" s="1"/>
  <c r="B205" i="3"/>
  <c r="G205" i="3"/>
  <c r="L205" i="3" s="1"/>
  <c r="U205" i="3" s="1"/>
  <c r="E205" i="3"/>
  <c r="J205" i="3" s="1"/>
  <c r="S205" i="3" s="1"/>
  <c r="K205" i="3"/>
  <c r="T205" i="3" s="1"/>
  <c r="K202" i="3"/>
  <c r="T202" i="3" s="1"/>
  <c r="E202" i="3"/>
  <c r="J202" i="3" s="1"/>
  <c r="S202" i="3" s="1"/>
  <c r="B202" i="3"/>
  <c r="G202" i="3"/>
  <c r="L202" i="3" s="1"/>
  <c r="U202" i="3" s="1"/>
  <c r="B209" i="3"/>
  <c r="G209" i="3"/>
  <c r="L209" i="3" s="1"/>
  <c r="U209" i="3" s="1"/>
  <c r="K209" i="3"/>
  <c r="T209" i="3" s="1"/>
  <c r="E209" i="3"/>
  <c r="J209" i="3" s="1"/>
  <c r="S209" i="3" s="1"/>
  <c r="K207" i="3"/>
  <c r="T207" i="3" s="1"/>
  <c r="G207" i="3"/>
  <c r="L207" i="3" s="1"/>
  <c r="U207" i="3" s="1"/>
  <c r="B207" i="3"/>
  <c r="E207" i="3"/>
  <c r="J207" i="3" s="1"/>
  <c r="S207" i="3" s="1"/>
  <c r="E213" i="3"/>
  <c r="J213" i="3" s="1"/>
  <c r="S213" i="3" s="1"/>
  <c r="B213" i="3"/>
  <c r="G213" i="3"/>
  <c r="L213" i="3" s="1"/>
  <c r="U213" i="3" s="1"/>
  <c r="K213" i="3"/>
  <c r="T213" i="3" s="1"/>
  <c r="G218" i="3"/>
  <c r="L218" i="3" s="1"/>
  <c r="U218" i="3" s="1"/>
  <c r="K218" i="3"/>
  <c r="T218" i="3" s="1"/>
  <c r="E218" i="3"/>
  <c r="J218" i="3" s="1"/>
  <c r="S218" i="3" s="1"/>
  <c r="B218" i="3"/>
  <c r="B210" i="3"/>
  <c r="E210" i="3"/>
  <c r="J210" i="3" s="1"/>
  <c r="S210" i="3" s="1"/>
  <c r="K210" i="3"/>
  <c r="T210" i="3" s="1"/>
  <c r="G210" i="3"/>
  <c r="L210" i="3" s="1"/>
  <c r="U210" i="3" s="1"/>
  <c r="G215" i="3"/>
  <c r="L215" i="3" s="1"/>
  <c r="U215" i="3" s="1"/>
  <c r="B215" i="3"/>
  <c r="E215" i="3"/>
  <c r="J215" i="3" s="1"/>
  <c r="S215" i="3" s="1"/>
  <c r="K215" i="3"/>
  <c r="T215" i="3" s="1"/>
  <c r="E217" i="3"/>
  <c r="J217" i="3" s="1"/>
  <c r="S217" i="3" s="1"/>
  <c r="G217" i="3"/>
  <c r="L217" i="3" s="1"/>
  <c r="U217" i="3" s="1"/>
  <c r="K217" i="3"/>
  <c r="T217" i="3" s="1"/>
  <c r="B217" i="3"/>
  <c r="N4" i="13"/>
  <c r="B214" i="3"/>
  <c r="E214" i="3"/>
  <c r="J214" i="3" s="1"/>
  <c r="S214" i="3" s="1"/>
  <c r="K214" i="3"/>
  <c r="T214" i="3" s="1"/>
  <c r="G214" i="3"/>
  <c r="L214" i="3" s="1"/>
  <c r="U214" i="3" s="1"/>
  <c r="K216" i="3"/>
  <c r="T216" i="3" s="1"/>
  <c r="E216" i="3"/>
  <c r="J216" i="3" s="1"/>
  <c r="S216" i="3" s="1"/>
  <c r="B216" i="3"/>
  <c r="G216" i="3"/>
  <c r="L216" i="3" s="1"/>
  <c r="U216" i="3" s="1"/>
  <c r="G206" i="3"/>
  <c r="L206" i="3" s="1"/>
  <c r="U206" i="3" s="1"/>
  <c r="B206" i="3"/>
  <c r="K206" i="3"/>
  <c r="T206" i="3" s="1"/>
  <c r="E206" i="3"/>
  <c r="J206" i="3" s="1"/>
  <c r="S206" i="3" s="1"/>
  <c r="E208" i="3"/>
  <c r="J208" i="3" s="1"/>
  <c r="S208" i="3" s="1"/>
  <c r="K208" i="3"/>
  <c r="T208" i="3" s="1"/>
  <c r="B208" i="3"/>
  <c r="G208" i="3"/>
  <c r="L208" i="3" s="1"/>
  <c r="U208" i="3" s="1"/>
  <c r="G204" i="3"/>
  <c r="L204" i="3" s="1"/>
  <c r="U204" i="3" s="1"/>
  <c r="B204" i="3"/>
  <c r="K204" i="3"/>
  <c r="T204" i="3" s="1"/>
  <c r="E204" i="3"/>
  <c r="J204" i="3" s="1"/>
  <c r="S204" i="3" s="1"/>
  <c r="K211" i="3"/>
  <c r="T211" i="3" s="1"/>
  <c r="E211" i="3"/>
  <c r="J211" i="3" s="1"/>
  <c r="S211" i="3" s="1"/>
  <c r="B211" i="3"/>
  <c r="G211" i="3"/>
  <c r="L211" i="3" s="1"/>
  <c r="U211" i="3" s="1"/>
  <c r="E212" i="3"/>
  <c r="J212" i="3" s="1"/>
  <c r="S212" i="3" s="1"/>
  <c r="B212" i="3"/>
  <c r="G212" i="3"/>
  <c r="L212" i="3" s="1"/>
  <c r="U212" i="3" s="1"/>
  <c r="K212" i="3"/>
  <c r="T2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Vashisht, Kartik</author>
    <author>GD, Praveen</author>
    <author>a0272042</author>
    <author>Alex Triano</author>
    <author>TI User</author>
    <author>bdemsc</author>
  </authors>
  <commentList>
    <comment ref="F18" authorId="0" shapeId="0" xr:uid="{00000000-0006-0000-0100-000003000000}">
      <text>
        <r>
          <rPr>
            <b/>
            <sz val="8"/>
            <color indexed="81"/>
            <rFont val="Tahoma"/>
            <family val="2"/>
          </rPr>
          <t xml:space="preserve">This is the capacitance at Vout. This should not be zero. A minimum of 100 </t>
        </r>
        <r>
          <rPr>
            <b/>
            <sz val="8"/>
            <color indexed="81"/>
            <rFont val="Arial"/>
            <family val="2"/>
          </rPr>
          <t>n</t>
        </r>
        <r>
          <rPr>
            <b/>
            <sz val="8"/>
            <color indexed="81"/>
            <rFont val="Tahoma"/>
            <family val="2"/>
          </rPr>
          <t>F is recommended.</t>
        </r>
      </text>
    </comment>
    <comment ref="F23" authorId="1" shapeId="0" xr:uid="{F8166991-100C-4B7E-900F-EDF7CF4C0DAE}">
      <text>
        <r>
          <rPr>
            <b/>
            <sz val="9"/>
            <color indexed="81"/>
            <rFont val="Tahoma"/>
            <family val="2"/>
          </rPr>
          <t xml:space="preserve">Min current limit has to be greater than max load current
</t>
        </r>
      </text>
    </comment>
    <comment ref="F24" authorId="1" shapeId="0" xr:uid="{DFDDF1E0-CA55-403A-BB90-C153699B19C0}">
      <text>
        <r>
          <rPr>
            <b/>
            <sz val="9"/>
            <color indexed="81"/>
            <rFont val="Tahoma"/>
            <family val="2"/>
          </rPr>
          <t xml:space="preserve">Value depends on Rsense, should not be less than 20mV/Rsense </t>
        </r>
      </text>
    </comment>
    <comment ref="F25" authorId="2" shapeId="0" xr:uid="{FE6AEE9D-D6CF-4542-9DDF-C74E39E4A10D}">
      <text>
        <r>
          <rPr>
            <b/>
            <sz val="9"/>
            <color indexed="81"/>
            <rFont val="Tahoma"/>
            <family val="2"/>
          </rPr>
          <t>Refer to controller datasheet for Load switch FET - 'GATE Source Current' paramter</t>
        </r>
      </text>
    </comment>
    <comment ref="F30" authorId="1" shapeId="0" xr:uid="{40F3999C-44EE-4B8C-ABEC-59F335AB1338}">
      <text>
        <r>
          <rPr>
            <b/>
            <sz val="9"/>
            <color indexed="81"/>
            <rFont val="Tahoma"/>
            <family val="2"/>
          </rPr>
          <t xml:space="preserve">Recommended range is 50 to 100 ohm
</t>
        </r>
      </text>
    </comment>
    <comment ref="F33" authorId="3" shapeId="0" xr:uid="{00000000-0006-0000-0100-000008000000}">
      <text>
        <r>
          <rPr>
            <b/>
            <sz val="9"/>
            <color indexed="81"/>
            <rFont val="Tahoma"/>
            <family val="2"/>
          </rPr>
          <t xml:space="preserve">Ensure that the minimum current limit is above maximum load. </t>
        </r>
      </text>
    </comment>
    <comment ref="F49" authorId="4" shapeId="0" xr:uid="{00000000-0006-0000-0100-00000C000000}">
      <text>
        <r>
          <rPr>
            <b/>
            <sz val="9"/>
            <color indexed="81"/>
            <rFont val="Tahoma"/>
            <family val="2"/>
          </rPr>
          <t xml:space="preserve">Note that this parameter is heavily dependent on the board layout and amount of copper connected to the Drain of the FET. 
~40 C/W number and is a good starting point. It's recommended to measure this value again once the boards are built and plugging this back into the calculator. 
</t>
        </r>
      </text>
    </comment>
    <comment ref="F51" authorId="3" shapeId="0" xr:uid="{00000000-0006-0000-0100-00000D000000}">
      <text>
        <r>
          <rPr>
            <b/>
            <sz val="9"/>
            <color indexed="81"/>
            <rFont val="Tahoma"/>
            <family val="2"/>
          </rPr>
          <t>This number may need to be adjusted iteratively.</t>
        </r>
        <r>
          <rPr>
            <sz val="9"/>
            <color indexed="81"/>
            <rFont val="Tahoma"/>
            <family val="2"/>
          </rPr>
          <t xml:space="preserve">
</t>
        </r>
      </text>
    </comment>
    <comment ref="F59" authorId="3" shapeId="0" xr:uid="{00000000-0006-0000-0100-00000E000000}">
      <text>
        <r>
          <rPr>
            <sz val="9"/>
            <color indexed="81"/>
            <rFont val="Tahoma"/>
            <family val="2"/>
          </rPr>
          <t xml:space="preserve">If FET temperature is too high, increase the # of FETs, reduce the load, or reduce the RθJA by adding more heat sinking to MOSFETs. 
</t>
        </r>
      </text>
    </comment>
    <comment ref="I65" authorId="5" shapeId="0" xr:uid="{00000000-0006-0000-0100-000011000000}">
      <text>
        <r>
          <rPr>
            <sz val="8"/>
            <color indexed="81"/>
            <rFont val="Tahoma"/>
            <family val="2"/>
          </rPr>
          <t xml:space="preserve">3 Parameters:
Step 1: Max Ambrient Operating Temperature 
Step 3: Estimated MOSFET RQJA
Step 3: FET Power Dissipation at full load 
**This includes air flow
</t>
        </r>
      </text>
    </comment>
    <comment ref="F67" authorId="6" shapeId="0" xr:uid="{00000000-0006-0000-0100-000012000000}">
      <text>
        <r>
          <rPr>
            <b/>
            <sz val="8"/>
            <color indexed="81"/>
            <rFont val="Tahoma"/>
            <family val="2"/>
          </rPr>
          <t>Select if the load will draw current during start-up. 
For no Load, choose constant current and set to zero</t>
        </r>
      </text>
    </comment>
    <comment ref="F69" authorId="6" shapeId="0" xr:uid="{00000000-0006-0000-0100-000013000000}">
      <text>
        <r>
          <rPr>
            <b/>
            <sz val="8"/>
            <color indexed="81"/>
            <rFont val="Tahoma"/>
            <family val="2"/>
          </rPr>
          <t xml:space="preserve">Yes or No.  
DV/DT control can be useful in high current applications or applications were COUT is large.
</t>
        </r>
      </text>
    </comment>
    <comment ref="F74" authorId="1" shapeId="0" xr:uid="{8C55EF09-5B26-43B0-A394-29820E4E34F7}">
      <text>
        <r>
          <rPr>
            <b/>
            <sz val="9"/>
            <color indexed="81"/>
            <rFont val="Tahoma"/>
            <family val="2"/>
          </rPr>
          <t>Should be less than the user specified Inrush current value, vary the slew rate and SS Capacitor to get it below max value</t>
        </r>
      </text>
    </comment>
    <comment ref="F75" authorId="3" shapeId="0" xr:uid="{00000000-0006-0000-0100-00001D000000}">
      <text>
        <r>
          <rPr>
            <sz val="9"/>
            <color indexed="81"/>
            <rFont val="Tahoma"/>
            <family val="2"/>
          </rPr>
          <t>A margin of &gt;1.1 is required and a margin of &gt;1.3 is recommended to account for the variation in the gate current. 
Reduce dv/dt rate to reduce inrush current and increase SOA margin</t>
        </r>
      </text>
    </comment>
    <comment ref="F80" authorId="6" shapeId="0" xr:uid="{00000000-0006-0000-0100-000020000000}">
      <text>
        <r>
          <rPr>
            <b/>
            <sz val="8"/>
            <color indexed="81"/>
            <rFont val="Tahoma"/>
            <family val="2"/>
          </rPr>
          <t>See the schematics on the right to select the appropriate option for setting the input voltage UVLO and OVLO thresholds.</t>
        </r>
      </text>
    </comment>
    <comment ref="F81" authorId="0" shapeId="0" xr:uid="{00000000-0006-0000-0100-000021000000}">
      <text>
        <r>
          <rPr>
            <b/>
            <sz val="8"/>
            <color indexed="81"/>
            <rFont val="Tahoma"/>
            <family val="2"/>
          </rPr>
          <t>This threshold must be between 3V and 65V.</t>
        </r>
      </text>
    </comment>
    <comment ref="F83" authorId="0" shapeId="0" xr:uid="{00000000-0006-0000-0100-000023000000}">
      <text>
        <r>
          <rPr>
            <b/>
            <sz val="8"/>
            <color indexed="81"/>
            <rFont val="Tahoma"/>
            <family val="2"/>
          </rPr>
          <t>This threshold must be greater than the UVLO Threshold, and less than 65V.</t>
        </r>
      </text>
    </comment>
    <comment ref="F119" authorId="4" shapeId="0" xr:uid="{00000000-0006-0000-0100-000024000000}">
      <text>
        <r>
          <rPr>
            <sz val="9"/>
            <color indexed="81"/>
            <rFont val="Tahoma"/>
            <family val="2"/>
          </rPr>
          <t xml:space="preserve">TI recommended. Same as EVM
</t>
        </r>
      </text>
    </comment>
    <comment ref="F120" authorId="4" shapeId="0" xr:uid="{00000000-0006-0000-0100-000025000000}">
      <text>
        <r>
          <rPr>
            <sz val="9"/>
            <color indexed="81"/>
            <rFont val="Tahoma"/>
            <family val="2"/>
          </rPr>
          <t xml:space="preserve">TI recomends the SMBJxx TVS, which are used on the EVM. 
Pick the proper value based on the input voltage.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39" authorId="0" shapeId="0" xr:uid="{3E60E5E3-414E-4DEC-A18D-30DB69B92CD3}">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0" authorId="0" shapeId="0" xr:uid="{E17E537B-A53D-4C98-98BF-FC59F876C2E5}">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H41" authorId="0" shapeId="0" xr:uid="{47E5052C-6734-4D21-87C6-1FE1D3D6A518}">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<sst xmlns="http://schemas.openxmlformats.org/spreadsheetml/2006/main" count="716" uniqueCount="493">
  <si>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</si>
  <si>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</si>
  <si>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</si>
  <si>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</si>
  <si>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</si>
  <si>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</si>
  <si>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</si>
  <si>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</si>
  <si>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</si>
  <si>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</si>
  <si>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</si>
  <si>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</si>
  <si>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</si>
  <si>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</si>
  <si>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</si>
  <si>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</si>
  <si>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</si>
  <si>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</si>
  <si>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</si>
  <si>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C</t>
    </r>
    <r>
      <rPr>
        <vertAlign val="subscript"/>
        <sz val="10"/>
        <rFont val="Arial"/>
        <family val="2"/>
      </rPr>
      <t>T</t>
    </r>
    <r>
      <rPr>
        <sz val="10"/>
        <rFont val="Arial"/>
        <family val="2"/>
      </rPr>
      <t xml:space="preserve"> =</t>
    </r>
  </si>
  <si>
    <t>Notes:</t>
  </si>
  <si>
    <t>Option A</t>
  </si>
  <si>
    <t>Option B</t>
  </si>
  <si>
    <t>Select Option A or Option B</t>
  </si>
  <si>
    <t>R2</t>
  </si>
  <si>
    <t>R3</t>
  </si>
  <si>
    <t>R4</t>
  </si>
  <si>
    <t>A</t>
  </si>
  <si>
    <t>B</t>
  </si>
  <si>
    <t>UVLO upper is F40</t>
  </si>
  <si>
    <t xml:space="preserve">R3 = </t>
  </si>
  <si>
    <t xml:space="preserve">R2 = </t>
  </si>
  <si>
    <t xml:space="preserve">R1 = </t>
  </si>
  <si>
    <t xml:space="preserve">R4 = </t>
  </si>
  <si>
    <t>R1 is F48</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</si>
  <si>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</si>
  <si>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</si>
  <si>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</si>
  <si>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</si>
  <si>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</si>
  <si>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</si>
  <si>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</si>
  <si>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</si>
  <si>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</si>
  <si>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</si>
  <si>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</si>
  <si>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</si>
  <si>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</si>
  <si>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</si>
  <si>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</si>
  <si>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</si>
  <si>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</si>
  <si>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</si>
  <si>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</si>
  <si>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</si>
  <si>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</si>
  <si>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</si>
  <si>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</si>
  <si>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</si>
  <si>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</si>
  <si>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</si>
  <si>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</si>
  <si>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</si>
  <si>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</si>
  <si>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</si>
  <si>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</si>
  <si>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</si>
  <si>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</si>
  <si>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</si>
  <si>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</si>
  <si>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</si>
  <si>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</si>
  <si>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</si>
  <si>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Minimum Current Limit</t>
  </si>
  <si>
    <t>Resulting Typical Current Limit</t>
  </si>
  <si>
    <t>Resulting Maximum Current Limit</t>
  </si>
  <si>
    <t xml:space="preserve">Enter the Resistance for R1 </t>
  </si>
  <si>
    <t xml:space="preserve">Enter the Resistance for R2 </t>
  </si>
  <si>
    <t xml:space="preserve">Enter the Resistance for R3 </t>
  </si>
  <si>
    <t xml:space="preserve">Enter the Resistance for R4 </t>
  </si>
  <si>
    <t>2. A TVS clamp from VIN to GND is absolutely mandatory to clamp the voltage overshoot upon MOSFET turn-off, e.g. during circuit breaker</t>
  </si>
  <si>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</si>
  <si>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</si>
  <si>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</si>
  <si>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</si>
  <si>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</si>
  <si>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</si>
  <si>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</si>
  <si>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</si>
  <si>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</si>
  <si>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</si>
  <si>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</si>
  <si>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</si>
  <si>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</si>
  <si>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</si>
  <si>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</si>
  <si>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</si>
  <si>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</si>
  <si>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</si>
  <si>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</si>
  <si>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</si>
  <si>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</si>
  <si>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</si>
  <si>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</si>
  <si>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</si>
  <si>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</si>
  <si>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</si>
  <si>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</si>
  <si>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</si>
  <si>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</si>
  <si>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</si>
  <si>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</si>
  <si>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</si>
  <si>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</si>
  <si>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</si>
  <si>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</si>
  <si>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</si>
  <si>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</si>
  <si>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</si>
  <si>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</si>
  <si>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</si>
  <si>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</si>
  <si>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</si>
  <si>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</si>
  <si>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</si>
  <si>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</si>
  <si>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</si>
  <si>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</si>
  <si>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</si>
  <si>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</si>
  <si>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</si>
  <si>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</si>
  <si>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</si>
  <si>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</si>
  <si>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</si>
  <si>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</si>
  <si>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</si>
  <si>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</si>
  <si>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</si>
  <si>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</si>
  <si>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</si>
  <si>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</si>
  <si>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</si>
  <si>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</si>
  <si>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</si>
  <si>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</si>
  <si>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</si>
  <si>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</si>
  <si>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</si>
  <si>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</si>
  <si>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</si>
  <si>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</si>
  <si>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</si>
  <si>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</si>
  <si>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</si>
  <si>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</si>
  <si>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</si>
  <si>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</si>
  <si>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</si>
  <si>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</si>
  <si>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</si>
  <si>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V/S</t>
  </si>
  <si>
    <t>Gate Sourcing Current</t>
  </si>
  <si>
    <t>CLMAX =</t>
  </si>
  <si>
    <t xml:space="preserve">CLNOM = </t>
  </si>
  <si>
    <t>CLMIN =</t>
  </si>
  <si>
    <t>RCL1 Recommended  =</t>
  </si>
  <si>
    <t>RCL2 Recommmended =</t>
  </si>
  <si>
    <t>Effective Rs =</t>
  </si>
  <si>
    <t>Step 5: UVLO, OVLO &amp; PGD Thresholds</t>
  </si>
  <si>
    <t>Design Summary</t>
  </si>
  <si>
    <t>100us</t>
  </si>
  <si>
    <t>Step 2: Current Limit and Circuit Breaker</t>
  </si>
  <si>
    <t>1.8 x Threshold</t>
  </si>
  <si>
    <t>1.8x CB:CL Ratio</t>
  </si>
  <si>
    <t>3.6 x Threshold</t>
  </si>
  <si>
    <t>3.6x CB:CL Ratio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</si>
  <si>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</si>
  <si>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</si>
  <si>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</si>
  <si>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</si>
  <si>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</si>
  <si>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</si>
  <si>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</si>
  <si>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</si>
  <si>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</si>
  <si>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</si>
  <si>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</si>
  <si>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</si>
  <si>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</si>
  <si>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</si>
  <si>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</si>
  <si>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</si>
  <si>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</si>
  <si>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</si>
  <si>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</si>
  <si>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</si>
  <si>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</si>
  <si>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</si>
  <si>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</si>
  <si>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Recommended Resistance for:  R1</t>
  </si>
  <si>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</si>
  <si>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</si>
  <si>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</si>
  <si>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</si>
  <si>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</si>
  <si>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</si>
  <si>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</si>
  <si>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</si>
  <si>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</si>
  <si>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</si>
  <si>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</si>
  <si>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</si>
  <si>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</si>
  <si>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</si>
  <si>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</si>
  <si>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Rpwr =  A * [PLIM(Vds) * Rs - Vds*Vos,syst]</t>
  </si>
  <si>
    <t xml:space="preserve">Key Equations: </t>
  </si>
  <si>
    <t>How Plim varries vs Vds:</t>
  </si>
  <si>
    <t>Plim (Vds) = Plim (Vin,max) + (Vds - Vin,max)*Vos,syst/Rs</t>
  </si>
  <si>
    <t>Ex: Plim @ 13V = 100W, Rs = 0.5; Plim @ (Vds = 5V) = 100W - 7V * 1mV/0.5mili-ohm = 100W - 14W = 86W</t>
  </si>
  <si>
    <t>Target PLIM</t>
  </si>
  <si>
    <t>k-ohm</t>
  </si>
  <si>
    <t>Rpwr actual</t>
  </si>
  <si>
    <t>Final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</si>
  <si>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</si>
  <si>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</si>
  <si>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</si>
  <si>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</si>
  <si>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</si>
  <si>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</si>
  <si>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</si>
  <si>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</si>
  <si>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</si>
  <si>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</si>
  <si>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</si>
  <si>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</si>
  <si>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</si>
  <si>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</si>
  <si>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</si>
  <si>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t>
  </si>
  <si>
    <t>Start-slop</t>
  </si>
  <si>
    <t>Target Fault Timer</t>
  </si>
  <si>
    <t>Target Timer capacitance</t>
  </si>
  <si>
    <t>Selected Timer capacitance</t>
  </si>
  <si>
    <t>Final Fault Timer</t>
  </si>
  <si>
    <t>Note: I added an adjustment for the systematic offset</t>
  </si>
  <si>
    <t>Vos syst</t>
  </si>
  <si>
    <t>Rs (ohm)</t>
  </si>
  <si>
    <t>Vin, max</t>
  </si>
  <si>
    <t>Plim tolerance</t>
  </si>
  <si>
    <t>Temp Derated SOA</t>
  </si>
  <si>
    <t>SOA / 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</si>
  <si>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</si>
  <si>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</si>
  <si>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</si>
  <si>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</si>
  <si>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</si>
  <si>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</si>
  <si>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</si>
  <si>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</si>
  <si>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</si>
  <si>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</si>
  <si>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</si>
  <si>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</si>
  <si>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</si>
  <si>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</si>
  <si>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</si>
  <si>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</si>
  <si>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</si>
  <si>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</si>
  <si>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</si>
  <si>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</si>
  <si>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</si>
  <si>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</si>
  <si>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</si>
  <si>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</si>
  <si>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</si>
  <si>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</si>
  <si>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</si>
  <si>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</si>
  <si>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</si>
  <si>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</si>
  <si>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</si>
  <si>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</si>
  <si>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</si>
  <si>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</si>
  <si>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</si>
  <si>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</si>
  <si>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</si>
  <si>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</si>
  <si>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SOA Check - Based on Timer</t>
  </si>
  <si>
    <t>timer_constant</t>
  </si>
  <si>
    <t>Enter Values in Green Shaded Cells</t>
  </si>
  <si>
    <t>1s/DC</t>
  </si>
  <si>
    <t>Temp for derating</t>
  </si>
  <si>
    <t>board hot?</t>
  </si>
  <si>
    <t>FET_Energy</t>
  </si>
  <si>
    <t>Tiime (ms)</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</si>
  <si>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</si>
  <si>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</si>
  <si>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</si>
  <si>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</si>
  <si>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</si>
  <si>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</si>
  <si>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</si>
  <si>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</si>
  <si>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</si>
  <si>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</si>
  <si>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</si>
  <si>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</si>
  <si>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</si>
  <si>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</si>
  <si>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</si>
  <si>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</si>
  <si>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</si>
  <si>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</si>
  <si>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</si>
  <si>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</si>
  <si>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</si>
  <si>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</si>
  <si>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</si>
  <si>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</si>
  <si>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</si>
  <si>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</si>
  <si>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</si>
  <si>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</si>
  <si>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</si>
  <si>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</si>
  <si>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</si>
  <si>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</si>
  <si>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</si>
  <si>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</si>
  <si>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</si>
  <si>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</si>
  <si>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</si>
  <si>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</si>
  <si>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</si>
  <si>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</si>
  <si>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</si>
  <si>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</si>
  <si>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</si>
  <si>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</si>
  <si>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</si>
  <si>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</si>
  <si>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</si>
  <si>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</si>
  <si>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</si>
  <si>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</si>
  <si>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</si>
  <si>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</si>
  <si>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</si>
  <si>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</si>
  <si>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</si>
  <si>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</si>
  <si>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 xml:space="preserve">    If not, try changing start-up conditions (soft start values, timer values), add more FETs in parallel, or switch to FET with better SOA.</t>
  </si>
  <si>
    <t>5. Enter desired UVLO and OVLO values to get recommended resistor values.</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</si>
  <si>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</si>
  <si>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</si>
  <si>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</si>
  <si>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</si>
  <si>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</si>
  <si>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</si>
  <si>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</si>
  <si>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</si>
  <si>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</si>
  <si>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</si>
  <si>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</si>
  <si>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</si>
  <si>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</si>
  <si>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</si>
  <si>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</si>
  <si>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</si>
  <si>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r>
      <t>C</t>
    </r>
    <r>
      <rPr>
        <vertAlign val="subscript"/>
        <sz val="10"/>
        <rFont val="Arial"/>
        <family val="2"/>
      </rPr>
      <t>dv/dt</t>
    </r>
    <r>
      <rPr>
        <sz val="10"/>
        <rFont val="Arial"/>
        <family val="2"/>
      </rPr>
      <t xml:space="preserve"> =</t>
    </r>
  </si>
  <si>
    <t>Q1 =</t>
  </si>
  <si>
    <t>Q2 =</t>
  </si>
  <si>
    <t>Z1 =</t>
  </si>
  <si>
    <r>
      <rPr>
        <b/>
        <u/>
        <sz val="9"/>
        <color rgb="FFFF0000"/>
        <rFont val="Arial"/>
        <family val="2"/>
      </rPr>
      <t>Note:</t>
    </r>
    <r>
      <rPr>
        <b/>
        <sz val="9"/>
        <color rgb="FFFF0000"/>
        <rFont val="Arial"/>
        <family val="2"/>
      </rPr>
      <t xml:space="preserve"> Hover here to see the 3 values affecting this curve, consult a thermal expert if you are unsure! </t>
    </r>
  </si>
  <si>
    <t>Inrush Current</t>
  </si>
  <si>
    <t>mA</t>
  </si>
  <si>
    <r>
      <t>SCP Threshold R</t>
    </r>
    <r>
      <rPr>
        <sz val="7"/>
        <rFont val="Arial"/>
        <family val="2"/>
      </rPr>
      <t>ISCP</t>
    </r>
    <r>
      <rPr>
        <sz val="10"/>
        <rFont val="Arial"/>
        <family val="2"/>
      </rPr>
      <t>=0</t>
    </r>
  </si>
  <si>
    <r>
      <t>SCP Threshold for given R</t>
    </r>
    <r>
      <rPr>
        <sz val="7"/>
        <rFont val="Arial"/>
        <family val="2"/>
      </rPr>
      <t>ISCP</t>
    </r>
  </si>
  <si>
    <r>
      <t>R</t>
    </r>
    <r>
      <rPr>
        <sz val="6"/>
        <rFont val="Arial"/>
        <family val="2"/>
      </rPr>
      <t>ILIM</t>
    </r>
    <r>
      <rPr>
        <sz val="10"/>
        <rFont val="Arial"/>
        <family val="2"/>
      </rPr>
      <t>=</t>
    </r>
  </si>
  <si>
    <r>
      <t>R</t>
    </r>
    <r>
      <rPr>
        <sz val="6"/>
        <rFont val="Arial"/>
        <family val="2"/>
      </rPr>
      <t>IMON</t>
    </r>
    <r>
      <rPr>
        <sz val="10"/>
        <rFont val="Arial"/>
        <family val="2"/>
      </rPr>
      <t>=</t>
    </r>
  </si>
  <si>
    <r>
      <t>C</t>
    </r>
    <r>
      <rPr>
        <sz val="6"/>
        <rFont val="Arial"/>
        <family val="2"/>
      </rPr>
      <t>TMR</t>
    </r>
    <r>
      <rPr>
        <sz val="10"/>
        <rFont val="Arial"/>
        <family val="2"/>
      </rPr>
      <t>=</t>
    </r>
  </si>
  <si>
    <t>DELAY TIMER</t>
  </si>
  <si>
    <t>TMR source current</t>
  </si>
  <si>
    <t xml:space="preserve">TMR sink current </t>
  </si>
  <si>
    <t>Voltage at TMR pin for IWRN shut off</t>
  </si>
  <si>
    <t>Auto Retry Time</t>
  </si>
  <si>
    <r>
      <t>T</t>
    </r>
    <r>
      <rPr>
        <sz val="6"/>
        <rFont val="Arial"/>
        <family val="2"/>
      </rPr>
      <t>retry</t>
    </r>
    <r>
      <rPr>
        <sz val="10"/>
        <rFont val="Arial"/>
        <family val="2"/>
      </rPr>
      <t>=</t>
    </r>
  </si>
  <si>
    <t>Inrush Duration</t>
  </si>
  <si>
    <t>Desired UVLO Threshold</t>
  </si>
  <si>
    <t>Desired OVLO Threshold</t>
  </si>
  <si>
    <t>OV UV</t>
  </si>
  <si>
    <t>UVLOF</t>
  </si>
  <si>
    <t>OVR</t>
  </si>
  <si>
    <t>UVLOR</t>
  </si>
  <si>
    <r>
      <t>I</t>
    </r>
    <r>
      <rPr>
        <sz val="6"/>
        <rFont val="Arial"/>
        <family val="2"/>
      </rPr>
      <t>UVLO</t>
    </r>
  </si>
  <si>
    <t>nA</t>
  </si>
  <si>
    <t>OVF</t>
  </si>
  <si>
    <t>IOV</t>
  </si>
  <si>
    <t>Resulting UVLO=</t>
  </si>
  <si>
    <t>Resulting OVLO=</t>
  </si>
  <si>
    <r>
      <t>R</t>
    </r>
    <r>
      <rPr>
        <vertAlign val="subscript"/>
        <sz val="11"/>
        <color theme="1"/>
        <rFont val="Arial"/>
        <family val="2"/>
      </rPr>
      <t>SENSE</t>
    </r>
    <r>
      <rPr>
        <sz val="11"/>
        <color theme="1"/>
        <rFont val="Arial"/>
        <family val="2"/>
      </rPr>
      <t xml:space="preserve"> =</t>
    </r>
  </si>
  <si>
    <r>
      <t>R</t>
    </r>
    <r>
      <rPr>
        <sz val="7"/>
        <color theme="1"/>
        <rFont val="Arial"/>
        <family val="2"/>
      </rPr>
      <t>SET</t>
    </r>
    <r>
      <rPr>
        <sz val="11"/>
        <color theme="1"/>
        <rFont val="Arial"/>
        <family val="2"/>
      </rPr>
      <t>=</t>
    </r>
  </si>
  <si>
    <r>
      <t>R</t>
    </r>
    <r>
      <rPr>
        <sz val="7"/>
        <color theme="1"/>
        <rFont val="Arial"/>
        <family val="2"/>
      </rPr>
      <t>SCP</t>
    </r>
    <r>
      <rPr>
        <sz val="11"/>
        <color theme="1"/>
        <rFont val="Arial"/>
        <family val="2"/>
      </rPr>
      <t>=</t>
    </r>
  </si>
  <si>
    <r>
      <t>R</t>
    </r>
    <r>
      <rPr>
        <sz val="7"/>
        <rFont val="Arial"/>
        <family val="2"/>
      </rPr>
      <t>ILIM</t>
    </r>
    <r>
      <rPr>
        <sz val="10"/>
        <rFont val="Arial"/>
        <family val="2"/>
      </rPr>
      <t>=</t>
    </r>
  </si>
  <si>
    <r>
      <t>R</t>
    </r>
    <r>
      <rPr>
        <sz val="7"/>
        <rFont val="Arial"/>
        <family val="2"/>
      </rPr>
      <t>IMON</t>
    </r>
    <r>
      <rPr>
        <sz val="10"/>
        <rFont val="Arial"/>
        <family val="2"/>
      </rPr>
      <t>=</t>
    </r>
  </si>
  <si>
    <t>© 2023</t>
  </si>
  <si>
    <r>
      <t>Enter R</t>
    </r>
    <r>
      <rPr>
        <sz val="7"/>
        <rFont val="Arial"/>
        <family val="2"/>
      </rPr>
      <t>ILIM</t>
    </r>
  </si>
  <si>
    <t>Actual Current limit=</t>
  </si>
  <si>
    <r>
      <t>Enter R</t>
    </r>
    <r>
      <rPr>
        <sz val="6"/>
        <rFont val="Arial"/>
        <family val="2"/>
      </rPr>
      <t>IMON</t>
    </r>
  </si>
  <si>
    <r>
      <t>Actual V</t>
    </r>
    <r>
      <rPr>
        <sz val="6"/>
        <rFont val="Arial"/>
        <family val="2"/>
      </rPr>
      <t>IMON</t>
    </r>
    <r>
      <rPr>
        <sz val="10"/>
        <rFont val="Arial"/>
        <family val="2"/>
      </rPr>
      <t>=</t>
    </r>
  </si>
  <si>
    <t>Standard EIA Decade Resistor Values</t>
  </si>
  <si>
    <t>0.5%, 0.25%, 0.1%</t>
  </si>
  <si>
    <t>E6</t>
  </si>
  <si>
    <t>E12</t>
  </si>
  <si>
    <t>E24</t>
  </si>
  <si>
    <t>E48</t>
  </si>
  <si>
    <t>E96</t>
  </si>
  <si>
    <t>E192</t>
  </si>
  <si>
    <t>End Values Required for Processing</t>
  </si>
  <si>
    <t>Standard Capacitor Values</t>
  </si>
  <si>
    <t>pF</t>
  </si>
  <si>
    <t>mF</t>
  </si>
  <si>
    <r>
      <t>Selected C</t>
    </r>
    <r>
      <rPr>
        <sz val="7"/>
        <rFont val="Arial"/>
        <family val="2"/>
      </rPr>
      <t>TMR</t>
    </r>
    <r>
      <rPr>
        <sz val="10"/>
        <rFont val="Arial"/>
        <family val="2"/>
      </rPr>
      <t>=</t>
    </r>
  </si>
  <si>
    <t>OC time=</t>
  </si>
  <si>
    <r>
      <t>Max R</t>
    </r>
    <r>
      <rPr>
        <sz val="6"/>
        <rFont val="Arial"/>
        <family val="2"/>
      </rPr>
      <t>IMON</t>
    </r>
    <r>
      <rPr>
        <sz val="10"/>
        <rFont val="Arial"/>
        <family val="2"/>
      </rPr>
      <t>=</t>
    </r>
  </si>
  <si>
    <r>
      <t>Max R</t>
    </r>
    <r>
      <rPr>
        <sz val="6"/>
        <rFont val="Arial"/>
        <family val="2"/>
      </rPr>
      <t>IMON</t>
    </r>
  </si>
  <si>
    <r>
      <t>Suggested R</t>
    </r>
    <r>
      <rPr>
        <sz val="6"/>
        <rFont val="Arial"/>
        <family val="2"/>
      </rPr>
      <t>IMON</t>
    </r>
  </si>
  <si>
    <r>
      <t>Suggested C</t>
    </r>
    <r>
      <rPr>
        <sz val="6"/>
        <rFont val="Arial"/>
        <family val="2"/>
      </rPr>
      <t>TMR</t>
    </r>
  </si>
  <si>
    <r>
      <t>Enter R</t>
    </r>
    <r>
      <rPr>
        <sz val="7"/>
        <rFont val="Arial"/>
        <family val="2"/>
      </rPr>
      <t>scp</t>
    </r>
  </si>
  <si>
    <r>
      <t>Suggested R</t>
    </r>
    <r>
      <rPr>
        <sz val="7"/>
        <rFont val="Arial"/>
        <family val="2"/>
      </rPr>
      <t>scp</t>
    </r>
  </si>
  <si>
    <r>
      <t>R</t>
    </r>
    <r>
      <rPr>
        <sz val="7"/>
        <rFont val="Arial"/>
        <family val="2"/>
      </rPr>
      <t>SCP</t>
    </r>
  </si>
  <si>
    <r>
      <t>I</t>
    </r>
    <r>
      <rPr>
        <sz val="7"/>
        <rFont val="Arial"/>
        <family val="2"/>
      </rPr>
      <t>SCP</t>
    </r>
    <r>
      <rPr>
        <sz val="10"/>
        <rFont val="Arial"/>
        <family val="2"/>
      </rPr>
      <t>=</t>
    </r>
  </si>
  <si>
    <t>Resulting Short circuit current limit</t>
  </si>
  <si>
    <r>
      <t>Minimum Input DC Operating Voltage: V</t>
    </r>
    <r>
      <rPr>
        <vertAlign val="subscript"/>
        <sz val="10"/>
        <rFont val="Arial"/>
        <family val="2"/>
      </rPr>
      <t>IN(MIN)</t>
    </r>
  </si>
  <si>
    <r>
      <t>Nominal Input DC Operating Voltage: V</t>
    </r>
    <r>
      <rPr>
        <vertAlign val="subscript"/>
        <sz val="10"/>
        <rFont val="Arial"/>
        <family val="2"/>
      </rPr>
      <t>IN(NOM)</t>
    </r>
  </si>
  <si>
    <r>
      <t>Maximum Input DC Operating Voltage: V</t>
    </r>
    <r>
      <rPr>
        <vertAlign val="subscript"/>
        <sz val="10"/>
        <rFont val="Arial"/>
        <family val="2"/>
      </rPr>
      <t>IN(MAX)</t>
    </r>
  </si>
  <si>
    <r>
      <t>Enter value of R</t>
    </r>
    <r>
      <rPr>
        <sz val="6"/>
        <rFont val="Arial"/>
        <family val="2"/>
      </rPr>
      <t>SET</t>
    </r>
  </si>
  <si>
    <r>
      <t>Suggested value of R</t>
    </r>
    <r>
      <rPr>
        <sz val="6"/>
        <rFont val="Arial"/>
        <family val="2"/>
      </rPr>
      <t>ILIM</t>
    </r>
  </si>
  <si>
    <t>Actual Overcurrent Fault Time</t>
  </si>
  <si>
    <t>Typical Current Limit Required</t>
  </si>
  <si>
    <r>
      <t>Suggested C</t>
    </r>
    <r>
      <rPr>
        <sz val="7"/>
        <rFont val="Arial"/>
        <family val="2"/>
      </rPr>
      <t>TMR</t>
    </r>
    <r>
      <rPr>
        <sz val="10"/>
        <rFont val="Arial"/>
        <family val="2"/>
      </rPr>
      <t>=</t>
    </r>
  </si>
  <si>
    <r>
      <t>Selected C</t>
    </r>
    <r>
      <rPr>
        <sz val="6"/>
        <rFont val="Arial"/>
        <family val="2"/>
      </rPr>
      <t>TMR</t>
    </r>
  </si>
  <si>
    <t>dv/dt rate on Vout for above capacitor</t>
  </si>
  <si>
    <t>If any of the above cells is red, see the  Instructions Worksheet</t>
  </si>
  <si>
    <t>Calculated/Suggested Values are shown in White Cells</t>
  </si>
  <si>
    <r>
      <t>Maximum Output Load Capacitance: C</t>
    </r>
    <r>
      <rPr>
        <vertAlign val="subscript"/>
        <sz val="10"/>
        <rFont val="Arial"/>
        <family val="2"/>
      </rPr>
      <t>OUT</t>
    </r>
  </si>
  <si>
    <r>
      <t>Voltage at IMON pin at max load for above R</t>
    </r>
    <r>
      <rPr>
        <sz val="7"/>
        <rFont val="Arial"/>
        <family val="2"/>
      </rPr>
      <t>IMON</t>
    </r>
    <r>
      <rPr>
        <sz val="10"/>
        <rFont val="Arial"/>
        <family val="2"/>
      </rPr>
      <t>, V</t>
    </r>
    <r>
      <rPr>
        <sz val="6"/>
        <rFont val="Arial"/>
        <family val="2"/>
      </rPr>
      <t>IMON</t>
    </r>
  </si>
  <si>
    <r>
      <t>C</t>
    </r>
    <r>
      <rPr>
        <sz val="7"/>
        <rFont val="Arial"/>
        <family val="2"/>
      </rPr>
      <t>OUT</t>
    </r>
    <r>
      <rPr>
        <sz val="10"/>
        <rFont val="Arial"/>
        <family val="2"/>
      </rPr>
      <t>=</t>
    </r>
  </si>
  <si>
    <t>3. Component tolerances not accounted for in Min/Max Calculations.</t>
  </si>
  <si>
    <r>
      <t>Calculated SS capacitance C</t>
    </r>
    <r>
      <rPr>
        <sz val="8"/>
        <rFont val="Arial"/>
        <family val="2"/>
      </rPr>
      <t>dv/dt</t>
    </r>
  </si>
  <si>
    <r>
      <t>Select SS capacitance C</t>
    </r>
    <r>
      <rPr>
        <sz val="8"/>
        <rFont val="Arial"/>
        <family val="2"/>
      </rPr>
      <t>dv/dt</t>
    </r>
  </si>
  <si>
    <t>Required Maximum allowed Inrush Current</t>
  </si>
  <si>
    <r>
      <t>Voltage required at IMON pin at max load, V</t>
    </r>
    <r>
      <rPr>
        <sz val="6"/>
        <rFont val="Arial"/>
        <family val="2"/>
      </rPr>
      <t>IMON</t>
    </r>
  </si>
  <si>
    <t>Required Short circuit current limit</t>
  </si>
  <si>
    <t>Actual  Inrush Current</t>
  </si>
  <si>
    <t xml:space="preserve">Resulting UVLO Rising Threshold = </t>
  </si>
  <si>
    <t xml:space="preserve">Resulting UVLO Falling Threshold = </t>
  </si>
  <si>
    <t xml:space="preserve">Resulting OVLO Rising Threshold = </t>
  </si>
  <si>
    <t xml:space="preserve">Resulting OVLO Falling Threshold = </t>
  </si>
  <si>
    <t>BUK7Y4R8-60E</t>
  </si>
  <si>
    <t>Steps 1 &amp; 2: Operating Conditions, Current Limit, &amp; Circuit Breaker</t>
  </si>
  <si>
    <r>
      <t>Enter the Value of Sense Resistor R</t>
    </r>
    <r>
      <rPr>
        <sz val="6"/>
        <rFont val="Arial"/>
        <family val="2"/>
      </rPr>
      <t>SNS</t>
    </r>
  </si>
  <si>
    <t>Required Overcurrent Timer Duration</t>
  </si>
  <si>
    <t>Number of MosFETs in parallel driven by HGATE</t>
  </si>
  <si>
    <t xml:space="preserve">Enter Crss of Q2 FET/s Driven by HGATE </t>
  </si>
  <si>
    <t>IFET_Crss</t>
  </si>
  <si>
    <t>SMBJ33CA</t>
  </si>
  <si>
    <t>Device</t>
  </si>
  <si>
    <t>GATE Source Current</t>
  </si>
  <si>
    <t>µA</t>
  </si>
  <si>
    <t>FET driven by GATE</t>
  </si>
  <si>
    <t>Enter GATE Source Current of the controller</t>
  </si>
  <si>
    <t>Inrush FET SOA Margin Design Calculator- Rev. A</t>
  </si>
  <si>
    <t>2. Enter MOSTFET SOA characteristics</t>
  </si>
  <si>
    <t>3. Select start up conditions (load and/or soft start). Check whether FET is operating with reasonable margin, within the SOA curve.</t>
  </si>
  <si>
    <t>4. Done</t>
  </si>
  <si>
    <t>Step 2: MOSFET Selection</t>
  </si>
  <si>
    <t>Step 3: Startup FET SOA Margin calculations</t>
  </si>
  <si>
    <t xml:space="preserve">                      Mosfet SOA Margin Calculator during dvdt/Inrush limit Startup</t>
  </si>
  <si>
    <t>LM74502-Q1</t>
  </si>
  <si>
    <t>LM7480x-Q1</t>
  </si>
  <si>
    <t>LM749x0-Q1</t>
  </si>
  <si>
    <t>LM7472x-Q1</t>
  </si>
  <si>
    <t>Step 3: Startup</t>
  </si>
  <si>
    <t xml:space="preserve">TEXAS INSTRUMENTS TEXT FILE LICENSE
Copyright (c) 2023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</si>
  <si>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Start-up time</t>
  </si>
  <si>
    <t>TPS48xx-Q1, TPS12xx-Q1</t>
  </si>
  <si>
    <r>
      <t>R1 = 100k</t>
    </r>
    <r>
      <rPr>
        <sz val="9"/>
        <rFont val="Calibri"/>
        <family val="2"/>
      </rPr>
      <t>Ω</t>
    </r>
    <r>
      <rPr>
        <sz val="9"/>
        <rFont val="Arial"/>
        <family val="2"/>
      </rPr>
      <t>; R2 = 10Ω</t>
    </r>
  </si>
  <si>
    <t>Pre-charge GATE; Rg = 220Ω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</si>
</sst>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b/>
      <u/>
      <sz val="9"/>
      <color rgb="FFFF0000"/>
      <name val="Arial"/>
      <family val="2"/>
    </font>
    <font>
      <b/>
      <sz val="9"/>
      <name val="Arial"/>
      <family val="2"/>
    </font>
    <font>
      <sz val="8"/>
      <color indexed="81"/>
      <name val="Tahoma"/>
      <family val="2"/>
    </font>
    <font>
      <sz val="7"/>
      <name val="Arial"/>
      <family val="2"/>
    </font>
    <font>
      <sz val="6"/>
      <name val="Arial"/>
      <family val="2"/>
    </font>
    <font>
      <b/>
      <sz val="11"/>
      <color theme="1"/>
      <name val="Calibri"/>
      <family val="2"/>
      <scheme val="minor"/>
    </font>
    <font>
      <sz val="7"/>
      <color theme="1"/>
      <name val="Arial"/>
      <family val="2"/>
    </font>
    <font>
      <b/>
      <sz val="16"/>
      <color theme="1"/>
      <name val="Calibri"/>
      <family val="2"/>
      <scheme val="minor"/>
    </font>
    <font>
      <u/>
      <sz val="11"/>
      <color theme="10"/>
      <name val="Calibri"/>
      <family val="2"/>
      <scheme val="minor"/>
    </font>
    <font>
      <u/>
      <sz val="20"/>
      <color theme="10"/>
      <name val="Calibri"/>
      <family val="2"/>
      <scheme val="minor"/>
    </font>
    <font>
      <b/>
      <sz val="8"/>
      <color rgb="FF333333"/>
      <name val="Arial"/>
      <family val="2"/>
    </font>
    <font>
      <sz val="9"/>
      <color rgb="FF000000"/>
      <name val="Verdana"/>
      <family val="2"/>
    </font>
    <font>
      <sz val="9"/>
      <name val="Arial"/>
      <family val="2"/>
    </font>
    <font>
      <sz val="9"/>
      <name val="Calibri"/>
      <family val="2"/>
    </font>
  </fonts>
  <fills count="21">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4" tint="0.39997558519241921"/>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8">
    <xf numFmtId="0" fontId="0" fillId="0" borderId="0"/>
    <xf numFmtId="0" fontId="18" fillId="0" borderId="0" applyNumberFormat="0" applyFill="0" applyBorder="0" applyAlignment="0" applyProtection="0">
      <alignment vertical="top"/>
      <protection locked="0"/>
    </xf>
    <xf numFmtId="0" fontId="5" fillId="0" borderId="0"/>
    <xf numFmtId="0" fontId="5" fillId="2" borderId="0">
      <alignment horizontal="center"/>
    </xf>
    <xf numFmtId="0" fontId="5" fillId="5" borderId="1">
      <alignment horizontal="center" vertical="center"/>
      <protection locked="0"/>
    </xf>
    <xf numFmtId="0" fontId="5" fillId="9" borderId="1">
      <alignment horizontal="center" vertical="center"/>
      <protection locked="0"/>
    </xf>
    <xf numFmtId="0" fontId="5" fillId="0" borderId="7"/>
    <xf numFmtId="0" fontId="5" fillId="9" borderId="1">
      <alignment horizontal="center" vertical="center"/>
      <protection locked="0"/>
    </xf>
    <xf numFmtId="0" fontId="5" fillId="9" borderId="1">
      <alignment horizontal="center" vertical="center"/>
      <protection locked="0"/>
    </xf>
    <xf numFmtId="0" fontId="5" fillId="9" borderId="1">
      <alignment horizontal="center" vertical="center"/>
      <protection locked="0"/>
    </xf>
    <xf numFmtId="0" fontId="4" fillId="0" borderId="0"/>
    <xf numFmtId="0" fontId="3" fillId="0" borderId="0"/>
    <xf numFmtId="0" fontId="2" fillId="0" borderId="0"/>
    <xf numFmtId="0" fontId="5" fillId="0" borderId="0"/>
    <xf numFmtId="0" fontId="2" fillId="0" borderId="0"/>
    <xf numFmtId="0" fontId="2" fillId="0" borderId="0"/>
    <xf numFmtId="0" fontId="1" fillId="0" borderId="0"/>
    <xf numFmtId="0" fontId="53" fillId="0" borderId="0" applyNumberFormat="0" applyFill="0" applyBorder="0" applyAlignment="0" applyProtection="0"/>
  </cellStyleXfs>
  <cellXfs count="384">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xf numFmtId="0" fontId="12" fillId="2" borderId="0" xfId="0" applyFont="1" applyFill="1" applyAlignment="1">
      <alignment horizontal="left"/>
    </xf>
    <xf numFmtId="14" fontId="12" fillId="2" borderId="0" xfId="0" applyNumberFormat="1" applyFont="1" applyFill="1" applyAlignment="1">
      <alignment horizontal="left"/>
    </xf>
    <xf numFmtId="0" fontId="0" fillId="0" borderId="1" xfId="0" applyFill="1" applyBorder="1" applyAlignment="1">
      <alignment horizontal="center"/>
    </xf>
    <xf numFmtId="0" fontId="6"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protection locked="0"/>
    </xf>
    <xf numFmtId="0" fontId="5" fillId="0" borderId="0" xfId="0" applyFont="1"/>
    <xf numFmtId="0" fontId="5" fillId="0" borderId="0" xfId="0" applyFont="1" applyAlignment="1">
      <alignment horizontal="right"/>
    </xf>
    <xf numFmtId="0" fontId="0" fillId="3" borderId="0" xfId="0" applyFill="1"/>
    <xf numFmtId="0" fontId="5" fillId="2" borderId="0" xfId="0" applyFont="1" applyFill="1" applyBorder="1" applyAlignment="1">
      <alignment horizontal="right"/>
    </xf>
    <xf numFmtId="0" fontId="19" fillId="2" borderId="0" xfId="1" applyFont="1" applyFill="1" applyAlignment="1" applyProtection="1"/>
    <xf numFmtId="0" fontId="20" fillId="3" borderId="0" xfId="0" applyFont="1" applyFill="1" applyProtection="1"/>
    <xf numFmtId="0" fontId="23" fillId="3" borderId="0" xfId="0" applyFont="1" applyFill="1" applyBorder="1" applyProtection="1"/>
    <xf numFmtId="0" fontId="23" fillId="3" borderId="0" xfId="0" applyFont="1" applyFill="1" applyProtection="1"/>
    <xf numFmtId="0" fontId="22" fillId="3" borderId="18" xfId="0" applyFont="1" applyFill="1" applyBorder="1" applyAlignment="1" applyProtection="1">
      <alignment horizontal="center" vertical="center"/>
    </xf>
    <xf numFmtId="0" fontId="24" fillId="2" borderId="0" xfId="0" applyFont="1" applyFill="1"/>
    <xf numFmtId="0" fontId="27" fillId="2" borderId="0" xfId="0" applyFont="1" applyFill="1"/>
    <xf numFmtId="0" fontId="0" fillId="2" borderId="0" xfId="0"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Alignment="1">
      <alignment horizontal="right"/>
    </xf>
    <xf numFmtId="0" fontId="0" fillId="0" borderId="1" xfId="0" applyFill="1" applyBorder="1" applyAlignment="1" applyProtection="1">
      <alignment horizontal="center" vertical="center"/>
      <protection locked="0"/>
    </xf>
    <xf numFmtId="0" fontId="5" fillId="0" borderId="0" xfId="2" applyAlignment="1" applyProtection="1">
      <alignment horizontal="center"/>
    </xf>
    <xf numFmtId="0" fontId="5" fillId="0" borderId="0" xfId="2"/>
    <xf numFmtId="164" fontId="5" fillId="0" borderId="0" xfId="2" applyNumberFormat="1" applyAlignment="1" applyProtection="1">
      <alignment horizontal="center"/>
    </xf>
    <xf numFmtId="166" fontId="5" fillId="0" borderId="0" xfId="2" applyNumberFormat="1" applyAlignment="1" applyProtection="1">
      <alignment horizontal="center"/>
    </xf>
    <xf numFmtId="2" fontId="5" fillId="0" borderId="19" xfId="2" applyNumberFormat="1" applyBorder="1" applyAlignment="1" applyProtection="1">
      <alignment horizontal="center"/>
    </xf>
    <xf numFmtId="0" fontId="5" fillId="0" borderId="1" xfId="2" applyFont="1" applyBorder="1"/>
    <xf numFmtId="0" fontId="5" fillId="0" borderId="1" xfId="2" applyBorder="1"/>
    <xf numFmtId="0" fontId="5" fillId="0" borderId="0" xfId="0" applyFont="1" applyFill="1" applyBorder="1"/>
    <xf numFmtId="0" fontId="0" fillId="0" borderId="0" xfId="0" applyFill="1" applyBorder="1" applyAlignment="1" applyProtection="1">
      <alignment horizontal="center" vertical="center"/>
      <protection locked="0"/>
    </xf>
    <xf numFmtId="0" fontId="5" fillId="0" borderId="0" xfId="0" applyFont="1" applyFill="1" applyAlignment="1">
      <alignment horizontal="right"/>
    </xf>
    <xf numFmtId="166" fontId="5" fillId="0" borderId="0" xfId="2" applyNumberFormat="1" applyAlignment="1">
      <alignment horizontal="center"/>
    </xf>
    <xf numFmtId="2" fontId="5" fillId="0" borderId="0" xfId="2" applyNumberFormat="1" applyAlignment="1">
      <alignment horizontal="center"/>
    </xf>
    <xf numFmtId="0" fontId="5" fillId="0" borderId="0" xfId="0" applyFont="1" applyAlignment="1">
      <alignment horizontal="center"/>
    </xf>
    <xf numFmtId="0" fontId="0" fillId="2" borderId="18" xfId="0" applyFill="1" applyBorder="1"/>
    <xf numFmtId="0" fontId="5" fillId="2" borderId="18" xfId="0" applyFont="1" applyFill="1" applyBorder="1" applyAlignment="1">
      <alignment horizontal="right" vertical="center"/>
    </xf>
    <xf numFmtId="0" fontId="24" fillId="2" borderId="19" xfId="0" applyFont="1" applyFill="1" applyBorder="1"/>
    <xf numFmtId="0" fontId="0" fillId="2" borderId="19" xfId="0" applyFill="1" applyBorder="1"/>
    <xf numFmtId="0" fontId="0" fillId="2" borderId="20" xfId="0" applyFill="1" applyBorder="1"/>
    <xf numFmtId="0" fontId="5" fillId="2" borderId="20" xfId="0" applyFont="1" applyFill="1" applyBorder="1" applyAlignment="1">
      <alignment horizontal="right" vertical="center"/>
    </xf>
    <xf numFmtId="0" fontId="0" fillId="0" borderId="19" xfId="0" applyBorder="1"/>
    <xf numFmtId="0" fontId="0" fillId="0" borderId="0" xfId="0" applyAlignment="1">
      <alignment horizontal="left"/>
    </xf>
    <xf numFmtId="0" fontId="0" fillId="2" borderId="23" xfId="0" applyFill="1" applyBorder="1"/>
    <xf numFmtId="0" fontId="6" fillId="2" borderId="0" xfId="0" applyFont="1" applyFill="1" applyBorder="1" applyAlignment="1">
      <alignment horizontal="right"/>
    </xf>
    <xf numFmtId="0" fontId="6" fillId="2" borderId="0" xfId="0" applyFont="1" applyFill="1" applyBorder="1" applyAlignment="1">
      <alignment horizontal="center"/>
    </xf>
    <xf numFmtId="0" fontId="11" fillId="2" borderId="0" xfId="0" applyFont="1" applyFill="1" applyBorder="1"/>
    <xf numFmtId="0" fontId="0" fillId="2" borderId="24" xfId="0" applyFill="1" applyBorder="1"/>
    <xf numFmtId="0" fontId="0" fillId="2" borderId="4" xfId="0"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5" fillId="5" borderId="0" xfId="0" applyFont="1" applyFill="1" applyBorder="1" applyAlignment="1">
      <alignment horizontal="right" vertical="center"/>
    </xf>
    <xf numFmtId="0" fontId="20" fillId="0" borderId="0" xfId="0" applyFont="1" applyFill="1" applyBorder="1" applyProtection="1"/>
    <xf numFmtId="0" fontId="0" fillId="2" borderId="22" xfId="0" applyFill="1" applyBorder="1"/>
    <xf numFmtId="0" fontId="5" fillId="2" borderId="0" xfId="0" applyFont="1" applyFill="1" applyBorder="1"/>
    <xf numFmtId="0" fontId="6" fillId="0" borderId="0" xfId="0" applyFont="1" applyFill="1" applyAlignment="1" applyProtection="1">
      <alignment horizontal="left"/>
      <protection locked="0"/>
    </xf>
    <xf numFmtId="0" fontId="0" fillId="0" borderId="0" xfId="0" applyFill="1"/>
    <xf numFmtId="0" fontId="6" fillId="0" borderId="9"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8" borderId="1" xfId="0" applyNumberFormat="1" applyFill="1" applyBorder="1" applyAlignment="1" applyProtection="1">
      <alignment horizontal="center" vertical="center"/>
      <protection locked="0"/>
    </xf>
    <xf numFmtId="0" fontId="27" fillId="7" borderId="17" xfId="0" applyFont="1" applyFill="1" applyBorder="1"/>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5" fillId="0" borderId="0" xfId="2" applyNumberFormat="1"/>
    <xf numFmtId="0" fontId="31" fillId="0" borderId="0" xfId="2" applyFont="1"/>
    <xf numFmtId="0" fontId="31" fillId="0" borderId="0" xfId="2" applyFont="1" applyAlignment="1" applyProtection="1">
      <alignment horizontal="center"/>
    </xf>
    <xf numFmtId="0" fontId="31" fillId="0" borderId="0" xfId="2" applyFont="1" applyAlignment="1">
      <alignment horizontal="center"/>
    </xf>
    <xf numFmtId="10" fontId="5" fillId="0" borderId="0" xfId="2" applyNumberFormat="1"/>
    <xf numFmtId="0" fontId="5" fillId="0" borderId="0" xfId="0" applyFont="1" applyAlignment="1">
      <alignment horizontal="center"/>
    </xf>
    <xf numFmtId="0" fontId="0" fillId="0" borderId="0" xfId="0"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0" fontId="32" fillId="0" borderId="0" xfId="2" applyFont="1"/>
    <xf numFmtId="0" fontId="31" fillId="0" borderId="0" xfId="0" applyFont="1" applyAlignment="1">
      <alignment horizontal="center"/>
    </xf>
    <xf numFmtId="0" fontId="6" fillId="0" borderId="0" xfId="0" applyFont="1" applyAlignment="1">
      <alignment horizontal="center"/>
    </xf>
    <xf numFmtId="0" fontId="5" fillId="3" borderId="0" xfId="0" applyFont="1" applyFill="1" applyAlignment="1">
      <alignment horizontal="right"/>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7" xfId="0" applyFill="1" applyBorder="1" applyAlignment="1">
      <alignment horizontal="center" vertical="center"/>
    </xf>
    <xf numFmtId="0" fontId="5" fillId="2" borderId="25" xfId="0" applyFont="1" applyFill="1" applyBorder="1" applyAlignment="1">
      <alignment horizontal="center" vertical="center"/>
    </xf>
    <xf numFmtId="0" fontId="0" fillId="2" borderId="28" xfId="0" applyFill="1" applyBorder="1" applyAlignment="1">
      <alignment horizontal="center" vertical="center"/>
    </xf>
    <xf numFmtId="0" fontId="5"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0" fillId="2" borderId="4" xfId="0" applyFill="1" applyBorder="1" applyAlignment="1">
      <alignment horizontal="center"/>
    </xf>
    <xf numFmtId="0" fontId="0" fillId="3" borderId="0" xfId="0" applyFill="1" applyAlignment="1">
      <alignment horizontal="center"/>
    </xf>
    <xf numFmtId="0" fontId="5" fillId="0" borderId="0" xfId="0" applyFont="1" applyFill="1" applyBorder="1" applyAlignment="1">
      <alignment horizontal="right"/>
    </xf>
    <xf numFmtId="2" fontId="5"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5" fillId="2" borderId="0" xfId="0" applyFont="1" applyFill="1"/>
    <xf numFmtId="0" fontId="5"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5" fillId="0" borderId="0" xfId="2" applyNumberFormat="1" applyAlignment="1">
      <alignment horizontal="center"/>
    </xf>
    <xf numFmtId="165" fontId="5" fillId="0" borderId="0" xfId="2" applyNumberFormat="1"/>
    <xf numFmtId="0" fontId="34" fillId="4" borderId="1" xfId="0" applyFont="1" applyFill="1" applyBorder="1" applyAlignment="1">
      <alignment horizontal="center"/>
    </xf>
    <xf numFmtId="0" fontId="0" fillId="5" borderId="1" xfId="0" applyFill="1" applyBorder="1" applyAlignment="1">
      <alignment horizontal="center"/>
    </xf>
    <xf numFmtId="0" fontId="5" fillId="0" borderId="0" xfId="2"/>
    <xf numFmtId="0" fontId="5" fillId="11" borderId="29" xfId="2" applyFill="1" applyBorder="1" applyProtection="1"/>
    <xf numFmtId="0" fontId="5" fillId="11" borderId="30" xfId="2" applyFill="1" applyBorder="1" applyProtection="1"/>
    <xf numFmtId="0" fontId="5" fillId="11" borderId="31" xfId="2" applyFill="1" applyBorder="1" applyProtection="1"/>
    <xf numFmtId="0" fontId="5" fillId="11" borderId="32" xfId="2" applyFill="1" applyBorder="1" applyProtection="1"/>
    <xf numFmtId="0" fontId="5" fillId="11" borderId="0" xfId="2" applyFill="1" applyBorder="1" applyProtection="1"/>
    <xf numFmtId="0" fontId="5" fillId="11" borderId="33" xfId="2" applyFill="1" applyBorder="1" applyProtection="1"/>
    <xf numFmtId="0" fontId="36" fillId="11" borderId="0" xfId="2" applyFont="1" applyFill="1" applyBorder="1" applyProtection="1"/>
    <xf numFmtId="0" fontId="37" fillId="11" borderId="0" xfId="2" applyFont="1" applyFill="1" applyBorder="1" applyProtection="1"/>
    <xf numFmtId="0" fontId="38" fillId="11" borderId="0" xfId="2" applyFont="1" applyFill="1" applyBorder="1" applyProtection="1"/>
    <xf numFmtId="0" fontId="39" fillId="11" borderId="0" xfId="2" applyFont="1" applyFill="1" applyProtection="1"/>
    <xf numFmtId="0" fontId="5" fillId="11" borderId="0" xfId="2" applyFill="1" applyProtection="1"/>
    <xf numFmtId="0" fontId="40" fillId="11" borderId="0" xfId="2" applyFont="1" applyFill="1" applyAlignment="1" applyProtection="1"/>
    <xf numFmtId="0" fontId="40" fillId="11" borderId="0" xfId="2" applyFont="1" applyFill="1" applyAlignment="1" applyProtection="1">
      <alignment wrapText="1"/>
    </xf>
    <xf numFmtId="0" fontId="41" fillId="11" borderId="0" xfId="2" applyFont="1" applyFill="1" applyAlignment="1" applyProtection="1">
      <alignment vertical="center"/>
    </xf>
    <xf numFmtId="0" fontId="41" fillId="11" borderId="0" xfId="2" applyFont="1" applyFill="1" applyProtection="1"/>
    <xf numFmtId="0" fontId="5" fillId="11" borderId="34" xfId="2" applyFill="1" applyBorder="1" applyProtection="1"/>
    <xf numFmtId="0" fontId="5" fillId="11" borderId="35" xfId="2" applyFill="1" applyBorder="1" applyProtection="1"/>
    <xf numFmtId="0" fontId="5" fillId="11" borderId="36" xfId="2" applyFill="1" applyBorder="1" applyProtection="1"/>
    <xf numFmtId="0" fontId="5" fillId="11" borderId="0" xfId="2" applyFont="1" applyFill="1" applyBorder="1" applyProtection="1"/>
    <xf numFmtId="2" fontId="5" fillId="0" borderId="0" xfId="2" applyNumberFormat="1" applyAlignment="1">
      <alignment horizontal="center"/>
    </xf>
    <xf numFmtId="0" fontId="5" fillId="0" borderId="0" xfId="2"/>
    <xf numFmtId="0" fontId="5" fillId="0" borderId="0" xfId="2" applyAlignment="1">
      <alignment horizontal="center"/>
    </xf>
    <xf numFmtId="2" fontId="5" fillId="0" borderId="0" xfId="2" applyNumberFormat="1"/>
    <xf numFmtId="0" fontId="5" fillId="0" borderId="0" xfId="2" applyFont="1"/>
    <xf numFmtId="0" fontId="5" fillId="0" borderId="0" xfId="2" applyFont="1" applyAlignment="1">
      <alignment horizontal="center"/>
    </xf>
    <xf numFmtId="0" fontId="5" fillId="0" borderId="0" xfId="2" applyBorder="1" applyAlignment="1">
      <alignment horizontal="center"/>
    </xf>
    <xf numFmtId="2" fontId="5" fillId="0" borderId="0" xfId="2" applyNumberFormat="1" applyBorder="1" applyAlignment="1">
      <alignment horizontal="center"/>
    </xf>
    <xf numFmtId="0" fontId="32" fillId="0" borderId="0" xfId="2" applyFont="1"/>
    <xf numFmtId="0" fontId="5" fillId="0" borderId="0" xfId="2" applyFont="1" applyBorder="1" applyAlignment="1">
      <alignment horizontal="center"/>
    </xf>
    <xf numFmtId="0" fontId="32" fillId="0" borderId="0" xfId="2" applyFont="1" applyAlignment="1">
      <alignment horizontal="center"/>
    </xf>
    <xf numFmtId="0" fontId="32" fillId="10" borderId="0" xfId="2" applyFont="1" applyFill="1"/>
    <xf numFmtId="2" fontId="32" fillId="0" borderId="0" xfId="2" applyNumberFormat="1" applyFont="1" applyBorder="1" applyAlignment="1">
      <alignment horizontal="center"/>
    </xf>
    <xf numFmtId="0" fontId="5" fillId="0" borderId="0" xfId="2"/>
    <xf numFmtId="0" fontId="5" fillId="0" borderId="0" xfId="2" applyAlignment="1">
      <alignment horizontal="center"/>
    </xf>
    <xf numFmtId="0" fontId="5" fillId="0" borderId="0" xfId="2" applyBorder="1"/>
    <xf numFmtId="2" fontId="5" fillId="0" borderId="0" xfId="2" applyNumberFormat="1" applyAlignment="1">
      <alignment horizontal="center"/>
    </xf>
    <xf numFmtId="0" fontId="5" fillId="0" borderId="0" xfId="2" applyFont="1"/>
    <xf numFmtId="0" fontId="5" fillId="0" borderId="0" xfId="2" applyFont="1" applyAlignment="1">
      <alignment horizontal="right"/>
    </xf>
    <xf numFmtId="0" fontId="5" fillId="0" borderId="0" xfId="2" applyFont="1" applyAlignment="1">
      <alignment horizontal="center"/>
    </xf>
    <xf numFmtId="0" fontId="5" fillId="0" borderId="1" xfId="2" applyBorder="1"/>
    <xf numFmtId="0" fontId="5" fillId="0" borderId="0" xfId="2" applyFill="1" applyBorder="1" applyAlignment="1">
      <alignment horizontal="center"/>
    </xf>
    <xf numFmtId="0" fontId="5" fillId="0" borderId="1" xfId="2" applyFont="1" applyBorder="1"/>
    <xf numFmtId="0" fontId="5" fillId="0" borderId="0" xfId="2" applyBorder="1" applyAlignment="1">
      <alignment horizontal="center"/>
    </xf>
    <xf numFmtId="2" fontId="5" fillId="0" borderId="0" xfId="2" applyNumberFormat="1" applyBorder="1" applyAlignment="1">
      <alignment horizontal="center"/>
    </xf>
    <xf numFmtId="2" fontId="5" fillId="0" borderId="1" xfId="2" applyNumberFormat="1" applyBorder="1"/>
    <xf numFmtId="0" fontId="5" fillId="0" borderId="0" xfId="2" applyFont="1" applyBorder="1"/>
    <xf numFmtId="0" fontId="32" fillId="0" borderId="0" xfId="2" applyFont="1"/>
    <xf numFmtId="0" fontId="33" fillId="0" borderId="0" xfId="2" applyFont="1" applyBorder="1" applyAlignment="1">
      <alignment horizontal="center"/>
    </xf>
    <xf numFmtId="2" fontId="5" fillId="0" borderId="0" xfId="2" applyNumberFormat="1" applyBorder="1"/>
    <xf numFmtId="0" fontId="5" fillId="0" borderId="0" xfId="2" applyFont="1" applyBorder="1" applyAlignment="1">
      <alignment horizontal="right"/>
    </xf>
    <xf numFmtId="2" fontId="5" fillId="0" borderId="0" xfId="2" applyNumberFormat="1" applyFont="1" applyBorder="1" applyAlignment="1">
      <alignment horizontal="left"/>
    </xf>
    <xf numFmtId="0" fontId="5" fillId="0" borderId="0" xfId="2" applyFont="1" applyBorder="1" applyAlignment="1">
      <alignment horizontal="center"/>
    </xf>
    <xf numFmtId="0" fontId="32" fillId="0" borderId="0" xfId="2" applyFont="1" applyBorder="1" applyAlignment="1">
      <alignment horizontal="center"/>
    </xf>
    <xf numFmtId="0" fontId="32" fillId="0" borderId="0" xfId="2" applyFont="1" applyBorder="1" applyAlignment="1">
      <alignment horizontal="left"/>
    </xf>
    <xf numFmtId="0" fontId="5" fillId="0" borderId="5" xfId="2" applyBorder="1"/>
    <xf numFmtId="0" fontId="5" fillId="0" borderId="1" xfId="2" applyFont="1" applyFill="1" applyBorder="1"/>
    <xf numFmtId="2" fontId="32" fillId="0" borderId="0" xfId="2" applyNumberFormat="1" applyFont="1" applyBorder="1" applyAlignment="1">
      <alignment horizontal="center"/>
    </xf>
    <xf numFmtId="0" fontId="5" fillId="0" borderId="0" xfId="2" applyBorder="1" applyAlignment="1"/>
    <xf numFmtId="0" fontId="5" fillId="0" borderId="1" xfId="0" applyFont="1" applyBorder="1" applyAlignment="1">
      <alignment horizontal="right"/>
    </xf>
    <xf numFmtId="11" fontId="0" fillId="0" borderId="0" xfId="0" applyNumberFormat="1" applyFill="1" applyBorder="1" applyAlignment="1" applyProtection="1">
      <alignment horizontal="center" vertical="center"/>
      <protection locked="0"/>
    </xf>
    <xf numFmtId="0" fontId="0" fillId="9" borderId="5" xfId="0" applyFill="1" applyBorder="1" applyAlignment="1" applyProtection="1">
      <alignment horizontal="center" vertical="center"/>
      <protection locked="0"/>
    </xf>
    <xf numFmtId="0" fontId="42" fillId="2" borderId="19" xfId="2" applyFont="1" applyFill="1" applyBorder="1" applyAlignment="1">
      <alignment vertical="top" wrapText="1"/>
    </xf>
    <xf numFmtId="0" fontId="18" fillId="2" borderId="19" xfId="1" applyFill="1" applyBorder="1" applyAlignment="1" applyProtection="1"/>
    <xf numFmtId="0" fontId="18" fillId="3" borderId="19" xfId="1" applyFill="1" applyBorder="1" applyAlignment="1" applyProtection="1">
      <alignment horizontal="left"/>
    </xf>
    <xf numFmtId="0" fontId="31" fillId="0" borderId="0" xfId="0" applyFont="1" applyAlignment="1">
      <alignment horizontal="center"/>
    </xf>
    <xf numFmtId="0" fontId="27" fillId="7" borderId="19" xfId="0" applyFont="1" applyFill="1" applyBorder="1"/>
    <xf numFmtId="0" fontId="0" fillId="7" borderId="0" xfId="0" applyFill="1" applyBorder="1"/>
    <xf numFmtId="2" fontId="0" fillId="0" borderId="0" xfId="0" applyNumberFormat="1" applyBorder="1" applyAlignment="1">
      <alignment horizontal="center"/>
    </xf>
    <xf numFmtId="0" fontId="0" fillId="0" borderId="1" xfId="0" applyBorder="1" applyAlignment="1">
      <alignment horizontal="right"/>
    </xf>
    <xf numFmtId="0" fontId="1" fillId="0" borderId="0" xfId="16"/>
    <xf numFmtId="9" fontId="1" fillId="0" borderId="0" xfId="16" applyNumberFormat="1" applyAlignment="1">
      <alignment horizontal="center"/>
    </xf>
    <xf numFmtId="0" fontId="1" fillId="0" borderId="0" xfId="16" applyAlignment="1">
      <alignment horizontal="center"/>
    </xf>
    <xf numFmtId="0" fontId="50" fillId="0" borderId="0" xfId="16" applyFont="1" applyAlignment="1">
      <alignment horizontal="center"/>
    </xf>
    <xf numFmtId="0" fontId="1" fillId="16" borderId="1" xfId="16" applyFill="1" applyBorder="1" applyAlignment="1">
      <alignment horizontal="center" vertical="center"/>
    </xf>
    <xf numFmtId="2" fontId="1" fillId="0" borderId="0" xfId="16" applyNumberFormat="1"/>
    <xf numFmtId="1" fontId="1" fillId="12" borderId="1" xfId="16" applyNumberFormat="1" applyFill="1" applyBorder="1" applyAlignment="1">
      <alignment horizontal="center"/>
    </xf>
    <xf numFmtId="1" fontId="1" fillId="13" borderId="1" xfId="16" applyNumberFormat="1" applyFill="1" applyBorder="1" applyAlignment="1">
      <alignment horizontal="center"/>
    </xf>
    <xf numFmtId="1" fontId="1" fillId="8" borderId="1" xfId="16" applyNumberFormat="1" applyFill="1" applyBorder="1" applyAlignment="1">
      <alignment horizontal="center"/>
    </xf>
    <xf numFmtId="1" fontId="1" fillId="17" borderId="1" xfId="16" applyNumberFormat="1" applyFill="1" applyBorder="1" applyAlignment="1">
      <alignment horizontal="center"/>
    </xf>
    <xf numFmtId="1" fontId="1" fillId="15" borderId="1" xfId="16" applyNumberFormat="1" applyFill="1" applyBorder="1" applyAlignment="1">
      <alignment horizontal="center"/>
    </xf>
    <xf numFmtId="1" fontId="1" fillId="16" borderId="1" xfId="16" applyNumberFormat="1" applyFill="1" applyBorder="1" applyAlignment="1">
      <alignment horizontal="center" vertical="center"/>
    </xf>
    <xf numFmtId="0" fontId="50" fillId="0" borderId="0" xfId="16" applyFont="1"/>
    <xf numFmtId="0" fontId="54" fillId="0" borderId="0" xfId="17" applyFont="1" applyAlignment="1"/>
    <xf numFmtId="0" fontId="55" fillId="18" borderId="37" xfId="16" applyFont="1" applyFill="1" applyBorder="1" applyAlignment="1">
      <alignment horizontal="center" vertical="center" wrapText="1"/>
    </xf>
    <xf numFmtId="165" fontId="56" fillId="0" borderId="37" xfId="16" applyNumberFormat="1" applyFont="1" applyBorder="1" applyAlignment="1">
      <alignment vertical="center" wrapText="1"/>
    </xf>
    <xf numFmtId="165" fontId="1" fillId="0" borderId="0" xfId="16" applyNumberFormat="1"/>
    <xf numFmtId="0" fontId="5" fillId="3" borderId="4" xfId="0" applyFont="1" applyFill="1" applyBorder="1" applyAlignment="1">
      <alignment horizontal="right" vertical="center"/>
    </xf>
    <xf numFmtId="0" fontId="0" fillId="3" borderId="4" xfId="0" applyFill="1" applyBorder="1" applyAlignment="1">
      <alignment horizontal="center"/>
    </xf>
    <xf numFmtId="0" fontId="0" fillId="3" borderId="4" xfId="0" applyFill="1" applyBorder="1"/>
    <xf numFmtId="0" fontId="0" fillId="3" borderId="20" xfId="0" applyFill="1" applyBorder="1"/>
    <xf numFmtId="0" fontId="0" fillId="3" borderId="26" xfId="0" applyFill="1" applyBorder="1"/>
    <xf numFmtId="0" fontId="0" fillId="3" borderId="0" xfId="0" applyFill="1" applyAlignment="1">
      <alignment horizontal="right"/>
    </xf>
    <xf numFmtId="0" fontId="5" fillId="3" borderId="7" xfId="0" applyFont="1" applyFill="1" applyBorder="1" applyAlignment="1">
      <alignment horizontal="right" vertical="center"/>
    </xf>
    <xf numFmtId="0" fontId="0" fillId="3" borderId="4" xfId="0" applyFill="1" applyBorder="1" applyAlignment="1">
      <alignment horizontal="right" vertical="center"/>
    </xf>
    <xf numFmtId="0" fontId="5" fillId="6" borderId="8" xfId="0" applyFont="1" applyFill="1" applyBorder="1" applyAlignment="1" applyProtection="1">
      <alignment horizontal="center" vertical="center"/>
      <protection locked="0"/>
    </xf>
    <xf numFmtId="0" fontId="5" fillId="6" borderId="1" xfId="2" applyFill="1" applyBorder="1" applyAlignment="1" applyProtection="1">
      <alignment horizontal="center" vertical="center"/>
      <protection locked="0"/>
    </xf>
    <xf numFmtId="0" fontId="0" fillId="0" borderId="0" xfId="0" applyProtection="1">
      <protection hidden="1"/>
    </xf>
    <xf numFmtId="0" fontId="5" fillId="0" borderId="0" xfId="0" applyFont="1" applyProtection="1">
      <protection hidden="1"/>
    </xf>
    <xf numFmtId="0" fontId="6" fillId="0" borderId="0" xfId="0" applyFont="1" applyProtection="1">
      <protection hidden="1"/>
    </xf>
    <xf numFmtId="2" fontId="0" fillId="0" borderId="1" xfId="0" applyNumberFormat="1" applyFill="1" applyBorder="1" applyAlignment="1" applyProtection="1">
      <alignment horizontal="center" vertical="center"/>
      <protection hidden="1"/>
    </xf>
    <xf numFmtId="165" fontId="0" fillId="0" borderId="1"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2" borderId="6" xfId="0" applyNumberFormat="1" applyFill="1" applyBorder="1" applyAlignment="1" applyProtection="1">
      <alignment horizontal="center" vertical="center"/>
      <protection hidden="1"/>
    </xf>
    <xf numFmtId="167" fontId="0" fillId="0" borderId="1" xfId="0" applyNumberFormat="1" applyFill="1" applyBorder="1" applyAlignment="1" applyProtection="1">
      <alignment horizontal="center" vertical="center"/>
      <protection hidden="1"/>
    </xf>
    <xf numFmtId="0" fontId="43" fillId="2" borderId="19" xfId="0" applyFont="1" applyFill="1" applyBorder="1" applyAlignment="1">
      <alignment vertical="top" wrapText="1"/>
    </xf>
    <xf numFmtId="0" fontId="43" fillId="2" borderId="0" xfId="0" applyFont="1" applyFill="1" applyBorder="1" applyAlignment="1">
      <alignment vertical="top" wrapText="1"/>
    </xf>
    <xf numFmtId="0" fontId="18" fillId="3" borderId="19" xfId="1" applyFill="1" applyBorder="1" applyAlignment="1" applyProtection="1"/>
    <xf numFmtId="0" fontId="0" fillId="5" borderId="0" xfId="0" applyFill="1"/>
    <xf numFmtId="0" fontId="0" fillId="5" borderId="19" xfId="0" applyFill="1" applyBorder="1"/>
    <xf numFmtId="0" fontId="0" fillId="5" borderId="5" xfId="0" applyFill="1" applyBorder="1" applyAlignment="1" applyProtection="1">
      <alignment horizontal="center" vertical="center"/>
      <protection locked="0"/>
    </xf>
    <xf numFmtId="0" fontId="5" fillId="5" borderId="7" xfId="0" applyFont="1" applyFill="1" applyBorder="1" applyAlignment="1">
      <alignment horizontal="center" vertical="center"/>
    </xf>
    <xf numFmtId="0" fontId="0" fillId="5" borderId="23" xfId="0" applyFill="1" applyBorder="1"/>
    <xf numFmtId="0" fontId="27" fillId="5" borderId="0" xfId="0" applyFont="1" applyFill="1" applyBorder="1"/>
    <xf numFmtId="0" fontId="34" fillId="5" borderId="0" xfId="0" applyFont="1" applyFill="1" applyBorder="1" applyAlignment="1">
      <alignment horizontal="right" vertical="center"/>
    </xf>
    <xf numFmtId="0" fontId="34" fillId="5" borderId="1" xfId="0" applyFont="1" applyFill="1" applyBorder="1" applyAlignment="1" applyProtection="1">
      <alignment horizontal="center" vertical="center"/>
      <protection locked="0"/>
    </xf>
    <xf numFmtId="0" fontId="5" fillId="5" borderId="0" xfId="0" applyFont="1" applyFill="1" applyProtection="1">
      <protection hidden="1"/>
    </xf>
    <xf numFmtId="0" fontId="0" fillId="5" borderId="0" xfId="0" applyFill="1" applyProtection="1">
      <protection hidden="1"/>
    </xf>
    <xf numFmtId="0" fontId="27" fillId="5" borderId="19" xfId="0" applyFont="1" applyFill="1" applyBorder="1"/>
    <xf numFmtId="0" fontId="0" fillId="5" borderId="1" xfId="0" applyFill="1" applyBorder="1" applyAlignment="1" applyProtection="1">
      <alignment horizontal="center" vertical="center"/>
      <protection locked="0"/>
    </xf>
    <xf numFmtId="0" fontId="5" fillId="5" borderId="0" xfId="0" applyFont="1" applyFill="1" applyBorder="1"/>
    <xf numFmtId="0" fontId="14" fillId="5" borderId="7" xfId="0" applyFont="1" applyFill="1" applyBorder="1" applyAlignment="1">
      <alignment horizontal="center" vertical="center"/>
    </xf>
    <xf numFmtId="0" fontId="0" fillId="5" borderId="0" xfId="0" applyFont="1" applyFill="1" applyAlignment="1" applyProtection="1">
      <alignment vertical="center"/>
      <protection hidden="1"/>
    </xf>
    <xf numFmtId="2" fontId="0" fillId="5" borderId="0" xfId="0" applyNumberFormat="1" applyFont="1" applyFill="1" applyAlignment="1" applyProtection="1">
      <alignment vertical="center"/>
      <protection hidden="1"/>
    </xf>
    <xf numFmtId="2"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hidden="1"/>
    </xf>
    <xf numFmtId="165"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protection hidden="1"/>
    </xf>
    <xf numFmtId="0" fontId="18" fillId="5" borderId="19" xfId="1" applyFill="1" applyBorder="1" applyAlignment="1" applyProtection="1">
      <alignment horizontal="left" vertical="top" wrapText="1"/>
    </xf>
    <xf numFmtId="0" fontId="5" fillId="5" borderId="20" xfId="0" applyFont="1" applyFill="1" applyBorder="1" applyAlignment="1">
      <alignment horizontal="right" vertical="center"/>
    </xf>
    <xf numFmtId="2" fontId="5" fillId="5" borderId="38" xfId="0" applyNumberFormat="1" applyFont="1" applyFill="1" applyBorder="1" applyAlignment="1" applyProtection="1">
      <alignment horizontal="center" vertical="center"/>
    </xf>
    <xf numFmtId="0" fontId="5" fillId="5" borderId="26" xfId="0" applyFont="1" applyFill="1" applyBorder="1" applyAlignment="1">
      <alignment horizontal="center" vertical="center"/>
    </xf>
    <xf numFmtId="0" fontId="0" fillId="5" borderId="3" xfId="0" applyFill="1" applyBorder="1"/>
    <xf numFmtId="0" fontId="27" fillId="5" borderId="17" xfId="0" applyFont="1" applyFill="1" applyBorder="1"/>
    <xf numFmtId="0" fontId="0" fillId="5" borderId="18" xfId="0" applyFill="1" applyBorder="1"/>
    <xf numFmtId="0" fontId="25" fillId="5" borderId="18" xfId="0" applyFont="1" applyFill="1" applyBorder="1" applyAlignment="1">
      <alignment horizontal="right" vertical="center"/>
    </xf>
    <xf numFmtId="0" fontId="0" fillId="5" borderId="10" xfId="0" applyFill="1" applyBorder="1" applyAlignment="1" applyProtection="1">
      <alignment horizontal="center" vertical="center"/>
      <protection hidden="1"/>
    </xf>
    <xf numFmtId="0" fontId="10" fillId="5" borderId="18" xfId="0" applyFont="1" applyFill="1" applyBorder="1" applyAlignment="1">
      <alignment horizontal="center" vertical="center"/>
    </xf>
    <xf numFmtId="0" fontId="0" fillId="5" borderId="22" xfId="0" applyFill="1" applyBorder="1"/>
    <xf numFmtId="0" fontId="24" fillId="5" borderId="19" xfId="0" applyFont="1" applyFill="1" applyBorder="1"/>
    <xf numFmtId="0" fontId="25" fillId="5" borderId="0" xfId="0" applyFont="1" applyFill="1" applyBorder="1" applyAlignment="1">
      <alignment horizontal="right" vertical="center"/>
    </xf>
    <xf numFmtId="0" fontId="0" fillId="5" borderId="1" xfId="0" applyFill="1" applyBorder="1" applyAlignment="1" applyProtection="1">
      <alignment horizontal="center" vertical="center"/>
      <protection hidden="1"/>
    </xf>
    <xf numFmtId="0" fontId="14" fillId="5" borderId="0" xfId="0" applyFont="1" applyFill="1" applyBorder="1" applyAlignment="1">
      <alignment horizontal="center" vertical="center"/>
    </xf>
    <xf numFmtId="0" fontId="0" fillId="5" borderId="8" xfId="0" applyFill="1" applyBorder="1" applyAlignment="1" applyProtection="1">
      <alignment horizontal="center" vertical="center"/>
      <protection hidden="1"/>
    </xf>
    <xf numFmtId="0" fontId="5" fillId="5" borderId="0" xfId="0" applyFont="1" applyFill="1" applyBorder="1" applyAlignment="1">
      <alignment horizontal="center" vertical="center"/>
    </xf>
    <xf numFmtId="0" fontId="0" fillId="5" borderId="0" xfId="0" applyFill="1" applyBorder="1" applyAlignment="1">
      <alignment horizontal="right" vertical="center"/>
    </xf>
    <xf numFmtId="0" fontId="6" fillId="5" borderId="0" xfId="0" applyFont="1" applyFill="1" applyBorder="1" applyAlignment="1">
      <alignment horizontal="center"/>
    </xf>
    <xf numFmtId="0" fontId="6" fillId="5" borderId="0" xfId="0" applyFont="1" applyFill="1" applyBorder="1"/>
    <xf numFmtId="0" fontId="0" fillId="5" borderId="1" xfId="0" applyNumberFormat="1" applyFill="1" applyBorder="1" applyAlignment="1" applyProtection="1">
      <alignment horizontal="center" vertical="center"/>
      <protection hidden="1"/>
    </xf>
    <xf numFmtId="0" fontId="10" fillId="5" borderId="0" xfId="0" applyFont="1" applyFill="1" applyBorder="1" applyAlignment="1">
      <alignment horizontal="center" vertical="center"/>
    </xf>
    <xf numFmtId="165" fontId="0" fillId="5" borderId="0" xfId="0" applyNumberFormat="1" applyFill="1" applyBorder="1" applyAlignment="1">
      <alignment horizontal="center"/>
    </xf>
    <xf numFmtId="1" fontId="0" fillId="5" borderId="0" xfId="0" applyNumberFormat="1" applyFill="1" applyBorder="1" applyAlignment="1">
      <alignment horizontal="center"/>
    </xf>
    <xf numFmtId="0" fontId="0" fillId="5" borderId="5" xfId="0" applyNumberFormat="1" applyFill="1" applyBorder="1" applyAlignment="1" applyProtection="1">
      <alignment horizontal="center" vertical="center"/>
      <protection hidden="1"/>
    </xf>
    <xf numFmtId="2" fontId="0" fillId="5" borderId="0" xfId="0" applyNumberFormat="1" applyFill="1" applyBorder="1" applyAlignment="1">
      <alignment horizontal="center"/>
    </xf>
    <xf numFmtId="165" fontId="0" fillId="5" borderId="5" xfId="0" applyNumberFormat="1" applyFill="1" applyBorder="1" applyAlignment="1" applyProtection="1">
      <alignment horizontal="center" vertical="center"/>
      <protection hidden="1"/>
    </xf>
    <xf numFmtId="165" fontId="5" fillId="5" borderId="5" xfId="0" applyNumberFormat="1" applyFont="1" applyFill="1" applyBorder="1" applyAlignment="1" applyProtection="1">
      <alignment horizontal="center" vertical="center"/>
      <protection hidden="1"/>
    </xf>
    <xf numFmtId="164" fontId="0" fillId="5" borderId="0" xfId="0" applyNumberFormat="1" applyFill="1" applyBorder="1" applyAlignment="1">
      <alignment horizontal="center"/>
    </xf>
    <xf numFmtId="2" fontId="0" fillId="5" borderId="5" xfId="0" applyNumberFormat="1" applyFill="1" applyBorder="1" applyAlignment="1" applyProtection="1">
      <alignment horizontal="center" vertical="center"/>
      <protection hidden="1"/>
    </xf>
    <xf numFmtId="1" fontId="0" fillId="5" borderId="5" xfId="0" applyNumberFormat="1" applyFill="1" applyBorder="1" applyAlignment="1" applyProtection="1">
      <alignment horizontal="center" vertical="center"/>
      <protection hidden="1"/>
    </xf>
    <xf numFmtId="0" fontId="5" fillId="5" borderId="0" xfId="2" applyFont="1" applyFill="1" applyBorder="1" applyAlignment="1">
      <alignment horizontal="right" vertical="center"/>
    </xf>
    <xf numFmtId="1" fontId="5" fillId="5" borderId="1" xfId="2" applyNumberFormat="1" applyFont="1" applyFill="1" applyBorder="1" applyAlignment="1" applyProtection="1">
      <alignment horizontal="center" vertical="center"/>
      <protection hidden="1"/>
    </xf>
    <xf numFmtId="0" fontId="0" fillId="5" borderId="0" xfId="0" applyFill="1" applyBorder="1" applyAlignment="1">
      <alignment horizontal="center"/>
    </xf>
    <xf numFmtId="1" fontId="5" fillId="5" borderId="0" xfId="0" applyNumberFormat="1" applyFont="1" applyFill="1" applyBorder="1" applyAlignment="1">
      <alignment horizontal="center" vertical="center"/>
    </xf>
    <xf numFmtId="0" fontId="0" fillId="5" borderId="0" xfId="0" applyFill="1" applyAlignment="1">
      <alignment horizontal="center"/>
    </xf>
    <xf numFmtId="0" fontId="5" fillId="5" borderId="19" xfId="0" applyFont="1" applyFill="1" applyBorder="1" applyAlignment="1">
      <alignment horizontal="right"/>
    </xf>
    <xf numFmtId="0" fontId="5" fillId="5" borderId="0" xfId="0" applyFont="1" applyFill="1" applyBorder="1" applyAlignment="1">
      <alignment horizontal="left"/>
    </xf>
    <xf numFmtId="0" fontId="0" fillId="5" borderId="0" xfId="0" applyFill="1" applyBorder="1" applyAlignment="1">
      <alignment horizontal="right"/>
    </xf>
    <xf numFmtId="0" fontId="0" fillId="5" borderId="21" xfId="0" applyFill="1" applyBorder="1"/>
    <xf numFmtId="0" fontId="0" fillId="5" borderId="20" xfId="0" applyFill="1" applyBorder="1"/>
    <xf numFmtId="0" fontId="0" fillId="5" borderId="20" xfId="0" applyFill="1" applyBorder="1" applyAlignment="1">
      <alignment horizontal="center"/>
    </xf>
    <xf numFmtId="0" fontId="0" fillId="5" borderId="24" xfId="0" applyFill="1" applyBorder="1"/>
    <xf numFmtId="0" fontId="0" fillId="6" borderId="8" xfId="0" applyFill="1" applyBorder="1" applyAlignment="1" applyProtection="1">
      <alignment horizontal="center" vertical="center"/>
      <protection locked="0"/>
    </xf>
    <xf numFmtId="0" fontId="0" fillId="2" borderId="39" xfId="0" applyFill="1" applyBorder="1"/>
    <xf numFmtId="0" fontId="0" fillId="2" borderId="40" xfId="0" applyFill="1" applyBorder="1"/>
    <xf numFmtId="0" fontId="0" fillId="3" borderId="40" xfId="0" applyFill="1" applyBorder="1"/>
    <xf numFmtId="0" fontId="6" fillId="2" borderId="9"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0" fillId="2" borderId="16" xfId="0" applyFill="1" applyBorder="1"/>
    <xf numFmtId="0" fontId="0" fillId="2" borderId="12" xfId="0" applyFill="1" applyBorder="1" applyAlignment="1">
      <alignment horizontal="center" vertical="center"/>
    </xf>
    <xf numFmtId="0" fontId="0" fillId="5" borderId="12" xfId="0" applyFill="1" applyBorder="1" applyAlignment="1">
      <alignment horizontal="center" vertical="center"/>
    </xf>
    <xf numFmtId="0" fontId="0" fillId="2" borderId="14" xfId="0" applyFill="1" applyBorder="1" applyAlignment="1">
      <alignment horizontal="center" vertical="center"/>
    </xf>
    <xf numFmtId="0" fontId="0" fillId="3" borderId="15" xfId="0" applyFill="1" applyBorder="1" applyAlignment="1" applyProtection="1">
      <alignment horizontal="center" vertical="center"/>
    </xf>
    <xf numFmtId="2" fontId="0" fillId="3" borderId="1" xfId="0" applyNumberFormat="1" applyFill="1" applyBorder="1" applyAlignment="1" applyProtection="1">
      <alignment horizontal="center"/>
    </xf>
    <xf numFmtId="0" fontId="5" fillId="3" borderId="4" xfId="0" applyFont="1" applyFill="1" applyBorder="1" applyAlignment="1" applyProtection="1">
      <alignment horizontal="center"/>
    </xf>
    <xf numFmtId="0" fontId="0" fillId="19" borderId="12" xfId="0" applyFill="1" applyBorder="1" applyAlignment="1">
      <alignment horizontal="center" vertical="center"/>
    </xf>
    <xf numFmtId="0" fontId="5" fillId="19" borderId="13" xfId="0" applyFont="1" applyFill="1" applyBorder="1" applyAlignment="1">
      <alignment horizontal="center" vertical="center"/>
    </xf>
    <xf numFmtId="0" fontId="0" fillId="2" borderId="2" xfId="0" applyFill="1" applyBorder="1" applyAlignment="1">
      <alignment horizontal="center"/>
    </xf>
    <xf numFmtId="0" fontId="0" fillId="2" borderId="6" xfId="0" applyFill="1" applyBorder="1" applyAlignment="1">
      <alignment horizontal="center"/>
    </xf>
    <xf numFmtId="0" fontId="7" fillId="20" borderId="12" xfId="0" applyFont="1" applyFill="1" applyBorder="1" applyAlignment="1">
      <alignment horizontal="center" vertical="center"/>
    </xf>
    <xf numFmtId="0" fontId="5" fillId="20" borderId="13" xfId="0" applyFont="1" applyFill="1" applyBorder="1" applyAlignment="1">
      <alignment horizontal="center" vertical="center"/>
    </xf>
    <xf numFmtId="0" fontId="7" fillId="13" borderId="12" xfId="0" applyFont="1" applyFill="1" applyBorder="1" applyAlignment="1">
      <alignment horizontal="center" vertical="center"/>
    </xf>
    <xf numFmtId="0" fontId="5" fillId="13" borderId="13" xfId="0" applyFont="1" applyFill="1" applyBorder="1" applyAlignment="1">
      <alignment horizontal="center" vertical="center"/>
    </xf>
    <xf numFmtId="0" fontId="0" fillId="13" borderId="0" xfId="0" applyFill="1" applyBorder="1"/>
    <xf numFmtId="0" fontId="0" fillId="13" borderId="23" xfId="0" applyFill="1" applyBorder="1"/>
    <xf numFmtId="0" fontId="57" fillId="13" borderId="0" xfId="0" applyFont="1" applyFill="1" applyBorder="1"/>
    <xf numFmtId="0" fontId="0" fillId="2" borderId="4" xfId="0" applyFill="1" applyBorder="1" applyAlignment="1">
      <alignment horizontal="center" vertical="center"/>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4" xfId="0" applyFont="1" applyBorder="1" applyAlignment="1">
      <alignment horizontal="center" vertical="center" wrapText="1"/>
    </xf>
    <xf numFmtId="0" fontId="0" fillId="2" borderId="2" xfId="0" applyFill="1" applyBorder="1" applyAlignment="1">
      <alignment horizontal="center"/>
    </xf>
    <xf numFmtId="0" fontId="0" fillId="2" borderId="6" xfId="0" applyFill="1" applyBorder="1" applyAlignment="1">
      <alignment horizontal="center"/>
    </xf>
    <xf numFmtId="0" fontId="0" fillId="0" borderId="2" xfId="0" applyBorder="1" applyAlignment="1">
      <alignment horizontal="right"/>
    </xf>
    <xf numFmtId="0" fontId="0" fillId="0" borderId="6" xfId="0" applyBorder="1" applyAlignment="1">
      <alignment horizontal="right"/>
    </xf>
    <xf numFmtId="0" fontId="21" fillId="4" borderId="17" xfId="0" applyFont="1" applyFill="1" applyBorder="1" applyAlignment="1" applyProtection="1">
      <alignment horizontal="left" vertical="center"/>
    </xf>
    <xf numFmtId="0" fontId="21" fillId="4" borderId="18" xfId="0" applyFont="1" applyFill="1" applyBorder="1" applyAlignment="1" applyProtection="1">
      <alignment horizontal="left" vertical="center"/>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42" fillId="2" borderId="20" xfId="2" applyFont="1" applyFill="1" applyBorder="1" applyAlignment="1">
      <alignment horizontal="left" vertical="top" wrapText="1"/>
    </xf>
    <xf numFmtId="0" fontId="46" fillId="2" borderId="20" xfId="2" applyFont="1" applyFill="1" applyBorder="1" applyAlignment="1">
      <alignment horizontal="left" vertical="top" wrapText="1"/>
    </xf>
    <xf numFmtId="0" fontId="0" fillId="19" borderId="2" xfId="0" applyFill="1" applyBorder="1" applyAlignment="1">
      <alignment horizontal="center"/>
    </xf>
    <xf numFmtId="0" fontId="0" fillId="19" borderId="6" xfId="0" applyFill="1" applyBorder="1" applyAlignment="1">
      <alignment horizontal="center"/>
    </xf>
    <xf numFmtId="0" fontId="0" fillId="20" borderId="2" xfId="0" applyFill="1" applyBorder="1" applyAlignment="1">
      <alignment horizontal="center"/>
    </xf>
    <xf numFmtId="0" fontId="0" fillId="20" borderId="6" xfId="0" applyFill="1" applyBorder="1" applyAlignment="1">
      <alignment horizontal="center"/>
    </xf>
    <xf numFmtId="0" fontId="0" fillId="13" borderId="2" xfId="0" applyFill="1" applyBorder="1" applyAlignment="1">
      <alignment horizontal="center"/>
    </xf>
    <xf numFmtId="0" fontId="0" fillId="13" borderId="6" xfId="0" applyFill="1" applyBorder="1" applyAlignment="1">
      <alignment horizontal="center"/>
    </xf>
    <xf numFmtId="0" fontId="57" fillId="20" borderId="19" xfId="0" applyFont="1" applyFill="1" applyBorder="1" applyAlignment="1">
      <alignment horizontal="left"/>
    </xf>
    <xf numFmtId="0" fontId="5" fillId="20" borderId="0" xfId="0" applyFont="1" applyFill="1" applyBorder="1" applyAlignment="1">
      <alignment horizontal="left"/>
    </xf>
    <xf numFmtId="0" fontId="5" fillId="20" borderId="23" xfId="0" applyFont="1" applyFill="1" applyBorder="1" applyAlignment="1">
      <alignment horizontal="left"/>
    </xf>
    <xf numFmtId="0" fontId="42" fillId="2" borderId="19" xfId="2" applyFont="1" applyFill="1" applyBorder="1" applyAlignment="1" applyProtection="1">
      <alignment horizontal="left" vertical="top" wrapText="1"/>
      <protection hidden="1"/>
    </xf>
    <xf numFmtId="0" fontId="42" fillId="2" borderId="19" xfId="2" applyFont="1" applyFill="1" applyBorder="1" applyAlignment="1">
      <alignment horizontal="left" vertical="top" wrapText="1"/>
    </xf>
    <xf numFmtId="0" fontId="17" fillId="3" borderId="0" xfId="0" applyFont="1" applyFill="1" applyBorder="1" applyAlignment="1" applyProtection="1">
      <alignment horizontal="center" vertical="center"/>
    </xf>
    <xf numFmtId="0" fontId="18" fillId="3" borderId="19" xfId="1" applyFill="1" applyBorder="1" applyAlignment="1" applyProtection="1">
      <alignment horizontal="left" vertical="center" wrapText="1"/>
    </xf>
    <xf numFmtId="0" fontId="18" fillId="5" borderId="19" xfId="1" applyFill="1" applyBorder="1" applyAlignment="1" applyProtection="1">
      <alignment horizontal="left" wrapText="1"/>
    </xf>
    <xf numFmtId="0" fontId="0" fillId="2" borderId="43" xfId="0" applyFill="1" applyBorder="1" applyAlignment="1">
      <alignment horizontal="center"/>
    </xf>
    <xf numFmtId="0" fontId="0" fillId="2" borderId="44"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31" fillId="0" borderId="0" xfId="0" applyFont="1" applyAlignment="1">
      <alignment horizontal="center"/>
    </xf>
    <xf numFmtId="0" fontId="32" fillId="0" borderId="0" xfId="0" applyFont="1" applyAlignment="1">
      <alignment horizontal="center"/>
    </xf>
    <xf numFmtId="0" fontId="6" fillId="0" borderId="0" xfId="0" applyFont="1" applyAlignment="1">
      <alignment horizontal="center"/>
    </xf>
    <xf numFmtId="0" fontId="31" fillId="0" borderId="1" xfId="2" applyFont="1" applyBorder="1" applyAlignment="1">
      <alignment horizontal="center"/>
    </xf>
    <xf numFmtId="0" fontId="5" fillId="0" borderId="5" xfId="2" applyFont="1" applyBorder="1" applyAlignment="1">
      <alignment horizontal="center"/>
    </xf>
    <xf numFmtId="0" fontId="5" fillId="0" borderId="5" xfId="2" applyBorder="1" applyAlignment="1">
      <alignment horizontal="center"/>
    </xf>
    <xf numFmtId="0" fontId="32" fillId="0" borderId="0" xfId="2" applyFont="1" applyBorder="1" applyAlignment="1">
      <alignment horizontal="center"/>
    </xf>
    <xf numFmtId="2" fontId="5" fillId="0" borderId="0" xfId="2" applyNumberFormat="1" applyFont="1" applyBorder="1" applyAlignment="1">
      <alignment horizontal="center"/>
    </xf>
    <xf numFmtId="2" fontId="5" fillId="0" borderId="0" xfId="2" applyNumberFormat="1" applyBorder="1" applyAlignment="1">
      <alignment horizontal="center"/>
    </xf>
    <xf numFmtId="0" fontId="1" fillId="8" borderId="1" xfId="16" applyFill="1" applyBorder="1" applyAlignment="1">
      <alignment horizontal="center" vertical="center"/>
    </xf>
    <xf numFmtId="0" fontId="1" fillId="14" borderId="1" xfId="16" applyFill="1" applyBorder="1" applyAlignment="1">
      <alignment horizontal="center" vertical="center"/>
    </xf>
    <xf numFmtId="0" fontId="1" fillId="15" borderId="1" xfId="16" applyFill="1" applyBorder="1" applyAlignment="1">
      <alignment horizontal="center" vertical="center"/>
    </xf>
    <xf numFmtId="0" fontId="52" fillId="0" borderId="0" xfId="16" applyFont="1" applyAlignment="1">
      <alignment horizontal="center"/>
    </xf>
    <xf numFmtId="0" fontId="1" fillId="12" borderId="1" xfId="16" applyFill="1" applyBorder="1" applyAlignment="1">
      <alignment horizontal="center" vertical="center"/>
    </xf>
    <xf numFmtId="0" fontId="1" fillId="13" borderId="1" xfId="16" applyFill="1" applyBorder="1" applyAlignment="1">
      <alignment horizontal="center" vertical="center"/>
    </xf>
  </cellXfs>
  <cellStyles count="18">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Hyperlink 2" xfId="17" xr:uid="{3A91DDD4-DB7F-44C4-ACEF-82047C1242AC}"/>
    <cellStyle name="Normal" xfId="0" builtinId="0"/>
    <cellStyle name="Normal 2" xfId="2" xr:uid="{00000000-0005-0000-0000-000006000000}"/>
    <cellStyle name="Normal 3" xfId="10" xr:uid="{00000000-0005-0000-0000-000007000000}"/>
    <cellStyle name="Normal 3 2" xfId="11" xr:uid="{00000000-0005-0000-0000-000008000000}"/>
    <cellStyle name="Normal 3 2 2" xfId="15" xr:uid="{00000000-0005-0000-0000-000009000000}"/>
    <cellStyle name="Normal 3 3" xfId="14" xr:uid="{00000000-0005-0000-0000-00000A000000}"/>
    <cellStyle name="Normal 4" xfId="13" xr:uid="{00000000-0005-0000-0000-00000B000000}"/>
    <cellStyle name="Normal 5" xfId="12" xr:uid="{00000000-0005-0000-0000-00000C000000}"/>
    <cellStyle name="Normal 6" xfId="16" xr:uid="{E593B26D-ECA9-4EAA-95AD-762F097A4C4C}"/>
    <cellStyle name="Style 1" xfId="3" xr:uid="{00000000-0005-0000-0000-00000D000000}"/>
    <cellStyle name="Style 2" xfId="4" xr:uid="{00000000-0005-0000-0000-00000E000000}"/>
    <cellStyle name="UNIT" xfId="6" xr:uid="{00000000-0005-0000-0000-00000F000000}"/>
  </cellStyles>
  <dxfs count="44">
    <dxf>
      <font>
        <color theme="0"/>
      </font>
      <fill>
        <patternFill>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color theme="0" tint="-0.24994659260841701"/>
      </font>
      <fill>
        <patternFill patternType="none">
          <bgColor auto="1"/>
        </patternFill>
      </fill>
    </dxf>
    <dxf>
      <font>
        <color theme="0"/>
      </font>
      <fill>
        <patternFill patternType="solid">
          <bgColor theme="0"/>
        </patternFill>
      </fill>
      <border>
        <left/>
        <right/>
      </border>
    </dxf>
    <dxf>
      <font>
        <color theme="0"/>
      </font>
    </dxf>
    <dxf>
      <font>
        <color theme="0"/>
      </font>
      <fill>
        <patternFill>
          <bgColor theme="0"/>
        </patternFill>
      </fill>
      <border>
        <left/>
        <right/>
        <top style="thin">
          <color auto="1"/>
        </top>
        <bottom/>
        <vertical/>
        <horizontal/>
      </border>
    </dxf>
    <dxf>
      <font>
        <color theme="0"/>
      </font>
    </dxf>
    <dxf>
      <font>
        <color theme="0"/>
      </font>
    </dxf>
    <dxf>
      <fill>
        <patternFill>
          <bgColor indexed="10"/>
        </patternFill>
      </fill>
    </dxf>
    <dxf>
      <fill>
        <patternFill>
          <bgColor indexed="1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s>
  <tableStyles count="0" defaultTableStyle="TableStyleMedium9" defaultPivotStyle="PivotStyleLight16"/>
  <colors>
    <mruColors>
      <color rgb="FFFF5050"/>
      <color rgb="FF0053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Equations!$R$202:$R$221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Equations!$V$202:$V$221</c:f>
              <c:numCache>
                <c:formatCode>0.00</c:formatCode>
                <c:ptCount val="20"/>
                <c:pt idx="0">
                  <c:v>167.8166575134197</c:v>
                </c:pt>
                <c:pt idx="1">
                  <c:v>83.908328756709849</c:v>
                </c:pt>
                <c:pt idx="2">
                  <c:v>55.938885837806566</c:v>
                </c:pt>
                <c:pt idx="3">
                  <c:v>41.954164378354925</c:v>
                </c:pt>
                <c:pt idx="4">
                  <c:v>33.563331502683937</c:v>
                </c:pt>
                <c:pt idx="5">
                  <c:v>27.969442918903283</c:v>
                </c:pt>
                <c:pt idx="6">
                  <c:v>23.973808216202816</c:v>
                </c:pt>
                <c:pt idx="7">
                  <c:v>20.977082189177462</c:v>
                </c:pt>
                <c:pt idx="8">
                  <c:v>18.646295279268855</c:v>
                </c:pt>
                <c:pt idx="9">
                  <c:v>16.781665751341968</c:v>
                </c:pt>
                <c:pt idx="10">
                  <c:v>15.256059773947245</c:v>
                </c:pt>
                <c:pt idx="11">
                  <c:v>13.984721459451642</c:v>
                </c:pt>
                <c:pt idx="12">
                  <c:v>12.908973654878439</c:v>
                </c:pt>
                <c:pt idx="13">
                  <c:v>11.986904108101408</c:v>
                </c:pt>
                <c:pt idx="14">
                  <c:v>11.187777167561313</c:v>
                </c:pt>
                <c:pt idx="15">
                  <c:v>10.488541094588731</c:v>
                </c:pt>
                <c:pt idx="16">
                  <c:v>9.871568089024688</c:v>
                </c:pt>
                <c:pt idx="17">
                  <c:v>9.3231476396344277</c:v>
                </c:pt>
                <c:pt idx="18">
                  <c:v>8.8324556586010363</c:v>
                </c:pt>
                <c:pt idx="19">
                  <c:v>8.3908328756709842</c:v>
                </c:pt>
              </c:numCache>
            </c:numRef>
          </c:yVal>
          <c:smooth val="0"/>
          <c:extLst>
            <c:ext xmlns:c16="http://schemas.microsoft.com/office/drawing/2014/chart" uri="{C3380CC4-5D6E-409C-BE32-E72D297353CC}">
              <c16:uniqueId val="{00000000-7F48-4337-8891-69C88240DA73}"/>
            </c:ext>
          </c:extLst>
        </c:ser>
        <c:ser>
          <c:idx val="1"/>
          <c:order val="1"/>
          <c:tx>
            <c:v>Typ Device SOA Limit</c:v>
          </c:tx>
          <c:spPr>
            <a:ln w="25400">
              <a:solidFill>
                <a:srgbClr val="FF0000"/>
              </a:solidFill>
              <a:prstDash val="solid"/>
            </a:ln>
          </c:spPr>
          <c:marker>
            <c:symbol val="none"/>
          </c:marker>
          <c:xVal>
            <c:numRef>
              <c:f>Equations!$R$202:$R$221</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Equations!$T$202:$T$221</c:f>
              <c:numCache>
                <c:formatCode>0.00</c:formatCode>
                <c:ptCount val="20"/>
                <c:pt idx="0">
                  <c:v>15</c:v>
                </c:pt>
                <c:pt idx="1">
                  <c:v>15</c:v>
                </c:pt>
                <c:pt idx="2">
                  <c:v>11.200000000000001</c:v>
                </c:pt>
                <c:pt idx="3">
                  <c:v>8.4</c:v>
                </c:pt>
                <c:pt idx="4">
                  <c:v>6.7200000000000006</c:v>
                </c:pt>
                <c:pt idx="5">
                  <c:v>5.6000000000000005</c:v>
                </c:pt>
                <c:pt idx="6">
                  <c:v>4.8</c:v>
                </c:pt>
                <c:pt idx="7">
                  <c:v>4.2</c:v>
                </c:pt>
                <c:pt idx="8">
                  <c:v>3.7333333333333334</c:v>
                </c:pt>
                <c:pt idx="9">
                  <c:v>3.3600000000000003</c:v>
                </c:pt>
                <c:pt idx="10">
                  <c:v>3.0545454545454547</c:v>
                </c:pt>
                <c:pt idx="11">
                  <c:v>2.8000000000000003</c:v>
                </c:pt>
                <c:pt idx="12">
                  <c:v>2.5846153846153848</c:v>
                </c:pt>
                <c:pt idx="13">
                  <c:v>2.4</c:v>
                </c:pt>
                <c:pt idx="14">
                  <c:v>2.2400000000000002</c:v>
                </c:pt>
                <c:pt idx="15">
                  <c:v>2.1</c:v>
                </c:pt>
                <c:pt idx="16">
                  <c:v>5.0000000000000003E-10</c:v>
                </c:pt>
                <c:pt idx="17">
                  <c:v>5.0000000000000003E-10</c:v>
                </c:pt>
                <c:pt idx="18">
                  <c:v>5.0000000000000003E-10</c:v>
                </c:pt>
                <c:pt idx="19">
                  <c:v>5.0000000000000003E-10</c:v>
                </c:pt>
              </c:numCache>
            </c:numRef>
          </c:yVal>
          <c:smooth val="0"/>
          <c:extLst>
            <c:ext xmlns:c16="http://schemas.microsoft.com/office/drawing/2014/chart" uri="{C3380CC4-5D6E-409C-BE32-E72D297353CC}">
              <c16:uniqueId val="{00000001-7F48-4337-8891-69C88240DA73}"/>
            </c:ext>
          </c:extLst>
        </c:ser>
        <c:dLbls>
          <c:showLegendKey val="0"/>
          <c:showVal val="0"/>
          <c:showCatName val="0"/>
          <c:showSerName val="0"/>
          <c:showPercent val="0"/>
          <c:showBubbleSize val="0"/>
        </c:dLbls>
        <c:axId val="177332224"/>
        <c:axId val="177334528"/>
      </c:scatterChart>
      <c:valAx>
        <c:axId val="177332224"/>
        <c:scaling>
          <c:logBase val="10"/>
          <c:orientation val="minMax"/>
          <c:max val="5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4528"/>
        <c:crossesAt val="0.1"/>
        <c:crossBetween val="midCat"/>
      </c:valAx>
      <c:valAx>
        <c:axId val="177334528"/>
        <c:scaling>
          <c:logBase val="10"/>
          <c:orientation val="minMax"/>
          <c:max val="10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3322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2.0512820512820515</c:v>
                </c:pt>
                <c:pt idx="41">
                  <c:v>2.1025641025641026</c:v>
                </c:pt>
                <c:pt idx="42">
                  <c:v>2.1538461538461537</c:v>
                </c:pt>
                <c:pt idx="43">
                  <c:v>2.2051282051282048</c:v>
                </c:pt>
                <c:pt idx="44">
                  <c:v>2.2564102564102564</c:v>
                </c:pt>
                <c:pt idx="45">
                  <c:v>2.3076923076923079</c:v>
                </c:pt>
                <c:pt idx="46">
                  <c:v>2.358974358974359</c:v>
                </c:pt>
                <c:pt idx="47">
                  <c:v>2.4102564102564101</c:v>
                </c:pt>
                <c:pt idx="48">
                  <c:v>2.4615384615384617</c:v>
                </c:pt>
                <c:pt idx="49">
                  <c:v>2.5128205128205128</c:v>
                </c:pt>
                <c:pt idx="50">
                  <c:v>2.5641025641025643</c:v>
                </c:pt>
                <c:pt idx="51">
                  <c:v>2.6153846153846154</c:v>
                </c:pt>
                <c:pt idx="52">
                  <c:v>2.6666666666666665</c:v>
                </c:pt>
                <c:pt idx="53">
                  <c:v>2.7179487179487176</c:v>
                </c:pt>
                <c:pt idx="54">
                  <c:v>2.7692307692307696</c:v>
                </c:pt>
                <c:pt idx="55">
                  <c:v>2.8205128205128207</c:v>
                </c:pt>
                <c:pt idx="56">
                  <c:v>2.8717948717948718</c:v>
                </c:pt>
                <c:pt idx="57">
                  <c:v>2.9230769230769234</c:v>
                </c:pt>
                <c:pt idx="58">
                  <c:v>2.9743589743589745</c:v>
                </c:pt>
                <c:pt idx="59">
                  <c:v>3.0256410256410255</c:v>
                </c:pt>
                <c:pt idx="60">
                  <c:v>3.0769230769230766</c:v>
                </c:pt>
                <c:pt idx="61">
                  <c:v>3.1282051282051282</c:v>
                </c:pt>
                <c:pt idx="62">
                  <c:v>3.1794871794871793</c:v>
                </c:pt>
                <c:pt idx="63">
                  <c:v>3.2307692307692304</c:v>
                </c:pt>
                <c:pt idx="64">
                  <c:v>3.2820512820512824</c:v>
                </c:pt>
                <c:pt idx="65">
                  <c:v>3.3333333333333335</c:v>
                </c:pt>
                <c:pt idx="66">
                  <c:v>3.3846153846153846</c:v>
                </c:pt>
                <c:pt idx="67">
                  <c:v>3.4358974358974361</c:v>
                </c:pt>
                <c:pt idx="68">
                  <c:v>3.4871794871794872</c:v>
                </c:pt>
                <c:pt idx="69">
                  <c:v>3.5384615384615383</c:v>
                </c:pt>
                <c:pt idx="70">
                  <c:v>3.5897435897435899</c:v>
                </c:pt>
                <c:pt idx="71">
                  <c:v>3.641025641025641</c:v>
                </c:pt>
                <c:pt idx="72">
                  <c:v>3.6923076923076921</c:v>
                </c:pt>
                <c:pt idx="73">
                  <c:v>3.7435897435897432</c:v>
                </c:pt>
                <c:pt idx="74">
                  <c:v>3.7948717948717952</c:v>
                </c:pt>
                <c:pt idx="75">
                  <c:v>3.8461538461538463</c:v>
                </c:pt>
                <c:pt idx="76">
                  <c:v>3.8974358974358974</c:v>
                </c:pt>
                <c:pt idx="77">
                  <c:v>3.9487179487179489</c:v>
                </c:pt>
                <c:pt idx="78">
                  <c:v>4</c:v>
                </c:pt>
                <c:pt idx="79">
                  <c:v>4.0512820512820511</c:v>
                </c:pt>
                <c:pt idx="80">
                  <c:v>4.1025641025641031</c:v>
                </c:pt>
                <c:pt idx="81">
                  <c:v>4.1538461538461542</c:v>
                </c:pt>
                <c:pt idx="82">
                  <c:v>4.2051282051282053</c:v>
                </c:pt>
                <c:pt idx="83">
                  <c:v>4.2564102564102564</c:v>
                </c:pt>
                <c:pt idx="84">
                  <c:v>4.3076923076923075</c:v>
                </c:pt>
                <c:pt idx="85">
                  <c:v>4.3589743589743586</c:v>
                </c:pt>
                <c:pt idx="86">
                  <c:v>4.4102564102564097</c:v>
                </c:pt>
                <c:pt idx="87">
                  <c:v>4.4615384615384617</c:v>
                </c:pt>
                <c:pt idx="88">
                  <c:v>4.5128205128205128</c:v>
                </c:pt>
                <c:pt idx="89">
                  <c:v>4.5641025641025639</c:v>
                </c:pt>
                <c:pt idx="90">
                  <c:v>4.6153846153846159</c:v>
                </c:pt>
                <c:pt idx="91">
                  <c:v>4.666666666666667</c:v>
                </c:pt>
                <c:pt idx="92">
                  <c:v>4.7179487179487181</c:v>
                </c:pt>
                <c:pt idx="93">
                  <c:v>4.7692307692307692</c:v>
                </c:pt>
                <c:pt idx="94">
                  <c:v>4.8205128205128203</c:v>
                </c:pt>
                <c:pt idx="95">
                  <c:v>4.8717948717948714</c:v>
                </c:pt>
                <c:pt idx="96">
                  <c:v>4.9230769230769234</c:v>
                </c:pt>
                <c:pt idx="97">
                  <c:v>4.9743589743589745</c:v>
                </c:pt>
                <c:pt idx="98">
                  <c:v>5.0256410256410255</c:v>
                </c:pt>
                <c:pt idx="99">
                  <c:v>5.0769230769230766</c:v>
                </c:pt>
                <c:pt idx="100">
                  <c:v>5.1282051282051286</c:v>
                </c:pt>
                <c:pt idx="101">
                  <c:v>5.1794871794871797</c:v>
                </c:pt>
                <c:pt idx="102">
                  <c:v>5.2307692307692308</c:v>
                </c:pt>
                <c:pt idx="103">
                  <c:v>5.2820512820512819</c:v>
                </c:pt>
                <c:pt idx="104">
                  <c:v>5.333333333333333</c:v>
                </c:pt>
              </c:numCache>
            </c:numRef>
          </c:yVal>
          <c:smooth val="1"/>
          <c:extLst>
            <c:ext xmlns:c16="http://schemas.microsoft.com/office/drawing/2014/chart" uri="{C3380CC4-5D6E-409C-BE32-E72D297353CC}">
              <c16:uniqueId val="{00000000-E02D-4119-A901-A31CE200F553}"/>
            </c:ext>
          </c:extLst>
        </c:ser>
        <c:ser>
          <c:idx val="1"/>
          <c:order val="1"/>
          <c:tx>
            <c:strRef>
              <c:f>Start_up!$G$7</c:f>
              <c:strCache>
                <c:ptCount val="1"/>
                <c:pt idx="0">
                  <c:v>IFET</c:v>
                </c:pt>
              </c:strCache>
            </c:strRef>
          </c:tx>
          <c:marker>
            <c:symbol val="none"/>
          </c:marker>
          <c:xVal>
            <c:numRef>
              <c:f>Start_up!$B$10:$B$114</c:f>
              <c:numCache>
                <c:formatCode>0.00</c:formatCode>
                <c:ptCount val="105"/>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pt idx="102">
                  <c:v>15.692307692307692</c:v>
                </c:pt>
                <c:pt idx="103">
                  <c:v>15.846153846153847</c:v>
                </c:pt>
                <c:pt idx="104">
                  <c:v>16</c:v>
                </c:pt>
              </c:numCache>
            </c:numRef>
          </c:xVal>
          <c:yVal>
            <c:numRef>
              <c:f>Start_up!$G$10:$G$114</c:f>
              <c:numCache>
                <c:formatCode>General</c:formatCode>
                <c:ptCount val="105"/>
                <c:pt idx="0">
                  <c:v>0.82499999999999996</c:v>
                </c:pt>
                <c:pt idx="1">
                  <c:v>0.82499999999999996</c:v>
                </c:pt>
                <c:pt idx="2">
                  <c:v>0.82499999999999996</c:v>
                </c:pt>
                <c:pt idx="3">
                  <c:v>0.82499999999999996</c:v>
                </c:pt>
                <c:pt idx="4">
                  <c:v>0.82499999999999996</c:v>
                </c:pt>
                <c:pt idx="5">
                  <c:v>0.82499999999999996</c:v>
                </c:pt>
                <c:pt idx="6">
                  <c:v>0.82499999999999996</c:v>
                </c:pt>
                <c:pt idx="7">
                  <c:v>0.82499999999999996</c:v>
                </c:pt>
                <c:pt idx="8">
                  <c:v>0.82499999999999996</c:v>
                </c:pt>
                <c:pt idx="9">
                  <c:v>0.82499999999999996</c:v>
                </c:pt>
                <c:pt idx="10">
                  <c:v>0.82499999999999996</c:v>
                </c:pt>
                <c:pt idx="11">
                  <c:v>0.82499999999999996</c:v>
                </c:pt>
                <c:pt idx="12">
                  <c:v>0.82499999999999996</c:v>
                </c:pt>
                <c:pt idx="13">
                  <c:v>0.82499999999999996</c:v>
                </c:pt>
                <c:pt idx="14">
                  <c:v>0.82499999999999996</c:v>
                </c:pt>
                <c:pt idx="15">
                  <c:v>0.82499999999999996</c:v>
                </c:pt>
                <c:pt idx="16">
                  <c:v>0.82499999999999996</c:v>
                </c:pt>
                <c:pt idx="17">
                  <c:v>0.82499999999999996</c:v>
                </c:pt>
                <c:pt idx="18">
                  <c:v>0.82499999999999996</c:v>
                </c:pt>
                <c:pt idx="19">
                  <c:v>0.82499999999999996</c:v>
                </c:pt>
                <c:pt idx="20">
                  <c:v>0.82499999999999996</c:v>
                </c:pt>
                <c:pt idx="21">
                  <c:v>0.82499999999999996</c:v>
                </c:pt>
                <c:pt idx="22">
                  <c:v>0.82499999999999996</c:v>
                </c:pt>
                <c:pt idx="23">
                  <c:v>0.82499999999999996</c:v>
                </c:pt>
                <c:pt idx="24">
                  <c:v>0.82499999999999996</c:v>
                </c:pt>
                <c:pt idx="25">
                  <c:v>0.82499999999999996</c:v>
                </c:pt>
                <c:pt idx="26">
                  <c:v>0.82499999999999996</c:v>
                </c:pt>
                <c:pt idx="27">
                  <c:v>0.82499999999999996</c:v>
                </c:pt>
                <c:pt idx="28">
                  <c:v>0.82499999999999996</c:v>
                </c:pt>
                <c:pt idx="29">
                  <c:v>0.82499999999999996</c:v>
                </c:pt>
                <c:pt idx="30">
                  <c:v>0.82499999999999996</c:v>
                </c:pt>
                <c:pt idx="31">
                  <c:v>0.82499999999999996</c:v>
                </c:pt>
                <c:pt idx="32">
                  <c:v>0.82499999999999996</c:v>
                </c:pt>
                <c:pt idx="33">
                  <c:v>0.82499999999999996</c:v>
                </c:pt>
                <c:pt idx="34">
                  <c:v>0.82499999999999996</c:v>
                </c:pt>
                <c:pt idx="35">
                  <c:v>0.82499999999999996</c:v>
                </c:pt>
                <c:pt idx="36">
                  <c:v>0.82499999999999996</c:v>
                </c:pt>
                <c:pt idx="37">
                  <c:v>0.82499999999999996</c:v>
                </c:pt>
                <c:pt idx="38">
                  <c:v>0.82499999999999996</c:v>
                </c:pt>
                <c:pt idx="39">
                  <c:v>2.8250000000000002</c:v>
                </c:pt>
                <c:pt idx="40">
                  <c:v>2.8762820512820513</c:v>
                </c:pt>
                <c:pt idx="41">
                  <c:v>2.9275641025641024</c:v>
                </c:pt>
                <c:pt idx="42">
                  <c:v>2.9788461538461535</c:v>
                </c:pt>
                <c:pt idx="43">
                  <c:v>3.0301282051282046</c:v>
                </c:pt>
                <c:pt idx="44">
                  <c:v>3.0814102564102566</c:v>
                </c:pt>
                <c:pt idx="45">
                  <c:v>3.1326923076923077</c:v>
                </c:pt>
                <c:pt idx="46">
                  <c:v>3.1839743589743588</c:v>
                </c:pt>
                <c:pt idx="47">
                  <c:v>3.2352564102564099</c:v>
                </c:pt>
                <c:pt idx="48">
                  <c:v>3.2865384615384619</c:v>
                </c:pt>
                <c:pt idx="49">
                  <c:v>3.337820512820513</c:v>
                </c:pt>
                <c:pt idx="50">
                  <c:v>3.3891025641025641</c:v>
                </c:pt>
                <c:pt idx="51">
                  <c:v>3.4403846153846152</c:v>
                </c:pt>
                <c:pt idx="52">
                  <c:v>3.4916666666666663</c:v>
                </c:pt>
                <c:pt idx="53">
                  <c:v>3.5429487179487174</c:v>
                </c:pt>
                <c:pt idx="54">
                  <c:v>3.5942307692307693</c:v>
                </c:pt>
                <c:pt idx="55">
                  <c:v>3.6455128205128204</c:v>
                </c:pt>
                <c:pt idx="56">
                  <c:v>3.6967948717948715</c:v>
                </c:pt>
                <c:pt idx="57">
                  <c:v>3.7480769230769235</c:v>
                </c:pt>
                <c:pt idx="58">
                  <c:v>3.7993589743589746</c:v>
                </c:pt>
                <c:pt idx="59">
                  <c:v>3.8506410256410257</c:v>
                </c:pt>
                <c:pt idx="60">
                  <c:v>3.9019230769230768</c:v>
                </c:pt>
                <c:pt idx="61">
                  <c:v>3.9532051282051279</c:v>
                </c:pt>
                <c:pt idx="62">
                  <c:v>4.004487179487179</c:v>
                </c:pt>
                <c:pt idx="63">
                  <c:v>4.0557692307692301</c:v>
                </c:pt>
                <c:pt idx="64">
                  <c:v>4.1070512820512821</c:v>
                </c:pt>
                <c:pt idx="65">
                  <c:v>4.1583333333333332</c:v>
                </c:pt>
                <c:pt idx="66">
                  <c:v>4.2096153846153843</c:v>
                </c:pt>
                <c:pt idx="67">
                  <c:v>4.2608974358974363</c:v>
                </c:pt>
                <c:pt idx="68">
                  <c:v>4.3121794871794874</c:v>
                </c:pt>
                <c:pt idx="69">
                  <c:v>4.3634615384615385</c:v>
                </c:pt>
                <c:pt idx="70">
                  <c:v>4.4147435897435896</c:v>
                </c:pt>
                <c:pt idx="71">
                  <c:v>4.4660256410256407</c:v>
                </c:pt>
                <c:pt idx="72">
                  <c:v>4.5173076923076918</c:v>
                </c:pt>
                <c:pt idx="73">
                  <c:v>4.5685897435897429</c:v>
                </c:pt>
                <c:pt idx="74">
                  <c:v>4.6198717948717949</c:v>
                </c:pt>
                <c:pt idx="75">
                  <c:v>4.671153846153846</c:v>
                </c:pt>
                <c:pt idx="76">
                  <c:v>4.7224358974358971</c:v>
                </c:pt>
                <c:pt idx="77">
                  <c:v>4.7737179487179491</c:v>
                </c:pt>
                <c:pt idx="78">
                  <c:v>4.8250000000000002</c:v>
                </c:pt>
                <c:pt idx="79">
                  <c:v>4.8762820512820513</c:v>
                </c:pt>
                <c:pt idx="80">
                  <c:v>4.9275641025641033</c:v>
                </c:pt>
                <c:pt idx="81">
                  <c:v>4.9788461538461544</c:v>
                </c:pt>
                <c:pt idx="82">
                  <c:v>5.0301282051282055</c:v>
                </c:pt>
                <c:pt idx="83">
                  <c:v>5.0814102564102566</c:v>
                </c:pt>
                <c:pt idx="84">
                  <c:v>5.1326923076923077</c:v>
                </c:pt>
                <c:pt idx="85">
                  <c:v>5.1839743589743588</c:v>
                </c:pt>
                <c:pt idx="86">
                  <c:v>5.2352564102564099</c:v>
                </c:pt>
                <c:pt idx="87">
                  <c:v>5.2865384615384619</c:v>
                </c:pt>
                <c:pt idx="88">
                  <c:v>5.337820512820513</c:v>
                </c:pt>
                <c:pt idx="89">
                  <c:v>5.3891025641025641</c:v>
                </c:pt>
                <c:pt idx="90">
                  <c:v>5.440384615384616</c:v>
                </c:pt>
                <c:pt idx="91">
                  <c:v>5.4916666666666671</c:v>
                </c:pt>
                <c:pt idx="92">
                  <c:v>5.5429487179487182</c:v>
                </c:pt>
                <c:pt idx="93">
                  <c:v>5.5942307692307693</c:v>
                </c:pt>
                <c:pt idx="94">
                  <c:v>5.6455128205128204</c:v>
                </c:pt>
                <c:pt idx="95">
                  <c:v>5.6967948717948715</c:v>
                </c:pt>
                <c:pt idx="96">
                  <c:v>5.7480769230769235</c:v>
                </c:pt>
                <c:pt idx="97">
                  <c:v>5.7993589743589746</c:v>
                </c:pt>
                <c:pt idx="98">
                  <c:v>5.8506410256410257</c:v>
                </c:pt>
                <c:pt idx="99">
                  <c:v>5.9019230769230768</c:v>
                </c:pt>
                <c:pt idx="100">
                  <c:v>5.9532051282051288</c:v>
                </c:pt>
                <c:pt idx="101">
                  <c:v>6.0044871794871799</c:v>
                </c:pt>
                <c:pt idx="102">
                  <c:v>6.055769230769231</c:v>
                </c:pt>
                <c:pt idx="103">
                  <c:v>6.1070512820512821</c:v>
                </c:pt>
                <c:pt idx="104">
                  <c:v>6.1583333333333332</c:v>
                </c:pt>
              </c:numCache>
            </c:numRef>
          </c:yVal>
          <c:smooth val="1"/>
          <c:extLst>
            <c:ext xmlns:c16="http://schemas.microsoft.com/office/drawing/2014/chart" uri="{C3380CC4-5D6E-409C-BE32-E72D297353CC}">
              <c16:uniqueId val="{00000001-E02D-4119-A901-A31CE200F553}"/>
            </c:ext>
          </c:extLst>
        </c:ser>
        <c:dLbls>
          <c:showLegendKey val="0"/>
          <c:showVal val="0"/>
          <c:showCatName val="0"/>
          <c:showSerName val="0"/>
          <c:showPercent val="0"/>
          <c:showBubbleSize val="0"/>
        </c:dLbls>
        <c:axId val="583185920"/>
        <c:axId val="583201920"/>
      </c:scatterChart>
      <c:valAx>
        <c:axId val="583185920"/>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583201920"/>
        <c:crosses val="autoZero"/>
        <c:crossBetween val="midCat"/>
      </c:valAx>
      <c:valAx>
        <c:axId val="583201920"/>
        <c:scaling>
          <c:orientation val="minMax"/>
        </c:scaling>
        <c:delete val="0"/>
        <c:axPos val="l"/>
        <c:majorGridlines/>
        <c:minorGridlines/>
        <c:title>
          <c:tx>
            <c:rich>
              <a:bodyPr rot="-5400000" vert="horz"/>
              <a:lstStyle/>
              <a:p>
                <a:pPr>
                  <a:defRPr/>
                </a:pPr>
                <a:r>
                  <a:rPr lang="en-US"/>
                  <a:t>Current (mA)</a:t>
                </a:r>
              </a:p>
            </c:rich>
          </c:tx>
          <c:layout>
            <c:manualLayout>
              <c:xMode val="edge"/>
              <c:yMode val="edge"/>
              <c:x val="1.8649933950945E-2"/>
              <c:y val="0.32808378438817248"/>
            </c:manualLayout>
          </c:layout>
          <c:overlay val="0"/>
        </c:title>
        <c:numFmt formatCode="0.000" sourceLinked="0"/>
        <c:majorTickMark val="out"/>
        <c:minorTickMark val="none"/>
        <c:tickLblPos val="nextTo"/>
        <c:txPr>
          <a:bodyPr/>
          <a:lstStyle/>
          <a:p>
            <a:pPr>
              <a:defRPr sz="950" b="1" baseline="0"/>
            </a:pPr>
            <a:endParaRPr lang="en-US"/>
          </a:p>
        </c:txPr>
        <c:crossAx val="583185920"/>
        <c:crosses val="autoZero"/>
        <c:crossBetween val="midCat"/>
      </c:valAx>
    </c:plotArea>
    <c:legend>
      <c:legendPos val="r"/>
      <c:layout>
        <c:manualLayout>
          <c:xMode val="edge"/>
          <c:yMode val="edge"/>
          <c:x val="0.17948138421044507"/>
          <c:y val="0.18817949003451728"/>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2.0512820512820515</c:v>
                </c:pt>
                <c:pt idx="41">
                  <c:v>2.1025641025641026</c:v>
                </c:pt>
                <c:pt idx="42">
                  <c:v>2.1538461538461537</c:v>
                </c:pt>
                <c:pt idx="43">
                  <c:v>2.2051282051282048</c:v>
                </c:pt>
                <c:pt idx="44">
                  <c:v>2.2564102564102564</c:v>
                </c:pt>
                <c:pt idx="45">
                  <c:v>2.3076923076923079</c:v>
                </c:pt>
                <c:pt idx="46">
                  <c:v>2.358974358974359</c:v>
                </c:pt>
                <c:pt idx="47">
                  <c:v>2.4102564102564101</c:v>
                </c:pt>
                <c:pt idx="48">
                  <c:v>2.4615384615384617</c:v>
                </c:pt>
                <c:pt idx="49">
                  <c:v>2.5128205128205128</c:v>
                </c:pt>
                <c:pt idx="50">
                  <c:v>2.5641025641025643</c:v>
                </c:pt>
                <c:pt idx="51">
                  <c:v>2.6153846153846154</c:v>
                </c:pt>
                <c:pt idx="52">
                  <c:v>2.6666666666666665</c:v>
                </c:pt>
                <c:pt idx="53">
                  <c:v>2.7179487179487176</c:v>
                </c:pt>
                <c:pt idx="54">
                  <c:v>2.7692307692307696</c:v>
                </c:pt>
                <c:pt idx="55">
                  <c:v>2.8205128205128207</c:v>
                </c:pt>
                <c:pt idx="56">
                  <c:v>2.8717948717948718</c:v>
                </c:pt>
                <c:pt idx="57">
                  <c:v>2.9230769230769234</c:v>
                </c:pt>
                <c:pt idx="58">
                  <c:v>2.9743589743589745</c:v>
                </c:pt>
                <c:pt idx="59">
                  <c:v>3.0256410256410255</c:v>
                </c:pt>
                <c:pt idx="60">
                  <c:v>3.0769230769230766</c:v>
                </c:pt>
                <c:pt idx="61">
                  <c:v>3.1282051282051282</c:v>
                </c:pt>
                <c:pt idx="62">
                  <c:v>3.1794871794871793</c:v>
                </c:pt>
                <c:pt idx="63">
                  <c:v>3.2307692307692304</c:v>
                </c:pt>
                <c:pt idx="64">
                  <c:v>3.2820512820512824</c:v>
                </c:pt>
                <c:pt idx="65">
                  <c:v>3.3333333333333335</c:v>
                </c:pt>
                <c:pt idx="66">
                  <c:v>3.3846153846153846</c:v>
                </c:pt>
                <c:pt idx="67">
                  <c:v>3.4358974358974361</c:v>
                </c:pt>
                <c:pt idx="68">
                  <c:v>3.4871794871794872</c:v>
                </c:pt>
                <c:pt idx="69">
                  <c:v>3.5384615384615383</c:v>
                </c:pt>
                <c:pt idx="70">
                  <c:v>3.5897435897435899</c:v>
                </c:pt>
                <c:pt idx="71">
                  <c:v>3.641025641025641</c:v>
                </c:pt>
                <c:pt idx="72">
                  <c:v>3.6923076923076921</c:v>
                </c:pt>
                <c:pt idx="73">
                  <c:v>3.7435897435897432</c:v>
                </c:pt>
                <c:pt idx="74">
                  <c:v>3.7948717948717952</c:v>
                </c:pt>
                <c:pt idx="75">
                  <c:v>3.8461538461538463</c:v>
                </c:pt>
                <c:pt idx="76">
                  <c:v>3.8974358974358974</c:v>
                </c:pt>
                <c:pt idx="77">
                  <c:v>3.9487179487179489</c:v>
                </c:pt>
                <c:pt idx="78">
                  <c:v>4</c:v>
                </c:pt>
                <c:pt idx="79">
                  <c:v>4.0512820512820511</c:v>
                </c:pt>
                <c:pt idx="80">
                  <c:v>4.1025641025641031</c:v>
                </c:pt>
                <c:pt idx="81">
                  <c:v>4.1538461538461542</c:v>
                </c:pt>
                <c:pt idx="82">
                  <c:v>4.2051282051282053</c:v>
                </c:pt>
                <c:pt idx="83">
                  <c:v>4.2564102564102564</c:v>
                </c:pt>
                <c:pt idx="84">
                  <c:v>4.3076923076923075</c:v>
                </c:pt>
                <c:pt idx="85">
                  <c:v>4.3589743589743586</c:v>
                </c:pt>
                <c:pt idx="86">
                  <c:v>4.4102564102564097</c:v>
                </c:pt>
                <c:pt idx="87">
                  <c:v>4.4615384615384617</c:v>
                </c:pt>
                <c:pt idx="88">
                  <c:v>4.5128205128205128</c:v>
                </c:pt>
                <c:pt idx="89">
                  <c:v>4.5641025641025639</c:v>
                </c:pt>
                <c:pt idx="90">
                  <c:v>4.6153846153846159</c:v>
                </c:pt>
                <c:pt idx="91">
                  <c:v>4.666666666666667</c:v>
                </c:pt>
                <c:pt idx="92">
                  <c:v>4.7179487179487181</c:v>
                </c:pt>
                <c:pt idx="93">
                  <c:v>4.7692307692307692</c:v>
                </c:pt>
                <c:pt idx="94">
                  <c:v>4.8205128205128203</c:v>
                </c:pt>
                <c:pt idx="95">
                  <c:v>4.8717948717948714</c:v>
                </c:pt>
                <c:pt idx="96">
                  <c:v>4.9230769230769234</c:v>
                </c:pt>
                <c:pt idx="97">
                  <c:v>4.9743589743589745</c:v>
                </c:pt>
                <c:pt idx="98">
                  <c:v>5.0256410256410255</c:v>
                </c:pt>
                <c:pt idx="99">
                  <c:v>5.0769230769230766</c:v>
                </c:pt>
                <c:pt idx="100">
                  <c:v>5.1282051282051286</c:v>
                </c:pt>
                <c:pt idx="101">
                  <c:v>5.1794871794871797</c:v>
                </c:pt>
              </c:numCache>
            </c:numRef>
          </c:yVal>
          <c:smooth val="1"/>
          <c:extLst>
            <c:ext xmlns:c16="http://schemas.microsoft.com/office/drawing/2014/chart" uri="{C3380CC4-5D6E-409C-BE32-E72D297353CC}">
              <c16:uniqueId val="{00000000-599F-4709-A81F-37F79BC45DA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0.15384615384615385</c:v>
                </c:pt>
                <c:pt idx="2">
                  <c:v>0.30769230769230771</c:v>
                </c:pt>
                <c:pt idx="3">
                  <c:v>0.46153846153846156</c:v>
                </c:pt>
                <c:pt idx="4">
                  <c:v>0.61538461538461542</c:v>
                </c:pt>
                <c:pt idx="5">
                  <c:v>0.76923076923076927</c:v>
                </c:pt>
                <c:pt idx="6">
                  <c:v>0.92307692307692313</c:v>
                </c:pt>
                <c:pt idx="7">
                  <c:v>1.0769230769230769</c:v>
                </c:pt>
                <c:pt idx="8">
                  <c:v>1.2307692307692308</c:v>
                </c:pt>
                <c:pt idx="9">
                  <c:v>1.3846153846153846</c:v>
                </c:pt>
                <c:pt idx="10">
                  <c:v>1.5384615384615385</c:v>
                </c:pt>
                <c:pt idx="11">
                  <c:v>1.6923076923076923</c:v>
                </c:pt>
                <c:pt idx="12">
                  <c:v>1.8461538461538463</c:v>
                </c:pt>
                <c:pt idx="13">
                  <c:v>2</c:v>
                </c:pt>
                <c:pt idx="14">
                  <c:v>2.1538461538461537</c:v>
                </c:pt>
                <c:pt idx="15">
                  <c:v>2.3076923076923075</c:v>
                </c:pt>
                <c:pt idx="16">
                  <c:v>2.4615384615384617</c:v>
                </c:pt>
                <c:pt idx="17">
                  <c:v>2.6153846153846154</c:v>
                </c:pt>
                <c:pt idx="18">
                  <c:v>2.7692307692307692</c:v>
                </c:pt>
                <c:pt idx="19">
                  <c:v>2.9230769230769229</c:v>
                </c:pt>
                <c:pt idx="20">
                  <c:v>3.0769230769230771</c:v>
                </c:pt>
                <c:pt idx="21">
                  <c:v>3.2307692307692308</c:v>
                </c:pt>
                <c:pt idx="22">
                  <c:v>3.3846153846153846</c:v>
                </c:pt>
                <c:pt idx="23">
                  <c:v>3.5384615384615383</c:v>
                </c:pt>
                <c:pt idx="24">
                  <c:v>3.6923076923076925</c:v>
                </c:pt>
                <c:pt idx="25">
                  <c:v>3.8461538461538463</c:v>
                </c:pt>
                <c:pt idx="26">
                  <c:v>4</c:v>
                </c:pt>
                <c:pt idx="27">
                  <c:v>4.1538461538461542</c:v>
                </c:pt>
                <c:pt idx="28">
                  <c:v>4.3076923076923075</c:v>
                </c:pt>
                <c:pt idx="29">
                  <c:v>4.4615384615384617</c:v>
                </c:pt>
                <c:pt idx="30">
                  <c:v>4.615384615384615</c:v>
                </c:pt>
                <c:pt idx="31">
                  <c:v>4.7692307692307692</c:v>
                </c:pt>
                <c:pt idx="32">
                  <c:v>4.9230769230769234</c:v>
                </c:pt>
                <c:pt idx="33">
                  <c:v>5.0769230769230766</c:v>
                </c:pt>
                <c:pt idx="34">
                  <c:v>5.2307692307692308</c:v>
                </c:pt>
                <c:pt idx="35">
                  <c:v>5.384615384615385</c:v>
                </c:pt>
                <c:pt idx="36">
                  <c:v>5.5384615384615383</c:v>
                </c:pt>
                <c:pt idx="37">
                  <c:v>5.6923076923076925</c:v>
                </c:pt>
                <c:pt idx="38">
                  <c:v>5.8461538461538458</c:v>
                </c:pt>
                <c:pt idx="39">
                  <c:v>6</c:v>
                </c:pt>
                <c:pt idx="40">
                  <c:v>6.1538461538461542</c:v>
                </c:pt>
                <c:pt idx="41">
                  <c:v>6.3076923076923075</c:v>
                </c:pt>
                <c:pt idx="42">
                  <c:v>6.4615384615384617</c:v>
                </c:pt>
                <c:pt idx="43">
                  <c:v>6.615384615384615</c:v>
                </c:pt>
                <c:pt idx="44">
                  <c:v>6.7692307692307692</c:v>
                </c:pt>
                <c:pt idx="45">
                  <c:v>6.9230769230769234</c:v>
                </c:pt>
                <c:pt idx="46">
                  <c:v>7.0769230769230766</c:v>
                </c:pt>
                <c:pt idx="47">
                  <c:v>7.2307692307692308</c:v>
                </c:pt>
                <c:pt idx="48">
                  <c:v>7.384615384615385</c:v>
                </c:pt>
                <c:pt idx="49">
                  <c:v>7.5384615384615383</c:v>
                </c:pt>
                <c:pt idx="50">
                  <c:v>7.6923076923076925</c:v>
                </c:pt>
                <c:pt idx="51">
                  <c:v>7.8461538461538458</c:v>
                </c:pt>
                <c:pt idx="52">
                  <c:v>8</c:v>
                </c:pt>
                <c:pt idx="53">
                  <c:v>8.1538461538461533</c:v>
                </c:pt>
                <c:pt idx="54">
                  <c:v>8.3076923076923084</c:v>
                </c:pt>
                <c:pt idx="55">
                  <c:v>8.4615384615384617</c:v>
                </c:pt>
                <c:pt idx="56">
                  <c:v>8.615384615384615</c:v>
                </c:pt>
                <c:pt idx="57">
                  <c:v>8.7692307692307701</c:v>
                </c:pt>
                <c:pt idx="58">
                  <c:v>8.9230769230769234</c:v>
                </c:pt>
                <c:pt idx="59">
                  <c:v>9.0769230769230766</c:v>
                </c:pt>
                <c:pt idx="60">
                  <c:v>9.2307692307692299</c:v>
                </c:pt>
                <c:pt idx="61">
                  <c:v>9.384615384615385</c:v>
                </c:pt>
                <c:pt idx="62">
                  <c:v>9.5384615384615383</c:v>
                </c:pt>
                <c:pt idx="63">
                  <c:v>9.6923076923076916</c:v>
                </c:pt>
                <c:pt idx="64">
                  <c:v>9.8461538461538467</c:v>
                </c:pt>
                <c:pt idx="65">
                  <c:v>10</c:v>
                </c:pt>
                <c:pt idx="66">
                  <c:v>10.153846153846153</c:v>
                </c:pt>
                <c:pt idx="67">
                  <c:v>10.307692307692308</c:v>
                </c:pt>
                <c:pt idx="68">
                  <c:v>10.461538461538462</c:v>
                </c:pt>
                <c:pt idx="69">
                  <c:v>10.615384615384615</c:v>
                </c:pt>
                <c:pt idx="70">
                  <c:v>10.76923076923077</c:v>
                </c:pt>
                <c:pt idx="71">
                  <c:v>10.923076923076923</c:v>
                </c:pt>
                <c:pt idx="72">
                  <c:v>11.076923076923077</c:v>
                </c:pt>
                <c:pt idx="73">
                  <c:v>11.23076923076923</c:v>
                </c:pt>
                <c:pt idx="74">
                  <c:v>11.384615384615385</c:v>
                </c:pt>
                <c:pt idx="75">
                  <c:v>11.538461538461538</c:v>
                </c:pt>
                <c:pt idx="76">
                  <c:v>11.692307692307692</c:v>
                </c:pt>
                <c:pt idx="77">
                  <c:v>11.846153846153847</c:v>
                </c:pt>
                <c:pt idx="78">
                  <c:v>12</c:v>
                </c:pt>
                <c:pt idx="79">
                  <c:v>12.153846153846153</c:v>
                </c:pt>
                <c:pt idx="80">
                  <c:v>12.307692307692308</c:v>
                </c:pt>
                <c:pt idx="81">
                  <c:v>12.461538461538462</c:v>
                </c:pt>
                <c:pt idx="82">
                  <c:v>12.615384615384615</c:v>
                </c:pt>
                <c:pt idx="83">
                  <c:v>12.76923076923077</c:v>
                </c:pt>
                <c:pt idx="84">
                  <c:v>12.923076923076923</c:v>
                </c:pt>
                <c:pt idx="85">
                  <c:v>13.076923076923077</c:v>
                </c:pt>
                <c:pt idx="86">
                  <c:v>13.23076923076923</c:v>
                </c:pt>
                <c:pt idx="87">
                  <c:v>13.384615384615385</c:v>
                </c:pt>
                <c:pt idx="88">
                  <c:v>13.538461538461538</c:v>
                </c:pt>
                <c:pt idx="89">
                  <c:v>13.692307692307692</c:v>
                </c:pt>
                <c:pt idx="90">
                  <c:v>13.846153846153847</c:v>
                </c:pt>
                <c:pt idx="91">
                  <c:v>14</c:v>
                </c:pt>
                <c:pt idx="92">
                  <c:v>14.153846153846153</c:v>
                </c:pt>
                <c:pt idx="93">
                  <c:v>14.307692307692308</c:v>
                </c:pt>
                <c:pt idx="94">
                  <c:v>14.461538461538462</c:v>
                </c:pt>
                <c:pt idx="95">
                  <c:v>14.615384615384615</c:v>
                </c:pt>
                <c:pt idx="96">
                  <c:v>14.76923076923077</c:v>
                </c:pt>
                <c:pt idx="97">
                  <c:v>14.923076923076923</c:v>
                </c:pt>
                <c:pt idx="98">
                  <c:v>15.076923076923077</c:v>
                </c:pt>
                <c:pt idx="99">
                  <c:v>15.23076923076923</c:v>
                </c:pt>
                <c:pt idx="100">
                  <c:v>15.384615384615385</c:v>
                </c:pt>
                <c:pt idx="101">
                  <c:v>15.538461538461538</c:v>
                </c:pt>
              </c:numCache>
            </c:numRef>
          </c:xVal>
          <c:yVal>
            <c:numRef>
              <c:f>Start_up!$G$10:$G$112</c:f>
              <c:numCache>
                <c:formatCode>General</c:formatCode>
                <c:ptCount val="103"/>
                <c:pt idx="0">
                  <c:v>0.82499999999999996</c:v>
                </c:pt>
                <c:pt idx="1">
                  <c:v>0.82499999999999996</c:v>
                </c:pt>
                <c:pt idx="2">
                  <c:v>0.82499999999999996</c:v>
                </c:pt>
                <c:pt idx="3">
                  <c:v>0.82499999999999996</c:v>
                </c:pt>
                <c:pt idx="4">
                  <c:v>0.82499999999999996</c:v>
                </c:pt>
                <c:pt idx="5">
                  <c:v>0.82499999999999996</c:v>
                </c:pt>
                <c:pt idx="6">
                  <c:v>0.82499999999999996</c:v>
                </c:pt>
                <c:pt idx="7">
                  <c:v>0.82499999999999996</c:v>
                </c:pt>
                <c:pt idx="8">
                  <c:v>0.82499999999999996</c:v>
                </c:pt>
                <c:pt idx="9">
                  <c:v>0.82499999999999996</c:v>
                </c:pt>
                <c:pt idx="10">
                  <c:v>0.82499999999999996</c:v>
                </c:pt>
                <c:pt idx="11">
                  <c:v>0.82499999999999996</c:v>
                </c:pt>
                <c:pt idx="12">
                  <c:v>0.82499999999999996</c:v>
                </c:pt>
                <c:pt idx="13">
                  <c:v>0.82499999999999996</c:v>
                </c:pt>
                <c:pt idx="14">
                  <c:v>0.82499999999999996</c:v>
                </c:pt>
                <c:pt idx="15">
                  <c:v>0.82499999999999996</c:v>
                </c:pt>
                <c:pt idx="16">
                  <c:v>0.82499999999999996</c:v>
                </c:pt>
                <c:pt idx="17">
                  <c:v>0.82499999999999996</c:v>
                </c:pt>
                <c:pt idx="18">
                  <c:v>0.82499999999999996</c:v>
                </c:pt>
                <c:pt idx="19">
                  <c:v>0.82499999999999996</c:v>
                </c:pt>
                <c:pt idx="20">
                  <c:v>0.82499999999999996</c:v>
                </c:pt>
                <c:pt idx="21">
                  <c:v>0.82499999999999996</c:v>
                </c:pt>
                <c:pt idx="22">
                  <c:v>0.82499999999999996</c:v>
                </c:pt>
                <c:pt idx="23">
                  <c:v>0.82499999999999996</c:v>
                </c:pt>
                <c:pt idx="24">
                  <c:v>0.82499999999999996</c:v>
                </c:pt>
                <c:pt idx="25">
                  <c:v>0.82499999999999996</c:v>
                </c:pt>
                <c:pt idx="26">
                  <c:v>0.82499999999999996</c:v>
                </c:pt>
                <c:pt idx="27">
                  <c:v>0.82499999999999996</c:v>
                </c:pt>
                <c:pt idx="28">
                  <c:v>0.82499999999999996</c:v>
                </c:pt>
                <c:pt idx="29">
                  <c:v>0.82499999999999996</c:v>
                </c:pt>
                <c:pt idx="30">
                  <c:v>0.82499999999999996</c:v>
                </c:pt>
                <c:pt idx="31">
                  <c:v>0.82499999999999996</c:v>
                </c:pt>
                <c:pt idx="32">
                  <c:v>0.82499999999999996</c:v>
                </c:pt>
                <c:pt idx="33">
                  <c:v>0.82499999999999996</c:v>
                </c:pt>
                <c:pt idx="34">
                  <c:v>0.82499999999999996</c:v>
                </c:pt>
                <c:pt idx="35">
                  <c:v>0.82499999999999996</c:v>
                </c:pt>
                <c:pt idx="36">
                  <c:v>0.82499999999999996</c:v>
                </c:pt>
                <c:pt idx="37">
                  <c:v>0.82499999999999996</c:v>
                </c:pt>
                <c:pt idx="38">
                  <c:v>0.82499999999999996</c:v>
                </c:pt>
                <c:pt idx="39">
                  <c:v>2.8250000000000002</c:v>
                </c:pt>
                <c:pt idx="40">
                  <c:v>2.8762820512820513</c:v>
                </c:pt>
                <c:pt idx="41">
                  <c:v>2.9275641025641024</c:v>
                </c:pt>
                <c:pt idx="42">
                  <c:v>2.9788461538461535</c:v>
                </c:pt>
                <c:pt idx="43">
                  <c:v>3.0301282051282046</c:v>
                </c:pt>
                <c:pt idx="44">
                  <c:v>3.0814102564102566</c:v>
                </c:pt>
                <c:pt idx="45">
                  <c:v>3.1326923076923077</c:v>
                </c:pt>
                <c:pt idx="46">
                  <c:v>3.1839743589743588</c:v>
                </c:pt>
                <c:pt idx="47">
                  <c:v>3.2352564102564099</c:v>
                </c:pt>
                <c:pt idx="48">
                  <c:v>3.2865384615384619</c:v>
                </c:pt>
                <c:pt idx="49">
                  <c:v>3.337820512820513</c:v>
                </c:pt>
                <c:pt idx="50">
                  <c:v>3.3891025641025641</c:v>
                </c:pt>
                <c:pt idx="51">
                  <c:v>3.4403846153846152</c:v>
                </c:pt>
                <c:pt idx="52">
                  <c:v>3.4916666666666663</c:v>
                </c:pt>
                <c:pt idx="53">
                  <c:v>3.5429487179487174</c:v>
                </c:pt>
                <c:pt idx="54">
                  <c:v>3.5942307692307693</c:v>
                </c:pt>
                <c:pt idx="55">
                  <c:v>3.6455128205128204</c:v>
                </c:pt>
                <c:pt idx="56">
                  <c:v>3.6967948717948715</c:v>
                </c:pt>
                <c:pt idx="57">
                  <c:v>3.7480769230769235</c:v>
                </c:pt>
                <c:pt idx="58">
                  <c:v>3.7993589743589746</c:v>
                </c:pt>
                <c:pt idx="59">
                  <c:v>3.8506410256410257</c:v>
                </c:pt>
                <c:pt idx="60">
                  <c:v>3.9019230769230768</c:v>
                </c:pt>
                <c:pt idx="61">
                  <c:v>3.9532051282051279</c:v>
                </c:pt>
                <c:pt idx="62">
                  <c:v>4.004487179487179</c:v>
                </c:pt>
                <c:pt idx="63">
                  <c:v>4.0557692307692301</c:v>
                </c:pt>
                <c:pt idx="64">
                  <c:v>4.1070512820512821</c:v>
                </c:pt>
                <c:pt idx="65">
                  <c:v>4.1583333333333332</c:v>
                </c:pt>
                <c:pt idx="66">
                  <c:v>4.2096153846153843</c:v>
                </c:pt>
                <c:pt idx="67">
                  <c:v>4.2608974358974363</c:v>
                </c:pt>
                <c:pt idx="68">
                  <c:v>4.3121794871794874</c:v>
                </c:pt>
                <c:pt idx="69">
                  <c:v>4.3634615384615385</c:v>
                </c:pt>
                <c:pt idx="70">
                  <c:v>4.4147435897435896</c:v>
                </c:pt>
                <c:pt idx="71">
                  <c:v>4.4660256410256407</c:v>
                </c:pt>
                <c:pt idx="72">
                  <c:v>4.5173076923076918</c:v>
                </c:pt>
                <c:pt idx="73">
                  <c:v>4.5685897435897429</c:v>
                </c:pt>
                <c:pt idx="74">
                  <c:v>4.6198717948717949</c:v>
                </c:pt>
                <c:pt idx="75">
                  <c:v>4.671153846153846</c:v>
                </c:pt>
                <c:pt idx="76">
                  <c:v>4.7224358974358971</c:v>
                </c:pt>
                <c:pt idx="77">
                  <c:v>4.7737179487179491</c:v>
                </c:pt>
                <c:pt idx="78">
                  <c:v>4.8250000000000002</c:v>
                </c:pt>
                <c:pt idx="79">
                  <c:v>4.8762820512820513</c:v>
                </c:pt>
                <c:pt idx="80">
                  <c:v>4.9275641025641033</c:v>
                </c:pt>
                <c:pt idx="81">
                  <c:v>4.9788461538461544</c:v>
                </c:pt>
                <c:pt idx="82">
                  <c:v>5.0301282051282055</c:v>
                </c:pt>
                <c:pt idx="83">
                  <c:v>5.0814102564102566</c:v>
                </c:pt>
                <c:pt idx="84">
                  <c:v>5.1326923076923077</c:v>
                </c:pt>
                <c:pt idx="85">
                  <c:v>5.1839743589743588</c:v>
                </c:pt>
                <c:pt idx="86">
                  <c:v>5.2352564102564099</c:v>
                </c:pt>
                <c:pt idx="87">
                  <c:v>5.2865384615384619</c:v>
                </c:pt>
                <c:pt idx="88">
                  <c:v>5.337820512820513</c:v>
                </c:pt>
                <c:pt idx="89">
                  <c:v>5.3891025641025641</c:v>
                </c:pt>
                <c:pt idx="90">
                  <c:v>5.440384615384616</c:v>
                </c:pt>
                <c:pt idx="91">
                  <c:v>5.4916666666666671</c:v>
                </c:pt>
                <c:pt idx="92">
                  <c:v>5.5429487179487182</c:v>
                </c:pt>
                <c:pt idx="93">
                  <c:v>5.5942307692307693</c:v>
                </c:pt>
                <c:pt idx="94">
                  <c:v>5.6455128205128204</c:v>
                </c:pt>
                <c:pt idx="95">
                  <c:v>5.6967948717948715</c:v>
                </c:pt>
                <c:pt idx="96">
                  <c:v>5.7480769230769235</c:v>
                </c:pt>
                <c:pt idx="97">
                  <c:v>5.7993589743589746</c:v>
                </c:pt>
                <c:pt idx="98">
                  <c:v>5.8506410256410257</c:v>
                </c:pt>
                <c:pt idx="99">
                  <c:v>5.9019230769230768</c:v>
                </c:pt>
                <c:pt idx="100">
                  <c:v>5.9532051282051288</c:v>
                </c:pt>
                <c:pt idx="101">
                  <c:v>6.0044871794871799</c:v>
                </c:pt>
                <c:pt idx="102">
                  <c:v>6.055769230769231</c:v>
                </c:pt>
              </c:numCache>
            </c:numRef>
          </c:yVal>
          <c:smooth val="1"/>
          <c:extLst>
            <c:ext xmlns:c16="http://schemas.microsoft.com/office/drawing/2014/chart" uri="{C3380CC4-5D6E-409C-BE32-E72D297353CC}">
              <c16:uniqueId val="{00000001-599F-4709-A81F-37F79BC45DA4}"/>
            </c:ext>
          </c:extLst>
        </c:ser>
        <c:dLbls>
          <c:showLegendKey val="0"/>
          <c:showVal val="0"/>
          <c:showCatName val="0"/>
          <c:showSerName val="0"/>
          <c:showPercent val="0"/>
          <c:showBubbleSize val="0"/>
        </c:dLbls>
        <c:axId val="161790976"/>
        <c:axId val="161793152"/>
      </c:scatterChart>
      <c:valAx>
        <c:axId val="16179097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61793152"/>
        <c:crosses val="autoZero"/>
        <c:crossBetween val="midCat"/>
      </c:valAx>
      <c:valAx>
        <c:axId val="16179315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6179097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hyperlink" Target="https://training.ti.com/node/1133673"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raining.ti.com/node/1133677" TargetMode="External"/><Relationship Id="rId2" Type="http://schemas.openxmlformats.org/officeDocument/2006/relationships/image" Target="../media/image2.png"/><Relationship Id="rId16" Type="http://schemas.openxmlformats.org/officeDocument/2006/relationships/image" Target="../media/image11.png"/><Relationship Id="rId1" Type="http://schemas.openxmlformats.org/officeDocument/2006/relationships/hyperlink" Target="http://www.ti.com" TargetMode="External"/><Relationship Id="rId6" Type="http://schemas.openxmlformats.org/officeDocument/2006/relationships/chart" Target="../charts/chart2.xm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10.png"/><Relationship Id="rId10" Type="http://schemas.openxmlformats.org/officeDocument/2006/relationships/hyperlink" Target="https://training.ti.com/node/1133664" TargetMode="External"/><Relationship Id="rId4" Type="http://schemas.openxmlformats.org/officeDocument/2006/relationships/chart" Target="../charts/chart1.xml"/><Relationship Id="rId9" Type="http://schemas.openxmlformats.org/officeDocument/2006/relationships/image" Target="../media/image6.png"/><Relationship Id="rId1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This worksheet provides reasonable understanding on the Mosfet SOA margin while starting up with dvdt control.Tolerances of the components are not included in the calculations. See the Instructions tab for additional information.</a:t>
          </a:r>
        </a:p>
      </xdr:txBody>
    </xdr:sp>
    <xdr:clientData/>
  </xdr:twoCellAnchor>
  <xdr:twoCellAnchor>
    <xdr:from>
      <xdr:col>39</xdr:col>
      <xdr:colOff>0</xdr:colOff>
      <xdr:row>57</xdr:row>
      <xdr:rowOff>0</xdr:rowOff>
    </xdr:from>
    <xdr:to>
      <xdr:col>39</xdr:col>
      <xdr:colOff>0</xdr:colOff>
      <xdr:row>65</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47</xdr:row>
      <xdr:rowOff>76201</xdr:rowOff>
    </xdr:from>
    <xdr:to>
      <xdr:col>38</xdr:col>
      <xdr:colOff>209550</xdr:colOff>
      <xdr:row>63</xdr:row>
      <xdr:rowOff>107950</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53340</xdr:colOff>
      <xdr:row>46</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53</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67</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335280</xdr:colOff>
      <xdr:row>91</xdr:row>
      <xdr:rowOff>120015</xdr:rowOff>
    </xdr:from>
    <xdr:to>
      <xdr:col>10</xdr:col>
      <xdr:colOff>603849</xdr:colOff>
      <xdr:row>101</xdr:row>
      <xdr:rowOff>100642</xdr:rowOff>
    </xdr:to>
    <xdr:grpSp>
      <xdr:nvGrpSpPr>
        <xdr:cNvPr id="7" name="Group 6">
          <a:extLst>
            <a:ext uri="{FF2B5EF4-FFF2-40B4-BE49-F238E27FC236}">
              <a16:creationId xmlns:a16="http://schemas.microsoft.com/office/drawing/2014/main" id="{C3C0FEE9-E327-4649-9154-7DE736DC91EE}"/>
            </a:ext>
          </a:extLst>
        </xdr:cNvPr>
        <xdr:cNvGrpSpPr/>
      </xdr:nvGrpSpPr>
      <xdr:grpSpPr>
        <a:xfrm>
          <a:off x="8275955" y="11258550"/>
          <a:ext cx="2202144" cy="0"/>
          <a:chOff x="8153609" y="18606344"/>
          <a:chExt cx="2173996" cy="1796418"/>
        </a:xfrm>
      </xdr:grpSpPr>
      <xdr:pic>
        <xdr:nvPicPr>
          <xdr:cNvPr id="35" name="Picture 34">
            <a:extLst>
              <a:ext uri="{FF2B5EF4-FFF2-40B4-BE49-F238E27FC236}">
                <a16:creationId xmlns:a16="http://schemas.microsoft.com/office/drawing/2014/main" id="{25599EE1-4AD1-41F5-B87D-D7381E7E592B}"/>
              </a:ext>
            </a:extLst>
          </xdr:cNvPr>
          <xdr:cNvPicPr>
            <a:picLocks noChangeAspect="1"/>
          </xdr:cNvPicPr>
        </xdr:nvPicPr>
        <xdr:blipFill>
          <a:blip xmlns:r="http://schemas.openxmlformats.org/officeDocument/2006/relationships" r:embed="rId5"/>
          <a:stretch>
            <a:fillRect/>
          </a:stretch>
        </xdr:blipFill>
        <xdr:spPr>
          <a:xfrm>
            <a:off x="8153609" y="18606344"/>
            <a:ext cx="2173996" cy="1796418"/>
          </a:xfrm>
          <a:prstGeom prst="rect">
            <a:avLst/>
          </a:prstGeom>
        </xdr:spPr>
      </xdr:pic>
      <xdr:sp macro="" textlink="">
        <xdr:nvSpPr>
          <xdr:cNvPr id="6" name="TextBox 5">
            <a:extLst>
              <a:ext uri="{FF2B5EF4-FFF2-40B4-BE49-F238E27FC236}">
                <a16:creationId xmlns:a16="http://schemas.microsoft.com/office/drawing/2014/main" id="{D83CBE66-5ABA-4591-A7A1-E64EC00DDB9F}"/>
              </a:ext>
            </a:extLst>
          </xdr:cNvPr>
          <xdr:cNvSpPr txBox="1"/>
        </xdr:nvSpPr>
        <xdr:spPr>
          <a:xfrm>
            <a:off x="9340850" y="19230215"/>
            <a:ext cx="379293" cy="288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R2</a:t>
            </a:r>
          </a:p>
        </xdr:txBody>
      </xdr:sp>
    </xdr:grpSp>
    <xdr:clientData/>
  </xdr:twoCellAnchor>
  <xdr:twoCellAnchor>
    <xdr:from>
      <xdr:col>7</xdr:col>
      <xdr:colOff>71888</xdr:colOff>
      <xdr:row>65</xdr:row>
      <xdr:rowOff>144779</xdr:rowOff>
    </xdr:from>
    <xdr:to>
      <xdr:col>38</xdr:col>
      <xdr:colOff>686521</xdr:colOff>
      <xdr:row>78</xdr:row>
      <xdr:rowOff>7187</xdr:rowOff>
    </xdr:to>
    <xdr:graphicFrame macro="">
      <xdr:nvGraphicFramePr>
        <xdr:cNvPr id="24" name="Chart 23">
          <a:extLst>
            <a:ext uri="{FF2B5EF4-FFF2-40B4-BE49-F238E27FC236}">
              <a16:creationId xmlns:a16="http://schemas.microsoft.com/office/drawing/2014/main" id="{DF0A6787-F01E-47FA-AF39-AB8609634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118572</xdr:colOff>
      <xdr:row>106</xdr:row>
      <xdr:rowOff>63487</xdr:rowOff>
    </xdr:from>
    <xdr:to>
      <xdr:col>4</xdr:col>
      <xdr:colOff>934528</xdr:colOff>
      <xdr:row>119</xdr:row>
      <xdr:rowOff>88074</xdr:rowOff>
    </xdr:to>
    <xdr:grpSp>
      <xdr:nvGrpSpPr>
        <xdr:cNvPr id="17" name="Group 16">
          <a:extLst>
            <a:ext uri="{FF2B5EF4-FFF2-40B4-BE49-F238E27FC236}">
              <a16:creationId xmlns:a16="http://schemas.microsoft.com/office/drawing/2014/main" id="{8DC9FF2B-F2F9-4E19-8CCE-6F9DAAFE475E}"/>
            </a:ext>
          </a:extLst>
        </xdr:cNvPr>
        <xdr:cNvGrpSpPr/>
      </xdr:nvGrpSpPr>
      <xdr:grpSpPr>
        <a:xfrm>
          <a:off x="150322" y="11258550"/>
          <a:ext cx="5137131" cy="0"/>
          <a:chOff x="147327" y="21536072"/>
          <a:chExt cx="5057276" cy="2526247"/>
        </a:xfrm>
      </xdr:grpSpPr>
      <xdr:pic>
        <xdr:nvPicPr>
          <xdr:cNvPr id="13" name="Picture 12">
            <a:extLst>
              <a:ext uri="{FF2B5EF4-FFF2-40B4-BE49-F238E27FC236}">
                <a16:creationId xmlns:a16="http://schemas.microsoft.com/office/drawing/2014/main" id="{24C63187-AF1A-488F-A4CB-BCA4D4367A3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47327" y="21536072"/>
            <a:ext cx="5057276" cy="2526247"/>
          </a:xfrm>
          <a:prstGeom prst="rect">
            <a:avLst/>
          </a:prstGeom>
        </xdr:spPr>
      </xdr:pic>
      <xdr:sp macro="" textlink="">
        <xdr:nvSpPr>
          <xdr:cNvPr id="15" name="TextBox 14">
            <a:extLst>
              <a:ext uri="{FF2B5EF4-FFF2-40B4-BE49-F238E27FC236}">
                <a16:creationId xmlns:a16="http://schemas.microsoft.com/office/drawing/2014/main" id="{AD0F7310-B833-4978-850B-41473D2D210E}"/>
              </a:ext>
            </a:extLst>
          </xdr:cNvPr>
          <xdr:cNvSpPr txBox="1"/>
        </xdr:nvSpPr>
        <xdr:spPr>
          <a:xfrm>
            <a:off x="265982" y="21954226"/>
            <a:ext cx="287546" cy="186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Z1</a:t>
            </a:r>
          </a:p>
        </xdr:txBody>
      </xdr:sp>
    </xdr:grpSp>
    <xdr:clientData/>
  </xdr:twoCellAnchor>
  <xdr:twoCellAnchor editAs="oneCell">
    <xdr:from>
      <xdr:col>1</xdr:col>
      <xdr:colOff>7620</xdr:colOff>
      <xdr:row>49</xdr:row>
      <xdr:rowOff>114300</xdr:rowOff>
    </xdr:from>
    <xdr:to>
      <xdr:col>1</xdr:col>
      <xdr:colOff>1878678</xdr:colOff>
      <xdr:row>55</xdr:row>
      <xdr:rowOff>45720</xdr:rowOff>
    </xdr:to>
    <xdr:pic>
      <xdr:nvPicPr>
        <xdr:cNvPr id="26" name="Picture 25">
          <a:hlinkClick xmlns:r="http://schemas.openxmlformats.org/officeDocument/2006/relationships" r:id="rId8"/>
          <a:extLst>
            <a:ext uri="{FF2B5EF4-FFF2-40B4-BE49-F238E27FC236}">
              <a16:creationId xmlns:a16="http://schemas.microsoft.com/office/drawing/2014/main" id="{37F4A645-F28B-4CFE-A26A-73340EA67723}"/>
            </a:ext>
          </a:extLst>
        </xdr:cNvPr>
        <xdr:cNvPicPr>
          <a:picLocks noChangeAspect="1"/>
        </xdr:cNvPicPr>
      </xdr:nvPicPr>
      <xdr:blipFill>
        <a:blip xmlns:r="http://schemas.openxmlformats.org/officeDocument/2006/relationships" r:embed="rId9"/>
        <a:stretch>
          <a:fillRect/>
        </a:stretch>
      </xdr:blipFill>
      <xdr:spPr>
        <a:xfrm>
          <a:off x="38100" y="5501640"/>
          <a:ext cx="1864708" cy="1089660"/>
        </a:xfrm>
        <a:prstGeom prst="rect">
          <a:avLst/>
        </a:prstGeom>
      </xdr:spPr>
    </xdr:pic>
    <xdr:clientData/>
  </xdr:twoCellAnchor>
  <xdr:twoCellAnchor editAs="oneCell">
    <xdr:from>
      <xdr:col>1</xdr:col>
      <xdr:colOff>15240</xdr:colOff>
      <xdr:row>67</xdr:row>
      <xdr:rowOff>76200</xdr:rowOff>
    </xdr:from>
    <xdr:to>
      <xdr:col>1</xdr:col>
      <xdr:colOff>1991965</xdr:colOff>
      <xdr:row>73</xdr:row>
      <xdr:rowOff>134054</xdr:rowOff>
    </xdr:to>
    <xdr:pic>
      <xdr:nvPicPr>
        <xdr:cNvPr id="27" name="Picture 26">
          <a:hlinkClick xmlns:r="http://schemas.openxmlformats.org/officeDocument/2006/relationships" r:id="rId10"/>
          <a:extLst>
            <a:ext uri="{FF2B5EF4-FFF2-40B4-BE49-F238E27FC236}">
              <a16:creationId xmlns:a16="http://schemas.microsoft.com/office/drawing/2014/main" id="{472C6922-F9E6-46A2-97A7-F67DE950C1D1}"/>
            </a:ext>
          </a:extLst>
        </xdr:cNvPr>
        <xdr:cNvPicPr>
          <a:picLocks noChangeAspect="1"/>
        </xdr:cNvPicPr>
      </xdr:nvPicPr>
      <xdr:blipFill>
        <a:blip xmlns:r="http://schemas.openxmlformats.org/officeDocument/2006/relationships" r:embed="rId11"/>
        <a:stretch>
          <a:fillRect/>
        </a:stretch>
      </xdr:blipFill>
      <xdr:spPr>
        <a:xfrm>
          <a:off x="45720" y="8999220"/>
          <a:ext cx="1976725" cy="1155134"/>
        </a:xfrm>
        <a:prstGeom prst="rect">
          <a:avLst/>
        </a:prstGeom>
      </xdr:spPr>
    </xdr:pic>
    <xdr:clientData/>
  </xdr:twoCellAnchor>
  <xdr:twoCellAnchor editAs="oneCell">
    <xdr:from>
      <xdr:col>1</xdr:col>
      <xdr:colOff>53340</xdr:colOff>
      <xdr:row>14</xdr:row>
      <xdr:rowOff>182880</xdr:rowOff>
    </xdr:from>
    <xdr:to>
      <xdr:col>1</xdr:col>
      <xdr:colOff>1801730</xdr:colOff>
      <xdr:row>21</xdr:row>
      <xdr:rowOff>179301</xdr:rowOff>
    </xdr:to>
    <xdr:pic>
      <xdr:nvPicPr>
        <xdr:cNvPr id="29" name="Picture 28">
          <a:hlinkClick xmlns:r="http://schemas.openxmlformats.org/officeDocument/2006/relationships" r:id="rId12"/>
          <a:extLst>
            <a:ext uri="{FF2B5EF4-FFF2-40B4-BE49-F238E27FC236}">
              <a16:creationId xmlns:a16="http://schemas.microsoft.com/office/drawing/2014/main" id="{B92F952D-6DB1-4628-91B1-0F71D05D08D2}"/>
            </a:ext>
          </a:extLst>
        </xdr:cNvPr>
        <xdr:cNvPicPr>
          <a:picLocks noChangeAspect="1"/>
        </xdr:cNvPicPr>
      </xdr:nvPicPr>
      <xdr:blipFill>
        <a:blip xmlns:r="http://schemas.openxmlformats.org/officeDocument/2006/relationships" r:embed="rId13"/>
        <a:stretch>
          <a:fillRect/>
        </a:stretch>
      </xdr:blipFill>
      <xdr:spPr>
        <a:xfrm>
          <a:off x="83820" y="3482340"/>
          <a:ext cx="1748390" cy="948921"/>
        </a:xfrm>
        <a:prstGeom prst="rect">
          <a:avLst/>
        </a:prstGeom>
      </xdr:spPr>
    </xdr:pic>
    <xdr:clientData/>
  </xdr:twoCellAnchor>
  <xdr:twoCellAnchor editAs="oneCell">
    <xdr:from>
      <xdr:col>8</xdr:col>
      <xdr:colOff>153682</xdr:colOff>
      <xdr:row>1</xdr:row>
      <xdr:rowOff>68580</xdr:rowOff>
    </xdr:from>
    <xdr:to>
      <xdr:col>10</xdr:col>
      <xdr:colOff>492147</xdr:colOff>
      <xdr:row>12</xdr:row>
      <xdr:rowOff>125242</xdr:rowOff>
    </xdr:to>
    <xdr:pic>
      <xdr:nvPicPr>
        <xdr:cNvPr id="9" name="Picture 8">
          <a:extLst>
            <a:ext uri="{FF2B5EF4-FFF2-40B4-BE49-F238E27FC236}">
              <a16:creationId xmlns:a16="http://schemas.microsoft.com/office/drawing/2014/main" id="{50EB0F6C-D5FC-42CD-8E73-17A1AAC7A63B}"/>
            </a:ext>
          </a:extLst>
        </xdr:cNvPr>
        <xdr:cNvPicPr>
          <a:picLocks noChangeAspect="1"/>
        </xdr:cNvPicPr>
      </xdr:nvPicPr>
      <xdr:blipFill>
        <a:blip xmlns:r="http://schemas.openxmlformats.org/officeDocument/2006/relationships" r:embed="rId14"/>
        <a:stretch>
          <a:fillRect/>
        </a:stretch>
      </xdr:blipFill>
      <xdr:spPr>
        <a:xfrm>
          <a:off x="7956562" y="838200"/>
          <a:ext cx="2237198" cy="2205502"/>
        </a:xfrm>
        <a:prstGeom prst="rect">
          <a:avLst/>
        </a:prstGeom>
        <a:ln w="38100">
          <a:solidFill>
            <a:schemeClr val="tx2">
              <a:lumMod val="60000"/>
              <a:lumOff val="40000"/>
            </a:schemeClr>
          </a:solidFill>
        </a:ln>
      </xdr:spPr>
    </xdr:pic>
    <xdr:clientData/>
  </xdr:twoCellAnchor>
  <xdr:twoCellAnchor editAs="oneCell">
    <xdr:from>
      <xdr:col>45</xdr:col>
      <xdr:colOff>56213</xdr:colOff>
      <xdr:row>0</xdr:row>
      <xdr:rowOff>420761</xdr:rowOff>
    </xdr:from>
    <xdr:to>
      <xdr:col>48</xdr:col>
      <xdr:colOff>419099</xdr:colOff>
      <xdr:row>12</xdr:row>
      <xdr:rowOff>57559</xdr:rowOff>
    </xdr:to>
    <xdr:pic>
      <xdr:nvPicPr>
        <xdr:cNvPr id="3" name="Picture 2">
          <a:extLst>
            <a:ext uri="{FF2B5EF4-FFF2-40B4-BE49-F238E27FC236}">
              <a16:creationId xmlns:a16="http://schemas.microsoft.com/office/drawing/2014/main" id="{111955C3-6D1F-4F5B-A0BD-4EF7C0AEB3A6}"/>
            </a:ext>
          </a:extLst>
        </xdr:cNvPr>
        <xdr:cNvPicPr>
          <a:picLocks noChangeAspect="1"/>
        </xdr:cNvPicPr>
      </xdr:nvPicPr>
      <xdr:blipFill>
        <a:blip xmlns:r="http://schemas.openxmlformats.org/officeDocument/2006/relationships" r:embed="rId15"/>
        <a:stretch>
          <a:fillRect/>
        </a:stretch>
      </xdr:blipFill>
      <xdr:spPr>
        <a:xfrm>
          <a:off x="12867338" y="420761"/>
          <a:ext cx="3077511" cy="2532398"/>
        </a:xfrm>
        <a:prstGeom prst="rect">
          <a:avLst/>
        </a:prstGeom>
        <a:ln w="38100">
          <a:solidFill>
            <a:schemeClr val="accent6">
              <a:lumMod val="60000"/>
              <a:lumOff val="40000"/>
            </a:schemeClr>
          </a:solidFill>
        </a:ln>
      </xdr:spPr>
    </xdr:pic>
    <xdr:clientData/>
  </xdr:twoCellAnchor>
  <xdr:twoCellAnchor editAs="oneCell">
    <xdr:from>
      <xdr:col>45</xdr:col>
      <xdr:colOff>85725</xdr:colOff>
      <xdr:row>12</xdr:row>
      <xdr:rowOff>177800</xdr:rowOff>
    </xdr:from>
    <xdr:to>
      <xdr:col>48</xdr:col>
      <xdr:colOff>473075</xdr:colOff>
      <xdr:row>49</xdr:row>
      <xdr:rowOff>125891</xdr:rowOff>
    </xdr:to>
    <xdr:pic>
      <xdr:nvPicPr>
        <xdr:cNvPr id="8" name="Picture 7">
          <a:extLst>
            <a:ext uri="{FF2B5EF4-FFF2-40B4-BE49-F238E27FC236}">
              <a16:creationId xmlns:a16="http://schemas.microsoft.com/office/drawing/2014/main" id="{9A1F8F33-C7D5-4165-ACF2-635927D1D0BE}"/>
            </a:ext>
          </a:extLst>
        </xdr:cNvPr>
        <xdr:cNvPicPr>
          <a:picLocks noChangeAspect="1"/>
        </xdr:cNvPicPr>
      </xdr:nvPicPr>
      <xdr:blipFill>
        <a:blip xmlns:r="http://schemas.openxmlformats.org/officeDocument/2006/relationships" r:embed="rId16"/>
        <a:stretch>
          <a:fillRect/>
        </a:stretch>
      </xdr:blipFill>
      <xdr:spPr>
        <a:xfrm>
          <a:off x="12896850" y="3073400"/>
          <a:ext cx="3101975" cy="2424591"/>
        </a:xfrm>
        <a:prstGeom prst="rect">
          <a:avLst/>
        </a:prstGeom>
        <a:ln w="38100">
          <a:solidFill>
            <a:schemeClr val="bg2">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182</xdr:row>
      <xdr:rowOff>133350</xdr:rowOff>
    </xdr:from>
    <xdr:to>
      <xdr:col>9</xdr:col>
      <xdr:colOff>276225</xdr:colOff>
      <xdr:row>193</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500482/AppData/Local/Microsoft/Windows/INetCache/Content.Outlook/W324GN3S/TPS4811-Q1_Design_Calculator_Rev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
      <sheetName val="Res EIA Tables"/>
      <sheetName val="Cap Tables"/>
      <sheetName val="Nretry"/>
    </sheetNames>
    <sheetDataSet>
      <sheetData sheetId="0" refreshError="1">
        <row r="6">
          <cell r="D6">
            <v>48</v>
          </cell>
        </row>
        <row r="7">
          <cell r="D7">
            <v>24</v>
          </cell>
        </row>
        <row r="8">
          <cell r="D8">
            <v>60</v>
          </cell>
        </row>
        <row r="9">
          <cell r="D9">
            <v>440</v>
          </cell>
        </row>
        <row r="11">
          <cell r="D11">
            <v>422.4</v>
          </cell>
        </row>
        <row r="12">
          <cell r="D12">
            <v>42</v>
          </cell>
        </row>
        <row r="13">
          <cell r="D13">
            <v>50.4</v>
          </cell>
        </row>
        <row r="14">
          <cell r="D14">
            <v>60.48</v>
          </cell>
        </row>
        <row r="16">
          <cell r="D16">
            <v>1000</v>
          </cell>
        </row>
        <row r="18">
          <cell r="D18">
            <v>3.3</v>
          </cell>
        </row>
        <row r="22">
          <cell r="D22">
            <v>100</v>
          </cell>
        </row>
        <row r="25">
          <cell r="D25">
            <v>48.7</v>
          </cell>
        </row>
        <row r="26">
          <cell r="D26">
            <v>49.261601642710467</v>
          </cell>
        </row>
        <row r="32">
          <cell r="D32">
            <v>1.43</v>
          </cell>
        </row>
        <row r="37">
          <cell r="D37">
            <v>15</v>
          </cell>
        </row>
        <row r="43">
          <cell r="D43">
            <v>68</v>
          </cell>
        </row>
        <row r="61">
          <cell r="D61">
            <v>100</v>
          </cell>
        </row>
        <row r="104">
          <cell r="D104">
            <v>1.18</v>
          </cell>
        </row>
        <row r="105">
          <cell r="D105">
            <v>1.1200000000000001</v>
          </cell>
        </row>
        <row r="106">
          <cell r="D106">
            <v>1.18</v>
          </cell>
        </row>
        <row r="107">
          <cell r="D107">
            <v>1.1200000000000001</v>
          </cell>
        </row>
        <row r="108">
          <cell r="D108">
            <v>8</v>
          </cell>
        </row>
        <row r="109">
          <cell r="D109">
            <v>12</v>
          </cell>
        </row>
        <row r="110">
          <cell r="D110">
            <v>100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refreshError="1"/>
      <sheetData sheetId="1" refreshError="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training.ti.com/node/1133677" TargetMode="External"/><Relationship Id="rId7" Type="http://schemas.openxmlformats.org/officeDocument/2006/relationships/vmlDrawing" Target="../drawings/vmlDrawing1.vml"/><Relationship Id="rId2" Type="http://schemas.openxmlformats.org/officeDocument/2006/relationships/hyperlink" Target="https://training.ti.com/node/1133664" TargetMode="External"/><Relationship Id="rId1" Type="http://schemas.openxmlformats.org/officeDocument/2006/relationships/hyperlink" Target="https://training.ti.com/node/1133673"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training.ti.com/node/11336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www.rfcafe.com/references/electrical/capacitor-value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4"/>
  <sheetViews>
    <sheetView workbookViewId="0">
      <selection activeCell="B31" sqref="B31:M93"/>
    </sheetView>
  </sheetViews>
  <sheetFormatPr defaultRowHeight="13.2" x14ac:dyDescent="0.25"/>
  <sheetData>
    <row r="1" spans="1:16" ht="13.8" thickTop="1" x14ac:dyDescent="0.25">
      <c r="A1" s="131"/>
      <c r="B1" s="132"/>
      <c r="C1" s="132"/>
      <c r="D1" s="132"/>
      <c r="E1" s="132"/>
      <c r="F1" s="132"/>
      <c r="G1" s="132"/>
      <c r="H1" s="132"/>
      <c r="I1" s="132"/>
      <c r="J1" s="132"/>
      <c r="K1" s="132"/>
      <c r="L1" s="132"/>
      <c r="M1" s="132"/>
      <c r="N1" s="132"/>
      <c r="O1" s="132"/>
      <c r="P1" s="133"/>
    </row>
    <row r="2" spans="1:16" x14ac:dyDescent="0.25">
      <c r="A2" s="134"/>
      <c r="B2" s="135"/>
      <c r="C2" s="135"/>
      <c r="D2" s="135"/>
      <c r="E2" s="135"/>
      <c r="F2" s="135"/>
      <c r="G2" s="135"/>
      <c r="H2" s="135"/>
      <c r="I2" s="135"/>
      <c r="J2" s="135"/>
      <c r="K2" s="135"/>
      <c r="L2" s="135"/>
      <c r="M2" s="135"/>
      <c r="N2" s="135"/>
      <c r="O2" s="135"/>
      <c r="P2" s="136"/>
    </row>
    <row r="3" spans="1:16" ht="30" x14ac:dyDescent="0.5">
      <c r="A3" s="134"/>
      <c r="B3" s="135"/>
      <c r="C3" s="135"/>
      <c r="D3" s="137"/>
      <c r="E3" s="135"/>
      <c r="F3" s="135"/>
      <c r="G3" s="135"/>
      <c r="H3" s="135"/>
      <c r="I3" s="135"/>
      <c r="J3" s="135"/>
      <c r="K3" s="135"/>
      <c r="L3" s="138"/>
      <c r="M3" s="135"/>
      <c r="N3" s="135"/>
      <c r="O3" s="135"/>
      <c r="P3" s="136"/>
    </row>
    <row r="4" spans="1:16" ht="22.8" x14ac:dyDescent="0.4">
      <c r="A4" s="134"/>
      <c r="B4" s="135"/>
      <c r="C4" s="135"/>
      <c r="D4" s="139"/>
      <c r="E4" s="135"/>
      <c r="F4" s="135"/>
      <c r="G4" s="135"/>
      <c r="H4" s="135"/>
      <c r="I4" s="135"/>
      <c r="J4" s="135"/>
      <c r="K4" s="135"/>
      <c r="L4" s="135"/>
      <c r="M4" s="135"/>
      <c r="N4" s="135"/>
      <c r="O4" s="135"/>
      <c r="P4" s="136"/>
    </row>
    <row r="5" spans="1:16" x14ac:dyDescent="0.25">
      <c r="A5" s="134"/>
      <c r="B5" s="135"/>
      <c r="C5" s="135"/>
      <c r="D5" s="135"/>
      <c r="E5" s="135"/>
      <c r="F5" s="135"/>
      <c r="G5" s="135"/>
      <c r="H5" s="135"/>
      <c r="I5" s="135"/>
      <c r="J5" s="135"/>
      <c r="K5" s="135"/>
      <c r="L5" s="135"/>
      <c r="M5" s="135"/>
      <c r="N5" s="135"/>
      <c r="O5" s="135"/>
      <c r="P5" s="136"/>
    </row>
    <row r="6" spans="1:16" x14ac:dyDescent="0.25">
      <c r="A6" s="134"/>
      <c r="B6" s="135"/>
      <c r="C6" s="135"/>
      <c r="D6" s="135"/>
      <c r="E6" s="135"/>
      <c r="F6" s="135"/>
      <c r="G6" s="135"/>
      <c r="H6" s="135"/>
      <c r="I6" s="135"/>
      <c r="J6" s="135"/>
      <c r="K6" s="135"/>
      <c r="L6" s="135"/>
      <c r="M6" s="135"/>
      <c r="N6" s="135"/>
      <c r="O6" s="135"/>
      <c r="P6" s="136"/>
    </row>
    <row r="7" spans="1:16" ht="15.6" x14ac:dyDescent="0.3">
      <c r="A7" s="134"/>
      <c r="B7" s="135"/>
      <c r="C7" s="135"/>
      <c r="D7" s="135"/>
      <c r="E7" s="135"/>
      <c r="F7" s="135"/>
      <c r="G7" s="135"/>
      <c r="H7" s="135"/>
      <c r="I7" s="135"/>
      <c r="J7" s="135"/>
      <c r="K7" s="135"/>
      <c r="L7" s="135"/>
      <c r="M7" s="138" t="s">
        <v>409</v>
      </c>
      <c r="N7" s="135"/>
      <c r="O7" s="135"/>
      <c r="P7" s="136"/>
    </row>
    <row r="8" spans="1:16" ht="30" x14ac:dyDescent="0.5">
      <c r="A8" s="134"/>
      <c r="B8" s="137" t="s">
        <v>476</v>
      </c>
      <c r="C8" s="135"/>
      <c r="D8" s="135"/>
      <c r="E8" s="135"/>
      <c r="F8" s="135"/>
      <c r="G8" s="135"/>
      <c r="H8" s="135"/>
      <c r="I8" s="135"/>
      <c r="J8" s="135"/>
      <c r="K8" s="135"/>
      <c r="L8" s="135"/>
      <c r="M8" s="135"/>
      <c r="N8" s="135"/>
      <c r="O8" s="135"/>
      <c r="P8" s="136"/>
    </row>
    <row r="9" spans="1:16" x14ac:dyDescent="0.25">
      <c r="A9" s="134"/>
      <c r="B9" s="135"/>
      <c r="C9" s="135"/>
      <c r="D9" s="135"/>
      <c r="E9" s="135"/>
      <c r="F9" s="135"/>
      <c r="G9" s="135"/>
      <c r="H9" s="135"/>
      <c r="I9" s="135"/>
      <c r="J9" s="135"/>
      <c r="K9" s="135"/>
      <c r="L9" s="135"/>
      <c r="M9" s="135"/>
      <c r="N9" s="135"/>
      <c r="O9" s="135"/>
      <c r="P9" s="136"/>
    </row>
    <row r="10" spans="1:16" ht="20.399999999999999" x14ac:dyDescent="0.35">
      <c r="A10" s="134"/>
      <c r="B10" s="140" t="s">
        <v>349</v>
      </c>
      <c r="C10" s="141"/>
      <c r="D10" s="141"/>
      <c r="E10" s="141"/>
      <c r="F10" s="135"/>
      <c r="G10" s="135"/>
      <c r="H10" s="135"/>
      <c r="I10" s="135"/>
      <c r="J10" s="135"/>
      <c r="K10" s="135"/>
      <c r="L10" s="135"/>
      <c r="M10" s="135"/>
      <c r="N10" s="135"/>
      <c r="O10" s="135"/>
      <c r="P10" s="136"/>
    </row>
    <row r="11" spans="1:16" ht="13.8" x14ac:dyDescent="0.25">
      <c r="A11" s="134"/>
      <c r="B11" s="142" t="s">
        <v>350</v>
      </c>
      <c r="C11" s="143"/>
      <c r="D11" s="143"/>
      <c r="E11" s="143"/>
      <c r="F11" s="135"/>
      <c r="G11" s="135"/>
      <c r="H11" s="135"/>
      <c r="I11" s="135"/>
      <c r="J11" s="135"/>
      <c r="K11" s="135"/>
      <c r="L11" s="135"/>
      <c r="M11" s="135"/>
      <c r="N11" s="135"/>
      <c r="O11" s="135"/>
      <c r="P11" s="136"/>
    </row>
    <row r="12" spans="1:16" ht="13.8" x14ac:dyDescent="0.25">
      <c r="A12" s="134"/>
      <c r="B12" s="142" t="s">
        <v>351</v>
      </c>
      <c r="C12" s="143"/>
      <c r="D12" s="143"/>
      <c r="E12" s="143"/>
      <c r="F12" s="135"/>
      <c r="G12" s="135"/>
      <c r="H12" s="135"/>
      <c r="I12" s="135"/>
      <c r="J12" s="135"/>
      <c r="K12" s="135"/>
      <c r="L12" s="135"/>
      <c r="M12" s="135"/>
      <c r="N12" s="135"/>
      <c r="O12" s="135"/>
      <c r="P12" s="136"/>
    </row>
    <row r="13" spans="1:16" x14ac:dyDescent="0.25">
      <c r="A13" s="134"/>
      <c r="B13" s="141"/>
      <c r="C13" s="141"/>
      <c r="D13" s="141"/>
      <c r="E13" s="141"/>
      <c r="F13" s="135"/>
      <c r="G13" s="135"/>
      <c r="H13" s="135"/>
      <c r="I13" s="135"/>
      <c r="J13" s="135"/>
      <c r="K13" s="135"/>
      <c r="L13" s="135"/>
      <c r="M13" s="135"/>
      <c r="N13" s="135"/>
      <c r="O13" s="135"/>
      <c r="P13" s="136"/>
    </row>
    <row r="14" spans="1:16" x14ac:dyDescent="0.25">
      <c r="A14" s="134"/>
      <c r="B14" s="144" t="s">
        <v>352</v>
      </c>
      <c r="C14" s="141"/>
      <c r="D14" s="141"/>
      <c r="E14" s="141"/>
      <c r="F14" s="135"/>
      <c r="G14" s="135"/>
      <c r="H14" s="135"/>
      <c r="I14" s="135"/>
      <c r="J14" s="135"/>
      <c r="K14" s="135"/>
      <c r="L14" s="135"/>
      <c r="M14" s="135"/>
      <c r="N14" s="135"/>
      <c r="O14" s="135"/>
      <c r="P14" s="136"/>
    </row>
    <row r="15" spans="1:16" x14ac:dyDescent="0.25">
      <c r="A15" s="134"/>
      <c r="B15" s="145" t="s">
        <v>353</v>
      </c>
      <c r="C15" s="141"/>
      <c r="D15" s="141"/>
      <c r="E15" s="141"/>
      <c r="F15" s="135"/>
      <c r="G15" s="135"/>
      <c r="H15" s="135"/>
      <c r="I15" s="135"/>
      <c r="J15" s="135"/>
      <c r="K15" s="135"/>
      <c r="L15" s="135"/>
      <c r="M15" s="135"/>
      <c r="N15" s="135"/>
      <c r="O15" s="135"/>
      <c r="P15" s="136"/>
    </row>
    <row r="16" spans="1:16" hidden="1" x14ac:dyDescent="0.25">
      <c r="A16" s="134"/>
      <c r="B16" s="145" t="s">
        <v>354</v>
      </c>
      <c r="C16" s="141"/>
      <c r="D16" s="141"/>
      <c r="E16" s="141"/>
      <c r="F16" s="135"/>
      <c r="G16" s="135"/>
      <c r="H16" s="135"/>
      <c r="I16" s="135"/>
      <c r="J16" s="135"/>
      <c r="K16" s="135"/>
      <c r="L16" s="135"/>
      <c r="M16" s="135"/>
      <c r="N16" s="135"/>
      <c r="O16" s="135"/>
      <c r="P16" s="136"/>
    </row>
    <row r="17" spans="1:16" x14ac:dyDescent="0.25">
      <c r="A17" s="134"/>
      <c r="B17" s="145" t="s">
        <v>477</v>
      </c>
      <c r="C17" s="141"/>
      <c r="D17" s="141"/>
      <c r="E17" s="141"/>
      <c r="F17" s="135"/>
      <c r="G17" s="135"/>
      <c r="H17" s="135"/>
      <c r="I17" s="135"/>
      <c r="J17" s="135"/>
      <c r="K17" s="135"/>
      <c r="L17" s="135"/>
      <c r="M17" s="135"/>
      <c r="N17" s="135"/>
      <c r="O17" s="135"/>
      <c r="P17" s="136"/>
    </row>
    <row r="18" spans="1:16" x14ac:dyDescent="0.25">
      <c r="A18" s="134"/>
      <c r="B18" s="145" t="s">
        <v>478</v>
      </c>
      <c r="C18" s="141"/>
      <c r="D18" s="141"/>
      <c r="E18" s="141"/>
      <c r="F18" s="135"/>
      <c r="G18" s="135"/>
      <c r="H18" s="135"/>
      <c r="I18" s="135"/>
      <c r="J18" s="135"/>
      <c r="K18" s="135"/>
      <c r="L18" s="135"/>
      <c r="M18" s="135"/>
      <c r="N18" s="135"/>
      <c r="O18" s="135"/>
      <c r="P18" s="136"/>
    </row>
    <row r="19" spans="1:16" x14ac:dyDescent="0.25">
      <c r="A19" s="134"/>
      <c r="B19" s="145" t="s">
        <v>355</v>
      </c>
      <c r="C19" s="141"/>
      <c r="D19" s="141"/>
      <c r="E19" s="141"/>
      <c r="F19" s="135"/>
      <c r="G19" s="135"/>
      <c r="H19" s="135"/>
      <c r="I19" s="135"/>
      <c r="J19" s="135"/>
      <c r="K19" s="135"/>
      <c r="L19" s="135"/>
      <c r="M19" s="135"/>
      <c r="N19" s="135"/>
      <c r="O19" s="135"/>
      <c r="P19" s="136"/>
    </row>
    <row r="20" spans="1:16" hidden="1" x14ac:dyDescent="0.25">
      <c r="A20" s="134"/>
      <c r="B20" s="145" t="s">
        <v>356</v>
      </c>
      <c r="C20" s="141"/>
      <c r="D20" s="141"/>
      <c r="E20" s="141"/>
      <c r="F20" s="135"/>
      <c r="G20" s="135"/>
      <c r="H20" s="135"/>
      <c r="I20" s="135"/>
      <c r="J20" s="135"/>
      <c r="K20" s="135"/>
      <c r="L20" s="135"/>
      <c r="M20" s="135"/>
      <c r="N20" s="135"/>
      <c r="O20" s="135"/>
      <c r="P20" s="136"/>
    </row>
    <row r="21" spans="1:16" x14ac:dyDescent="0.25">
      <c r="A21" s="134"/>
      <c r="B21" s="145" t="s">
        <v>479</v>
      </c>
      <c r="C21" s="141"/>
      <c r="D21" s="141"/>
      <c r="E21" s="141"/>
      <c r="F21" s="135"/>
      <c r="G21" s="135"/>
      <c r="H21" s="135"/>
      <c r="I21" s="135"/>
      <c r="J21" s="135"/>
      <c r="K21" s="135"/>
      <c r="L21" s="135"/>
      <c r="M21" s="135"/>
      <c r="N21" s="135"/>
      <c r="O21" s="135"/>
      <c r="P21" s="136"/>
    </row>
    <row r="22" spans="1:16" x14ac:dyDescent="0.25">
      <c r="A22" s="134"/>
      <c r="B22" s="145"/>
      <c r="C22" s="141"/>
      <c r="D22" s="141"/>
      <c r="E22" s="141"/>
      <c r="F22" s="135"/>
      <c r="G22" s="135"/>
      <c r="H22" s="135"/>
      <c r="I22" s="135"/>
      <c r="J22" s="135"/>
      <c r="K22" s="135"/>
      <c r="L22" s="135"/>
      <c r="M22" s="135"/>
      <c r="N22" s="135"/>
      <c r="O22" s="135"/>
      <c r="P22" s="136"/>
    </row>
    <row r="23" spans="1:16" ht="20.399999999999999" x14ac:dyDescent="0.35">
      <c r="A23" s="134"/>
      <c r="B23" s="140" t="s">
        <v>357</v>
      </c>
      <c r="C23" s="135"/>
      <c r="D23" s="135"/>
      <c r="E23" s="135"/>
      <c r="F23" s="135"/>
      <c r="G23" s="135"/>
      <c r="H23" s="135"/>
      <c r="I23" s="135"/>
      <c r="J23" s="135"/>
      <c r="K23" s="135"/>
      <c r="L23" s="135"/>
      <c r="M23" s="135"/>
      <c r="N23" s="135"/>
      <c r="O23" s="135"/>
      <c r="P23" s="136"/>
    </row>
    <row r="24" spans="1:16" x14ac:dyDescent="0.25">
      <c r="A24" s="134"/>
      <c r="B24" s="149" t="s">
        <v>358</v>
      </c>
      <c r="C24" s="135"/>
      <c r="D24" s="135"/>
      <c r="E24" s="135"/>
      <c r="F24" s="135"/>
      <c r="G24" s="135"/>
      <c r="H24" s="135"/>
      <c r="I24" s="135"/>
      <c r="J24" s="135"/>
      <c r="K24" s="135"/>
      <c r="L24" s="135"/>
      <c r="M24" s="135"/>
      <c r="N24" s="135"/>
      <c r="O24" s="135"/>
      <c r="P24" s="136"/>
    </row>
    <row r="25" spans="1:16" x14ac:dyDescent="0.25">
      <c r="A25" s="134"/>
      <c r="B25" s="135" t="s">
        <v>359</v>
      </c>
      <c r="C25" s="135"/>
      <c r="D25" s="135"/>
      <c r="E25" s="135"/>
      <c r="F25" s="135"/>
      <c r="G25" s="135"/>
      <c r="H25" s="135"/>
      <c r="I25" s="135"/>
      <c r="J25" s="135"/>
      <c r="K25" s="135"/>
      <c r="L25" s="135"/>
      <c r="M25" s="135"/>
      <c r="N25" s="135"/>
      <c r="O25" s="135"/>
      <c r="P25" s="136"/>
    </row>
    <row r="26" spans="1:16" x14ac:dyDescent="0.25">
      <c r="A26" s="134"/>
      <c r="B26" s="135"/>
      <c r="C26" s="135"/>
      <c r="D26" s="135"/>
      <c r="E26" s="135"/>
      <c r="F26" s="135"/>
      <c r="G26" s="135"/>
      <c r="H26" s="135"/>
      <c r="I26" s="135"/>
      <c r="J26" s="135"/>
      <c r="K26" s="135"/>
      <c r="L26" s="135"/>
      <c r="M26" s="135"/>
      <c r="N26" s="135"/>
      <c r="O26" s="135"/>
      <c r="P26" s="136"/>
    </row>
    <row r="27" spans="1:16" x14ac:dyDescent="0.25">
      <c r="A27" s="134"/>
      <c r="B27" s="149" t="s">
        <v>360</v>
      </c>
      <c r="C27" s="135"/>
      <c r="D27" s="135"/>
      <c r="E27" s="135"/>
      <c r="F27" s="135"/>
      <c r="G27" s="135"/>
      <c r="H27" s="135"/>
      <c r="I27" s="135"/>
      <c r="J27" s="135"/>
      <c r="K27" s="135"/>
      <c r="L27" s="135"/>
      <c r="M27" s="135"/>
      <c r="N27" s="135"/>
      <c r="O27" s="135"/>
      <c r="P27" s="136"/>
    </row>
    <row r="28" spans="1:16" x14ac:dyDescent="0.25">
      <c r="A28" s="134"/>
      <c r="B28" s="135"/>
      <c r="C28" s="135"/>
      <c r="D28" s="135"/>
      <c r="E28" s="135"/>
      <c r="F28" s="135"/>
      <c r="G28" s="135"/>
      <c r="H28" s="135"/>
      <c r="I28" s="135"/>
      <c r="J28" s="135"/>
      <c r="K28" s="135"/>
      <c r="L28" s="135"/>
      <c r="M28" s="135"/>
      <c r="N28" s="135"/>
      <c r="O28" s="135"/>
      <c r="P28" s="136"/>
    </row>
    <row r="29" spans="1:16" x14ac:dyDescent="0.25">
      <c r="A29" s="134"/>
      <c r="B29" s="135" t="s">
        <v>361</v>
      </c>
      <c r="C29" s="135"/>
      <c r="D29" s="135"/>
      <c r="E29" s="135"/>
      <c r="F29" s="135"/>
      <c r="G29" s="135"/>
      <c r="H29" s="135"/>
      <c r="I29" s="135"/>
      <c r="J29" s="135"/>
      <c r="K29" s="135"/>
      <c r="L29" s="135"/>
      <c r="M29" s="135"/>
      <c r="N29" s="135"/>
      <c r="O29" s="135"/>
      <c r="P29" s="136"/>
    </row>
    <row r="30" spans="1:16" ht="13.8" thickBot="1" x14ac:dyDescent="0.3">
      <c r="A30" s="134"/>
      <c r="B30" s="149"/>
      <c r="C30" s="135"/>
      <c r="D30" s="135"/>
      <c r="E30" s="135"/>
      <c r="F30" s="135"/>
      <c r="G30" s="135"/>
      <c r="H30" s="135"/>
      <c r="I30" s="135"/>
      <c r="J30" s="135"/>
      <c r="K30" s="135"/>
      <c r="L30" s="135"/>
      <c r="M30" s="135"/>
      <c r="N30" s="135"/>
      <c r="O30" s="135"/>
      <c r="P30" s="136"/>
    </row>
    <row r="31" spans="1:16" x14ac:dyDescent="0.25">
      <c r="A31" s="134"/>
      <c r="B31" s="332" t="s">
        <v>488</v>
      </c>
      <c r="C31" s="333"/>
      <c r="D31" s="333"/>
      <c r="E31" s="333"/>
      <c r="F31" s="333"/>
      <c r="G31" s="333"/>
      <c r="H31" s="333"/>
      <c r="I31" s="333"/>
      <c r="J31" s="333"/>
      <c r="K31" s="333"/>
      <c r="L31" s="333"/>
      <c r="M31" s="334"/>
      <c r="N31" s="135"/>
      <c r="O31" s="135"/>
      <c r="P31" s="136"/>
    </row>
    <row r="32" spans="1:16" x14ac:dyDescent="0.25">
      <c r="A32" s="134"/>
      <c r="B32" s="335"/>
      <c r="C32" s="336"/>
      <c r="D32" s="336"/>
      <c r="E32" s="336"/>
      <c r="F32" s="336"/>
      <c r="G32" s="336"/>
      <c r="H32" s="336"/>
      <c r="I32" s="336"/>
      <c r="J32" s="336"/>
      <c r="K32" s="336"/>
      <c r="L32" s="336"/>
      <c r="M32" s="337"/>
      <c r="N32" s="135"/>
      <c r="O32" s="135"/>
      <c r="P32" s="136"/>
    </row>
    <row r="33" spans="1:16" x14ac:dyDescent="0.25">
      <c r="A33" s="134"/>
      <c r="B33" s="335"/>
      <c r="C33" s="336"/>
      <c r="D33" s="336"/>
      <c r="E33" s="336"/>
      <c r="F33" s="336"/>
      <c r="G33" s="336"/>
      <c r="H33" s="336"/>
      <c r="I33" s="336"/>
      <c r="J33" s="336"/>
      <c r="K33" s="336"/>
      <c r="L33" s="336"/>
      <c r="M33" s="337"/>
      <c r="N33" s="135"/>
      <c r="O33" s="135"/>
      <c r="P33" s="136"/>
    </row>
    <row r="34" spans="1:16" x14ac:dyDescent="0.25">
      <c r="A34" s="134"/>
      <c r="B34" s="335"/>
      <c r="C34" s="336"/>
      <c r="D34" s="336"/>
      <c r="E34" s="336"/>
      <c r="F34" s="336"/>
      <c r="G34" s="336"/>
      <c r="H34" s="336"/>
      <c r="I34" s="336"/>
      <c r="J34" s="336"/>
      <c r="K34" s="336"/>
      <c r="L34" s="336"/>
      <c r="M34" s="337"/>
      <c r="N34" s="135"/>
      <c r="O34" s="135"/>
      <c r="P34" s="136"/>
    </row>
    <row r="35" spans="1:16" x14ac:dyDescent="0.25">
      <c r="A35" s="134"/>
      <c r="B35" s="335"/>
      <c r="C35" s="336"/>
      <c r="D35" s="336"/>
      <c r="E35" s="336"/>
      <c r="F35" s="336"/>
      <c r="G35" s="336"/>
      <c r="H35" s="336"/>
      <c r="I35" s="336"/>
      <c r="J35" s="336"/>
      <c r="K35" s="336"/>
      <c r="L35" s="336"/>
      <c r="M35" s="337"/>
      <c r="N35" s="135"/>
      <c r="O35" s="135"/>
      <c r="P35" s="136"/>
    </row>
    <row r="36" spans="1:16" x14ac:dyDescent="0.25">
      <c r="A36" s="134"/>
      <c r="B36" s="335"/>
      <c r="C36" s="336"/>
      <c r="D36" s="336"/>
      <c r="E36" s="336"/>
      <c r="F36" s="336"/>
      <c r="G36" s="336"/>
      <c r="H36" s="336"/>
      <c r="I36" s="336"/>
      <c r="J36" s="336"/>
      <c r="K36" s="336"/>
      <c r="L36" s="336"/>
      <c r="M36" s="337"/>
      <c r="N36" s="135"/>
      <c r="O36" s="135"/>
      <c r="P36" s="136"/>
    </row>
    <row r="37" spans="1:16" x14ac:dyDescent="0.25">
      <c r="A37" s="134"/>
      <c r="B37" s="335"/>
      <c r="C37" s="336"/>
      <c r="D37" s="336"/>
      <c r="E37" s="336"/>
      <c r="F37" s="336"/>
      <c r="G37" s="336"/>
      <c r="H37" s="336"/>
      <c r="I37" s="336"/>
      <c r="J37" s="336"/>
      <c r="K37" s="336"/>
      <c r="L37" s="336"/>
      <c r="M37" s="337"/>
      <c r="N37" s="135"/>
      <c r="O37" s="135"/>
      <c r="P37" s="136"/>
    </row>
    <row r="38" spans="1:16" x14ac:dyDescent="0.25">
      <c r="A38" s="134"/>
      <c r="B38" s="335"/>
      <c r="C38" s="336"/>
      <c r="D38" s="336"/>
      <c r="E38" s="336"/>
      <c r="F38" s="336"/>
      <c r="G38" s="336"/>
      <c r="H38" s="336"/>
      <c r="I38" s="336"/>
      <c r="J38" s="336"/>
      <c r="K38" s="336"/>
      <c r="L38" s="336"/>
      <c r="M38" s="337"/>
      <c r="N38" s="135"/>
      <c r="O38" s="135"/>
      <c r="P38" s="136"/>
    </row>
    <row r="39" spans="1:16" x14ac:dyDescent="0.25">
      <c r="A39" s="134"/>
      <c r="B39" s="335"/>
      <c r="C39" s="336"/>
      <c r="D39" s="336"/>
      <c r="E39" s="336"/>
      <c r="F39" s="336"/>
      <c r="G39" s="336"/>
      <c r="H39" s="336"/>
      <c r="I39" s="336"/>
      <c r="J39" s="336"/>
      <c r="K39" s="336"/>
      <c r="L39" s="336"/>
      <c r="M39" s="337"/>
      <c r="N39" s="135"/>
      <c r="O39" s="135"/>
      <c r="P39" s="136"/>
    </row>
    <row r="40" spans="1:16" x14ac:dyDescent="0.25">
      <c r="A40" s="134"/>
      <c r="B40" s="335"/>
      <c r="C40" s="336"/>
      <c r="D40" s="336"/>
      <c r="E40" s="336"/>
      <c r="F40" s="336"/>
      <c r="G40" s="336"/>
      <c r="H40" s="336"/>
      <c r="I40" s="336"/>
      <c r="J40" s="336"/>
      <c r="K40" s="336"/>
      <c r="L40" s="336"/>
      <c r="M40" s="337"/>
      <c r="N40" s="135"/>
      <c r="O40" s="135"/>
      <c r="P40" s="136"/>
    </row>
    <row r="41" spans="1:16" x14ac:dyDescent="0.25">
      <c r="A41" s="134"/>
      <c r="B41" s="335"/>
      <c r="C41" s="336"/>
      <c r="D41" s="336"/>
      <c r="E41" s="336"/>
      <c r="F41" s="336"/>
      <c r="G41" s="336"/>
      <c r="H41" s="336"/>
      <c r="I41" s="336"/>
      <c r="J41" s="336"/>
      <c r="K41" s="336"/>
      <c r="L41" s="336"/>
      <c r="M41" s="337"/>
      <c r="N41" s="135"/>
      <c r="O41" s="135"/>
      <c r="P41" s="136"/>
    </row>
    <row r="42" spans="1:16" x14ac:dyDescent="0.25">
      <c r="A42" s="134"/>
      <c r="B42" s="335"/>
      <c r="C42" s="336"/>
      <c r="D42" s="336"/>
      <c r="E42" s="336"/>
      <c r="F42" s="336"/>
      <c r="G42" s="336"/>
      <c r="H42" s="336"/>
      <c r="I42" s="336"/>
      <c r="J42" s="336"/>
      <c r="K42" s="336"/>
      <c r="L42" s="336"/>
      <c r="M42" s="337"/>
      <c r="N42" s="135"/>
      <c r="O42" s="135"/>
      <c r="P42" s="136"/>
    </row>
    <row r="43" spans="1:16" x14ac:dyDescent="0.25">
      <c r="A43" s="134"/>
      <c r="B43" s="335"/>
      <c r="C43" s="336"/>
      <c r="D43" s="336"/>
      <c r="E43" s="336"/>
      <c r="F43" s="336"/>
      <c r="G43" s="336"/>
      <c r="H43" s="336"/>
      <c r="I43" s="336"/>
      <c r="J43" s="336"/>
      <c r="K43" s="336"/>
      <c r="L43" s="336"/>
      <c r="M43" s="337"/>
      <c r="N43" s="135"/>
      <c r="O43" s="135"/>
      <c r="P43" s="136"/>
    </row>
    <row r="44" spans="1:16" x14ac:dyDescent="0.25">
      <c r="A44" s="134"/>
      <c r="B44" s="335"/>
      <c r="C44" s="336"/>
      <c r="D44" s="336"/>
      <c r="E44" s="336"/>
      <c r="F44" s="336"/>
      <c r="G44" s="336"/>
      <c r="H44" s="336"/>
      <c r="I44" s="336"/>
      <c r="J44" s="336"/>
      <c r="K44" s="336"/>
      <c r="L44" s="336"/>
      <c r="M44" s="337"/>
      <c r="N44" s="135"/>
      <c r="O44" s="135"/>
      <c r="P44" s="136"/>
    </row>
    <row r="45" spans="1:16" x14ac:dyDescent="0.25">
      <c r="A45" s="134"/>
      <c r="B45" s="335"/>
      <c r="C45" s="336"/>
      <c r="D45" s="336"/>
      <c r="E45" s="336"/>
      <c r="F45" s="336"/>
      <c r="G45" s="336"/>
      <c r="H45" s="336"/>
      <c r="I45" s="336"/>
      <c r="J45" s="336"/>
      <c r="K45" s="336"/>
      <c r="L45" s="336"/>
      <c r="M45" s="337"/>
      <c r="N45" s="135"/>
      <c r="O45" s="135"/>
      <c r="P45" s="136"/>
    </row>
    <row r="46" spans="1:16" x14ac:dyDescent="0.25">
      <c r="A46" s="134"/>
      <c r="B46" s="335"/>
      <c r="C46" s="336"/>
      <c r="D46" s="336"/>
      <c r="E46" s="336"/>
      <c r="F46" s="336"/>
      <c r="G46" s="336"/>
      <c r="H46" s="336"/>
      <c r="I46" s="336"/>
      <c r="J46" s="336"/>
      <c r="K46" s="336"/>
      <c r="L46" s="336"/>
      <c r="M46" s="337"/>
      <c r="N46" s="135"/>
      <c r="O46" s="135"/>
      <c r="P46" s="136"/>
    </row>
    <row r="47" spans="1:16" x14ac:dyDescent="0.25">
      <c r="A47" s="134"/>
      <c r="B47" s="335"/>
      <c r="C47" s="336"/>
      <c r="D47" s="336"/>
      <c r="E47" s="336"/>
      <c r="F47" s="336"/>
      <c r="G47" s="336"/>
      <c r="H47" s="336"/>
      <c r="I47" s="336"/>
      <c r="J47" s="336"/>
      <c r="K47" s="336"/>
      <c r="L47" s="336"/>
      <c r="M47" s="337"/>
      <c r="N47" s="135"/>
      <c r="O47" s="135"/>
      <c r="P47" s="136"/>
    </row>
    <row r="48" spans="1:16" x14ac:dyDescent="0.25">
      <c r="A48" s="134"/>
      <c r="B48" s="335"/>
      <c r="C48" s="336"/>
      <c r="D48" s="336"/>
      <c r="E48" s="336"/>
      <c r="F48" s="336"/>
      <c r="G48" s="336"/>
      <c r="H48" s="336"/>
      <c r="I48" s="336"/>
      <c r="J48" s="336"/>
      <c r="K48" s="336"/>
      <c r="L48" s="336"/>
      <c r="M48" s="337"/>
      <c r="N48" s="135"/>
      <c r="O48" s="135"/>
      <c r="P48" s="136"/>
    </row>
    <row r="49" spans="1:16" x14ac:dyDescent="0.25">
      <c r="A49" s="134"/>
      <c r="B49" s="335"/>
      <c r="C49" s="336"/>
      <c r="D49" s="336"/>
      <c r="E49" s="336"/>
      <c r="F49" s="336"/>
      <c r="G49" s="336"/>
      <c r="H49" s="336"/>
      <c r="I49" s="336"/>
      <c r="J49" s="336"/>
      <c r="K49" s="336"/>
      <c r="L49" s="336"/>
      <c r="M49" s="337"/>
      <c r="N49" s="135"/>
      <c r="O49" s="135"/>
      <c r="P49" s="136"/>
    </row>
    <row r="50" spans="1:16" x14ac:dyDescent="0.25">
      <c r="A50" s="134"/>
      <c r="B50" s="335"/>
      <c r="C50" s="336"/>
      <c r="D50" s="336"/>
      <c r="E50" s="336"/>
      <c r="F50" s="336"/>
      <c r="G50" s="336"/>
      <c r="H50" s="336"/>
      <c r="I50" s="336"/>
      <c r="J50" s="336"/>
      <c r="K50" s="336"/>
      <c r="L50" s="336"/>
      <c r="M50" s="337"/>
      <c r="N50" s="135"/>
      <c r="O50" s="135"/>
      <c r="P50" s="136"/>
    </row>
    <row r="51" spans="1:16" x14ac:dyDescent="0.25">
      <c r="A51" s="134"/>
      <c r="B51" s="335"/>
      <c r="C51" s="336"/>
      <c r="D51" s="336"/>
      <c r="E51" s="336"/>
      <c r="F51" s="336"/>
      <c r="G51" s="336"/>
      <c r="H51" s="336"/>
      <c r="I51" s="336"/>
      <c r="J51" s="336"/>
      <c r="K51" s="336"/>
      <c r="L51" s="336"/>
      <c r="M51" s="337"/>
      <c r="N51" s="135"/>
      <c r="O51" s="135"/>
      <c r="P51" s="136"/>
    </row>
    <row r="52" spans="1:16" x14ac:dyDescent="0.25">
      <c r="A52" s="134"/>
      <c r="B52" s="335"/>
      <c r="C52" s="336"/>
      <c r="D52" s="336"/>
      <c r="E52" s="336"/>
      <c r="F52" s="336"/>
      <c r="G52" s="336"/>
      <c r="H52" s="336"/>
      <c r="I52" s="336"/>
      <c r="J52" s="336"/>
      <c r="K52" s="336"/>
      <c r="L52" s="336"/>
      <c r="M52" s="337"/>
      <c r="N52" s="135"/>
      <c r="O52" s="135"/>
      <c r="P52" s="136"/>
    </row>
    <row r="53" spans="1:16" x14ac:dyDescent="0.25">
      <c r="A53" s="134"/>
      <c r="B53" s="335"/>
      <c r="C53" s="336"/>
      <c r="D53" s="336"/>
      <c r="E53" s="336"/>
      <c r="F53" s="336"/>
      <c r="G53" s="336"/>
      <c r="H53" s="336"/>
      <c r="I53" s="336"/>
      <c r="J53" s="336"/>
      <c r="K53" s="336"/>
      <c r="L53" s="336"/>
      <c r="M53" s="337"/>
      <c r="N53" s="135"/>
      <c r="O53" s="135"/>
      <c r="P53" s="136"/>
    </row>
    <row r="54" spans="1:16" x14ac:dyDescent="0.25">
      <c r="A54" s="134"/>
      <c r="B54" s="335"/>
      <c r="C54" s="336"/>
      <c r="D54" s="336"/>
      <c r="E54" s="336"/>
      <c r="F54" s="336"/>
      <c r="G54" s="336"/>
      <c r="H54" s="336"/>
      <c r="I54" s="336"/>
      <c r="J54" s="336"/>
      <c r="K54" s="336"/>
      <c r="L54" s="336"/>
      <c r="M54" s="337"/>
      <c r="N54" s="135"/>
      <c r="O54" s="135"/>
      <c r="P54" s="136"/>
    </row>
    <row r="55" spans="1:16" x14ac:dyDescent="0.25">
      <c r="A55" s="134"/>
      <c r="B55" s="335"/>
      <c r="C55" s="336"/>
      <c r="D55" s="336"/>
      <c r="E55" s="336"/>
      <c r="F55" s="336"/>
      <c r="G55" s="336"/>
      <c r="H55" s="336"/>
      <c r="I55" s="336"/>
      <c r="J55" s="336"/>
      <c r="K55" s="336"/>
      <c r="L55" s="336"/>
      <c r="M55" s="337"/>
      <c r="N55" s="135"/>
      <c r="O55" s="135"/>
      <c r="P55" s="136"/>
    </row>
    <row r="56" spans="1:16" x14ac:dyDescent="0.25">
      <c r="A56" s="134"/>
      <c r="B56" s="335"/>
      <c r="C56" s="336"/>
      <c r="D56" s="336"/>
      <c r="E56" s="336"/>
      <c r="F56" s="336"/>
      <c r="G56" s="336"/>
      <c r="H56" s="336"/>
      <c r="I56" s="336"/>
      <c r="J56" s="336"/>
      <c r="K56" s="336"/>
      <c r="L56" s="336"/>
      <c r="M56" s="337"/>
      <c r="N56" s="135"/>
      <c r="O56" s="135"/>
      <c r="P56" s="136"/>
    </row>
    <row r="57" spans="1:16" x14ac:dyDescent="0.25">
      <c r="A57" s="134"/>
      <c r="B57" s="335"/>
      <c r="C57" s="336"/>
      <c r="D57" s="336"/>
      <c r="E57" s="336"/>
      <c r="F57" s="336"/>
      <c r="G57" s="336"/>
      <c r="H57" s="336"/>
      <c r="I57" s="336"/>
      <c r="J57" s="336"/>
      <c r="K57" s="336"/>
      <c r="L57" s="336"/>
      <c r="M57" s="337"/>
      <c r="N57" s="135"/>
      <c r="O57" s="135"/>
      <c r="P57" s="136"/>
    </row>
    <row r="58" spans="1:16" x14ac:dyDescent="0.25">
      <c r="A58" s="134"/>
      <c r="B58" s="335"/>
      <c r="C58" s="336"/>
      <c r="D58" s="336"/>
      <c r="E58" s="336"/>
      <c r="F58" s="336"/>
      <c r="G58" s="336"/>
      <c r="H58" s="336"/>
      <c r="I58" s="336"/>
      <c r="J58" s="336"/>
      <c r="K58" s="336"/>
      <c r="L58" s="336"/>
      <c r="M58" s="337"/>
      <c r="N58" s="135"/>
      <c r="O58" s="135"/>
      <c r="P58" s="136"/>
    </row>
    <row r="59" spans="1:16" x14ac:dyDescent="0.25">
      <c r="A59" s="134"/>
      <c r="B59" s="335"/>
      <c r="C59" s="336"/>
      <c r="D59" s="336"/>
      <c r="E59" s="336"/>
      <c r="F59" s="336"/>
      <c r="G59" s="336"/>
      <c r="H59" s="336"/>
      <c r="I59" s="336"/>
      <c r="J59" s="336"/>
      <c r="K59" s="336"/>
      <c r="L59" s="336"/>
      <c r="M59" s="337"/>
      <c r="N59" s="135"/>
      <c r="O59" s="135"/>
      <c r="P59" s="136"/>
    </row>
    <row r="60" spans="1:16" x14ac:dyDescent="0.25">
      <c r="A60" s="134"/>
      <c r="B60" s="335"/>
      <c r="C60" s="336"/>
      <c r="D60" s="336"/>
      <c r="E60" s="336"/>
      <c r="F60" s="336"/>
      <c r="G60" s="336"/>
      <c r="H60" s="336"/>
      <c r="I60" s="336"/>
      <c r="J60" s="336"/>
      <c r="K60" s="336"/>
      <c r="L60" s="336"/>
      <c r="M60" s="337"/>
      <c r="N60" s="135"/>
      <c r="O60" s="135"/>
      <c r="P60" s="136"/>
    </row>
    <row r="61" spans="1:16" x14ac:dyDescent="0.25">
      <c r="A61" s="134"/>
      <c r="B61" s="335"/>
      <c r="C61" s="336"/>
      <c r="D61" s="336"/>
      <c r="E61" s="336"/>
      <c r="F61" s="336"/>
      <c r="G61" s="336"/>
      <c r="H61" s="336"/>
      <c r="I61" s="336"/>
      <c r="J61" s="336"/>
      <c r="K61" s="336"/>
      <c r="L61" s="336"/>
      <c r="M61" s="337"/>
      <c r="N61" s="135"/>
      <c r="O61" s="135"/>
      <c r="P61" s="136"/>
    </row>
    <row r="62" spans="1:16" x14ac:dyDescent="0.25">
      <c r="A62" s="134"/>
      <c r="B62" s="335"/>
      <c r="C62" s="336"/>
      <c r="D62" s="336"/>
      <c r="E62" s="336"/>
      <c r="F62" s="336"/>
      <c r="G62" s="336"/>
      <c r="H62" s="336"/>
      <c r="I62" s="336"/>
      <c r="J62" s="336"/>
      <c r="K62" s="336"/>
      <c r="L62" s="336"/>
      <c r="M62" s="337"/>
      <c r="N62" s="135"/>
      <c r="O62" s="135"/>
      <c r="P62" s="136"/>
    </row>
    <row r="63" spans="1:16" x14ac:dyDescent="0.25">
      <c r="A63" s="134"/>
      <c r="B63" s="335"/>
      <c r="C63" s="336"/>
      <c r="D63" s="336"/>
      <c r="E63" s="336"/>
      <c r="F63" s="336"/>
      <c r="G63" s="336"/>
      <c r="H63" s="336"/>
      <c r="I63" s="336"/>
      <c r="J63" s="336"/>
      <c r="K63" s="336"/>
      <c r="L63" s="336"/>
      <c r="M63" s="337"/>
      <c r="N63" s="135"/>
      <c r="O63" s="135"/>
      <c r="P63" s="136"/>
    </row>
    <row r="64" spans="1:16" x14ac:dyDescent="0.25">
      <c r="A64" s="134"/>
      <c r="B64" s="335"/>
      <c r="C64" s="336"/>
      <c r="D64" s="336"/>
      <c r="E64" s="336"/>
      <c r="F64" s="336"/>
      <c r="G64" s="336"/>
      <c r="H64" s="336"/>
      <c r="I64" s="336"/>
      <c r="J64" s="336"/>
      <c r="K64" s="336"/>
      <c r="L64" s="336"/>
      <c r="M64" s="337"/>
      <c r="N64" s="135"/>
      <c r="O64" s="135"/>
      <c r="P64" s="136"/>
    </row>
    <row r="65" spans="1:16" x14ac:dyDescent="0.25">
      <c r="A65" s="134"/>
      <c r="B65" s="335"/>
      <c r="C65" s="336"/>
      <c r="D65" s="336"/>
      <c r="E65" s="336"/>
      <c r="F65" s="336"/>
      <c r="G65" s="336"/>
      <c r="H65" s="336"/>
      <c r="I65" s="336"/>
      <c r="J65" s="336"/>
      <c r="K65" s="336"/>
      <c r="L65" s="336"/>
      <c r="M65" s="337"/>
      <c r="N65" s="135"/>
      <c r="O65" s="135"/>
      <c r="P65" s="136"/>
    </row>
    <row r="66" spans="1:16" x14ac:dyDescent="0.25">
      <c r="A66" s="134"/>
      <c r="B66" s="335"/>
      <c r="C66" s="336"/>
      <c r="D66" s="336"/>
      <c r="E66" s="336"/>
      <c r="F66" s="336"/>
      <c r="G66" s="336"/>
      <c r="H66" s="336"/>
      <c r="I66" s="336"/>
      <c r="J66" s="336"/>
      <c r="K66" s="336"/>
      <c r="L66" s="336"/>
      <c r="M66" s="337"/>
      <c r="N66" s="135"/>
      <c r="O66" s="135"/>
      <c r="P66" s="136"/>
    </row>
    <row r="67" spans="1:16" x14ac:dyDescent="0.25">
      <c r="A67" s="134"/>
      <c r="B67" s="335"/>
      <c r="C67" s="336"/>
      <c r="D67" s="336"/>
      <c r="E67" s="336"/>
      <c r="F67" s="336"/>
      <c r="G67" s="336"/>
      <c r="H67" s="336"/>
      <c r="I67" s="336"/>
      <c r="J67" s="336"/>
      <c r="K67" s="336"/>
      <c r="L67" s="336"/>
      <c r="M67" s="337"/>
      <c r="N67" s="135"/>
      <c r="O67" s="135"/>
      <c r="P67" s="136"/>
    </row>
    <row r="68" spans="1:16" x14ac:dyDescent="0.25">
      <c r="A68" s="134"/>
      <c r="B68" s="335"/>
      <c r="C68" s="336"/>
      <c r="D68" s="336"/>
      <c r="E68" s="336"/>
      <c r="F68" s="336"/>
      <c r="G68" s="336"/>
      <c r="H68" s="336"/>
      <c r="I68" s="336"/>
      <c r="J68" s="336"/>
      <c r="K68" s="336"/>
      <c r="L68" s="336"/>
      <c r="M68" s="337"/>
      <c r="N68" s="135"/>
      <c r="O68" s="135"/>
      <c r="P68" s="136"/>
    </row>
    <row r="69" spans="1:16" x14ac:dyDescent="0.25">
      <c r="A69" s="134"/>
      <c r="B69" s="335"/>
      <c r="C69" s="336"/>
      <c r="D69" s="336"/>
      <c r="E69" s="336"/>
      <c r="F69" s="336"/>
      <c r="G69" s="336"/>
      <c r="H69" s="336"/>
      <c r="I69" s="336"/>
      <c r="J69" s="336"/>
      <c r="K69" s="336"/>
      <c r="L69" s="336"/>
      <c r="M69" s="337"/>
      <c r="N69" s="135"/>
      <c r="O69" s="135"/>
      <c r="P69" s="136"/>
    </row>
    <row r="70" spans="1:16" x14ac:dyDescent="0.25">
      <c r="A70" s="134"/>
      <c r="B70" s="335"/>
      <c r="C70" s="336"/>
      <c r="D70" s="336"/>
      <c r="E70" s="336"/>
      <c r="F70" s="336"/>
      <c r="G70" s="336"/>
      <c r="H70" s="336"/>
      <c r="I70" s="336"/>
      <c r="J70" s="336"/>
      <c r="K70" s="336"/>
      <c r="L70" s="336"/>
      <c r="M70" s="337"/>
      <c r="N70" s="135"/>
      <c r="O70" s="135"/>
      <c r="P70" s="136"/>
    </row>
    <row r="71" spans="1:16" x14ac:dyDescent="0.25">
      <c r="A71" s="134"/>
      <c r="B71" s="335"/>
      <c r="C71" s="336"/>
      <c r="D71" s="336"/>
      <c r="E71" s="336"/>
      <c r="F71" s="336"/>
      <c r="G71" s="336"/>
      <c r="H71" s="336"/>
      <c r="I71" s="336"/>
      <c r="J71" s="336"/>
      <c r="K71" s="336"/>
      <c r="L71" s="336"/>
      <c r="M71" s="337"/>
      <c r="N71" s="135"/>
      <c r="O71" s="135"/>
      <c r="P71" s="136"/>
    </row>
    <row r="72" spans="1:16" x14ac:dyDescent="0.25">
      <c r="A72" s="134"/>
      <c r="B72" s="335"/>
      <c r="C72" s="336"/>
      <c r="D72" s="336"/>
      <c r="E72" s="336"/>
      <c r="F72" s="336"/>
      <c r="G72" s="336"/>
      <c r="H72" s="336"/>
      <c r="I72" s="336"/>
      <c r="J72" s="336"/>
      <c r="K72" s="336"/>
      <c r="L72" s="336"/>
      <c r="M72" s="337"/>
      <c r="N72" s="135"/>
      <c r="O72" s="135"/>
      <c r="P72" s="136"/>
    </row>
    <row r="73" spans="1:16" x14ac:dyDescent="0.25">
      <c r="A73" s="134"/>
      <c r="B73" s="335"/>
      <c r="C73" s="336"/>
      <c r="D73" s="336"/>
      <c r="E73" s="336"/>
      <c r="F73" s="336"/>
      <c r="G73" s="336"/>
      <c r="H73" s="336"/>
      <c r="I73" s="336"/>
      <c r="J73" s="336"/>
      <c r="K73" s="336"/>
      <c r="L73" s="336"/>
      <c r="M73" s="337"/>
      <c r="N73" s="135"/>
      <c r="O73" s="135"/>
      <c r="P73" s="136"/>
    </row>
    <row r="74" spans="1:16" x14ac:dyDescent="0.25">
      <c r="A74" s="134"/>
      <c r="B74" s="335"/>
      <c r="C74" s="336"/>
      <c r="D74" s="336"/>
      <c r="E74" s="336"/>
      <c r="F74" s="336"/>
      <c r="G74" s="336"/>
      <c r="H74" s="336"/>
      <c r="I74" s="336"/>
      <c r="J74" s="336"/>
      <c r="K74" s="336"/>
      <c r="L74" s="336"/>
      <c r="M74" s="337"/>
      <c r="N74" s="135"/>
      <c r="O74" s="135"/>
      <c r="P74" s="136"/>
    </row>
    <row r="75" spans="1:16" x14ac:dyDescent="0.25">
      <c r="A75" s="134"/>
      <c r="B75" s="335"/>
      <c r="C75" s="336"/>
      <c r="D75" s="336"/>
      <c r="E75" s="336"/>
      <c r="F75" s="336"/>
      <c r="G75" s="336"/>
      <c r="H75" s="336"/>
      <c r="I75" s="336"/>
      <c r="J75" s="336"/>
      <c r="K75" s="336"/>
      <c r="L75" s="336"/>
      <c r="M75" s="337"/>
      <c r="N75" s="135"/>
      <c r="O75" s="135"/>
      <c r="P75" s="136"/>
    </row>
    <row r="76" spans="1:16" x14ac:dyDescent="0.25">
      <c r="A76" s="134"/>
      <c r="B76" s="335"/>
      <c r="C76" s="336"/>
      <c r="D76" s="336"/>
      <c r="E76" s="336"/>
      <c r="F76" s="336"/>
      <c r="G76" s="336"/>
      <c r="H76" s="336"/>
      <c r="I76" s="336"/>
      <c r="J76" s="336"/>
      <c r="K76" s="336"/>
      <c r="L76" s="336"/>
      <c r="M76" s="337"/>
      <c r="N76" s="135"/>
      <c r="O76" s="135"/>
      <c r="P76" s="136"/>
    </row>
    <row r="77" spans="1:16" x14ac:dyDescent="0.25">
      <c r="A77" s="134"/>
      <c r="B77" s="335"/>
      <c r="C77" s="336"/>
      <c r="D77" s="336"/>
      <c r="E77" s="336"/>
      <c r="F77" s="336"/>
      <c r="G77" s="336"/>
      <c r="H77" s="336"/>
      <c r="I77" s="336"/>
      <c r="J77" s="336"/>
      <c r="K77" s="336"/>
      <c r="L77" s="336"/>
      <c r="M77" s="337"/>
      <c r="N77" s="135"/>
      <c r="O77" s="135"/>
      <c r="P77" s="136"/>
    </row>
    <row r="78" spans="1:16" x14ac:dyDescent="0.25">
      <c r="A78" s="134"/>
      <c r="B78" s="335"/>
      <c r="C78" s="336"/>
      <c r="D78" s="336"/>
      <c r="E78" s="336"/>
      <c r="F78" s="336"/>
      <c r="G78" s="336"/>
      <c r="H78" s="336"/>
      <c r="I78" s="336"/>
      <c r="J78" s="336"/>
      <c r="K78" s="336"/>
      <c r="L78" s="336"/>
      <c r="M78" s="337"/>
      <c r="N78" s="135"/>
      <c r="O78" s="135"/>
      <c r="P78" s="136"/>
    </row>
    <row r="79" spans="1:16" x14ac:dyDescent="0.25">
      <c r="A79" s="134"/>
      <c r="B79" s="335"/>
      <c r="C79" s="336"/>
      <c r="D79" s="336"/>
      <c r="E79" s="336"/>
      <c r="F79" s="336"/>
      <c r="G79" s="336"/>
      <c r="H79" s="336"/>
      <c r="I79" s="336"/>
      <c r="J79" s="336"/>
      <c r="K79" s="336"/>
      <c r="L79" s="336"/>
      <c r="M79" s="337"/>
      <c r="N79" s="135"/>
      <c r="O79" s="135"/>
      <c r="P79" s="136"/>
    </row>
    <row r="80" spans="1:16" x14ac:dyDescent="0.25">
      <c r="A80" s="134"/>
      <c r="B80" s="335"/>
      <c r="C80" s="336"/>
      <c r="D80" s="336"/>
      <c r="E80" s="336"/>
      <c r="F80" s="336"/>
      <c r="G80" s="336"/>
      <c r="H80" s="336"/>
      <c r="I80" s="336"/>
      <c r="J80" s="336"/>
      <c r="K80" s="336"/>
      <c r="L80" s="336"/>
      <c r="M80" s="337"/>
      <c r="N80" s="135"/>
      <c r="O80" s="135"/>
      <c r="P80" s="136"/>
    </row>
    <row r="81" spans="1:16" x14ac:dyDescent="0.25">
      <c r="A81" s="134"/>
      <c r="B81" s="335"/>
      <c r="C81" s="336"/>
      <c r="D81" s="336"/>
      <c r="E81" s="336"/>
      <c r="F81" s="336"/>
      <c r="G81" s="336"/>
      <c r="H81" s="336"/>
      <c r="I81" s="336"/>
      <c r="J81" s="336"/>
      <c r="K81" s="336"/>
      <c r="L81" s="336"/>
      <c r="M81" s="337"/>
      <c r="N81" s="135"/>
      <c r="O81" s="135"/>
      <c r="P81" s="136"/>
    </row>
    <row r="82" spans="1:16" x14ac:dyDescent="0.25">
      <c r="A82" s="134"/>
      <c r="B82" s="335"/>
      <c r="C82" s="336"/>
      <c r="D82" s="336"/>
      <c r="E82" s="336"/>
      <c r="F82" s="336"/>
      <c r="G82" s="336"/>
      <c r="H82" s="336"/>
      <c r="I82" s="336"/>
      <c r="J82" s="336"/>
      <c r="K82" s="336"/>
      <c r="L82" s="336"/>
      <c r="M82" s="337"/>
      <c r="N82" s="135"/>
      <c r="O82" s="135"/>
      <c r="P82" s="136"/>
    </row>
    <row r="83" spans="1:16" x14ac:dyDescent="0.25">
      <c r="A83" s="134"/>
      <c r="B83" s="335"/>
      <c r="C83" s="336"/>
      <c r="D83" s="336"/>
      <c r="E83" s="336"/>
      <c r="F83" s="336"/>
      <c r="G83" s="336"/>
      <c r="H83" s="336"/>
      <c r="I83" s="336"/>
      <c r="J83" s="336"/>
      <c r="K83" s="336"/>
      <c r="L83" s="336"/>
      <c r="M83" s="337"/>
      <c r="N83" s="135"/>
      <c r="O83" s="135"/>
      <c r="P83" s="136"/>
    </row>
    <row r="84" spans="1:16" x14ac:dyDescent="0.25">
      <c r="A84" s="134"/>
      <c r="B84" s="335"/>
      <c r="C84" s="336"/>
      <c r="D84" s="336"/>
      <c r="E84" s="336"/>
      <c r="F84" s="336"/>
      <c r="G84" s="336"/>
      <c r="H84" s="336"/>
      <c r="I84" s="336"/>
      <c r="J84" s="336"/>
      <c r="K84" s="336"/>
      <c r="L84" s="336"/>
      <c r="M84" s="337"/>
      <c r="N84" s="135"/>
      <c r="O84" s="135"/>
      <c r="P84" s="136"/>
    </row>
    <row r="85" spans="1:16" x14ac:dyDescent="0.25">
      <c r="A85" s="134"/>
      <c r="B85" s="335"/>
      <c r="C85" s="336"/>
      <c r="D85" s="336"/>
      <c r="E85" s="336"/>
      <c r="F85" s="336"/>
      <c r="G85" s="336"/>
      <c r="H85" s="336"/>
      <c r="I85" s="336"/>
      <c r="J85" s="336"/>
      <c r="K85" s="336"/>
      <c r="L85" s="336"/>
      <c r="M85" s="337"/>
      <c r="N85" s="135"/>
      <c r="O85" s="135"/>
      <c r="P85" s="136"/>
    </row>
    <row r="86" spans="1:16" x14ac:dyDescent="0.25">
      <c r="A86" s="134"/>
      <c r="B86" s="335"/>
      <c r="C86" s="336"/>
      <c r="D86" s="336"/>
      <c r="E86" s="336"/>
      <c r="F86" s="336"/>
      <c r="G86" s="336"/>
      <c r="H86" s="336"/>
      <c r="I86" s="336"/>
      <c r="J86" s="336"/>
      <c r="K86" s="336"/>
      <c r="L86" s="336"/>
      <c r="M86" s="337"/>
      <c r="N86" s="135"/>
      <c r="O86" s="135"/>
      <c r="P86" s="136"/>
    </row>
    <row r="87" spans="1:16" x14ac:dyDescent="0.25">
      <c r="A87" s="134"/>
      <c r="B87" s="335"/>
      <c r="C87" s="336"/>
      <c r="D87" s="336"/>
      <c r="E87" s="336"/>
      <c r="F87" s="336"/>
      <c r="G87" s="336"/>
      <c r="H87" s="336"/>
      <c r="I87" s="336"/>
      <c r="J87" s="336"/>
      <c r="K87" s="336"/>
      <c r="L87" s="336"/>
      <c r="M87" s="337"/>
      <c r="N87" s="135"/>
      <c r="O87" s="135"/>
      <c r="P87" s="136"/>
    </row>
    <row r="88" spans="1:16" x14ac:dyDescent="0.25">
      <c r="A88" s="134"/>
      <c r="B88" s="335"/>
      <c r="C88" s="336"/>
      <c r="D88" s="336"/>
      <c r="E88" s="336"/>
      <c r="F88" s="336"/>
      <c r="G88" s="336"/>
      <c r="H88" s="336"/>
      <c r="I88" s="336"/>
      <c r="J88" s="336"/>
      <c r="K88" s="336"/>
      <c r="L88" s="336"/>
      <c r="M88" s="337"/>
      <c r="N88" s="135"/>
      <c r="O88" s="135"/>
      <c r="P88" s="136"/>
    </row>
    <row r="89" spans="1:16" x14ac:dyDescent="0.25">
      <c r="A89" s="134"/>
      <c r="B89" s="335"/>
      <c r="C89" s="336"/>
      <c r="D89" s="336"/>
      <c r="E89" s="336"/>
      <c r="F89" s="336"/>
      <c r="G89" s="336"/>
      <c r="H89" s="336"/>
      <c r="I89" s="336"/>
      <c r="J89" s="336"/>
      <c r="K89" s="336"/>
      <c r="L89" s="336"/>
      <c r="M89" s="337"/>
      <c r="N89" s="135"/>
      <c r="O89" s="135"/>
      <c r="P89" s="136"/>
    </row>
    <row r="90" spans="1:16" x14ac:dyDescent="0.25">
      <c r="A90" s="134"/>
      <c r="B90" s="335"/>
      <c r="C90" s="336"/>
      <c r="D90" s="336"/>
      <c r="E90" s="336"/>
      <c r="F90" s="336"/>
      <c r="G90" s="336"/>
      <c r="H90" s="336"/>
      <c r="I90" s="336"/>
      <c r="J90" s="336"/>
      <c r="K90" s="336"/>
      <c r="L90" s="336"/>
      <c r="M90" s="337"/>
      <c r="N90" s="135"/>
      <c r="O90" s="135"/>
      <c r="P90" s="136"/>
    </row>
    <row r="91" spans="1:16" x14ac:dyDescent="0.25">
      <c r="A91" s="134"/>
      <c r="B91" s="335"/>
      <c r="C91" s="336"/>
      <c r="D91" s="336"/>
      <c r="E91" s="336"/>
      <c r="F91" s="336"/>
      <c r="G91" s="336"/>
      <c r="H91" s="336"/>
      <c r="I91" s="336"/>
      <c r="J91" s="336"/>
      <c r="K91" s="336"/>
      <c r="L91" s="336"/>
      <c r="M91" s="337"/>
      <c r="N91" s="135"/>
      <c r="O91" s="135"/>
      <c r="P91" s="136"/>
    </row>
    <row r="92" spans="1:16" x14ac:dyDescent="0.25">
      <c r="A92" s="134"/>
      <c r="B92" s="335"/>
      <c r="C92" s="336"/>
      <c r="D92" s="336"/>
      <c r="E92" s="336"/>
      <c r="F92" s="336"/>
      <c r="G92" s="336"/>
      <c r="H92" s="336"/>
      <c r="I92" s="336"/>
      <c r="J92" s="336"/>
      <c r="K92" s="336"/>
      <c r="L92" s="336"/>
      <c r="M92" s="337"/>
      <c r="N92" s="135"/>
      <c r="O92" s="135"/>
      <c r="P92" s="136"/>
    </row>
    <row r="93" spans="1:16" ht="13.8" thickBot="1" x14ac:dyDescent="0.3">
      <c r="A93" s="146"/>
      <c r="B93" s="338"/>
      <c r="C93" s="339"/>
      <c r="D93" s="339"/>
      <c r="E93" s="339"/>
      <c r="F93" s="339"/>
      <c r="G93" s="339"/>
      <c r="H93" s="339"/>
      <c r="I93" s="339"/>
      <c r="J93" s="339"/>
      <c r="K93" s="339"/>
      <c r="L93" s="339"/>
      <c r="M93" s="340"/>
      <c r="N93" s="147"/>
      <c r="O93" s="147"/>
      <c r="P93" s="148"/>
    </row>
    <row r="94" spans="1:16" ht="13.8" thickTop="1" x14ac:dyDescent="0.25">
      <c r="A94" s="130"/>
      <c r="B94" s="130"/>
      <c r="C94" s="130"/>
      <c r="D94" s="130"/>
      <c r="E94" s="130"/>
      <c r="F94" s="130"/>
      <c r="G94" s="130"/>
      <c r="H94" s="130"/>
      <c r="I94" s="130"/>
      <c r="J94" s="130"/>
      <c r="K94" s="130"/>
      <c r="L94" s="130"/>
      <c r="M94" s="130"/>
      <c r="N94" s="130"/>
      <c r="O94" s="130"/>
      <c r="P94" s="130"/>
    </row>
  </sheetData>
  <mergeCells count="1">
    <mergeCell ref="B31:M9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199"/>
  <sheetViews>
    <sheetView tabSelected="1" zoomScale="85" zoomScaleNormal="85" zoomScaleSheetLayoutView="100" workbookViewId="0">
      <selection activeCell="F16" sqref="F16"/>
    </sheetView>
  </sheetViews>
  <sheetFormatPr defaultRowHeight="13.2" x14ac:dyDescent="0.25"/>
  <cols>
    <col min="1" max="1" width="0.44140625" customWidth="1"/>
    <col min="2" max="2" width="30" customWidth="1"/>
    <col min="3" max="3" width="15.33203125" customWidth="1"/>
    <col min="4" max="4" width="16.5546875" customWidth="1"/>
    <col min="5" max="5" width="20.6640625" customWidth="1"/>
    <col min="6" max="6" width="15.6640625" customWidth="1"/>
    <col min="7" max="7" width="5.5546875" style="99" customWidth="1"/>
    <col min="8" max="8" width="9.5546875" customWidth="1"/>
    <col min="9" max="9" width="19" customWidth="1"/>
    <col min="11" max="11" width="10.77734375" customWidth="1"/>
    <col min="12" max="12" width="8.33203125" customWidth="1"/>
    <col min="13" max="13" width="9.6640625" customWidth="1"/>
    <col min="14" max="19" width="0" hidden="1" customWidth="1"/>
    <col min="20" max="20" width="2.6640625" hidden="1" customWidth="1"/>
    <col min="21" max="21" width="3" hidden="1" customWidth="1"/>
    <col min="22" max="22" width="1.33203125" hidden="1" customWidth="1"/>
    <col min="23" max="23" width="3.6640625" hidden="1" customWidth="1"/>
    <col min="24" max="38" width="0" hidden="1" customWidth="1"/>
    <col min="39" max="39" width="13.21875" customWidth="1"/>
    <col min="40" max="40" width="6.6640625" hidden="1" customWidth="1"/>
    <col min="41" max="41" width="9.33203125" hidden="1" customWidth="1"/>
    <col min="42" max="42" width="12.33203125" hidden="1" customWidth="1"/>
    <col min="43" max="43" width="12" hidden="1" customWidth="1"/>
    <col min="44" max="44" width="13.44140625" hidden="1" customWidth="1"/>
    <col min="45" max="45" width="1.5546875" hidden="1" customWidth="1"/>
    <col min="46" max="46" width="14.6640625" customWidth="1"/>
    <col min="47" max="47" width="11.33203125" customWidth="1"/>
    <col min="48" max="48" width="13" customWidth="1"/>
    <col min="49" max="49" width="13.44140625" customWidth="1"/>
    <col min="50" max="50" width="14.6640625" customWidth="1"/>
    <col min="51" max="51" width="14.33203125" customWidth="1"/>
    <col min="52" max="52" width="12.6640625" customWidth="1"/>
    <col min="53" max="53" width="12.5546875" customWidth="1"/>
    <col min="54" max="54" width="9.6640625" customWidth="1"/>
    <col min="55" max="55" width="12.6640625" customWidth="1"/>
    <col min="56" max="57" width="13.6640625" customWidth="1"/>
    <col min="58" max="59" width="14.44140625" customWidth="1"/>
    <col min="60" max="60" width="15.44140625" customWidth="1"/>
    <col min="61" max="61" width="15.33203125" customWidth="1"/>
    <col min="62" max="62" width="15.6640625" customWidth="1"/>
    <col min="63" max="63" width="12.5546875" customWidth="1"/>
    <col min="64" max="64" width="16.6640625" customWidth="1"/>
    <col min="65" max="65" width="15.44140625" customWidth="1"/>
    <col min="66" max="66" width="14.5546875" customWidth="1"/>
    <col min="67" max="67" width="10" customWidth="1"/>
    <col min="68" max="68" width="6.33203125" customWidth="1"/>
    <col min="69" max="69" width="7.33203125" customWidth="1"/>
    <col min="70" max="70" width="8.33203125" customWidth="1"/>
    <col min="71" max="71" width="4.6640625" customWidth="1"/>
  </cols>
  <sheetData>
    <row r="1" spans="1:39" s="70" customFormat="1" ht="60.75" customHeight="1" x14ac:dyDescent="0.3">
      <c r="A1" s="345" t="s">
        <v>482</v>
      </c>
      <c r="B1" s="346"/>
      <c r="C1" s="346"/>
      <c r="D1" s="346"/>
      <c r="E1" s="346"/>
      <c r="F1" s="346"/>
      <c r="G1" s="346"/>
      <c r="H1" s="346"/>
      <c r="I1" s="346"/>
      <c r="J1" s="346"/>
      <c r="K1" s="346"/>
      <c r="L1" s="346"/>
      <c r="M1" s="346"/>
      <c r="N1" s="31"/>
      <c r="O1" s="31"/>
      <c r="P1" s="31"/>
      <c r="Q1" s="31"/>
      <c r="R1" s="29"/>
      <c r="S1" s="30"/>
      <c r="T1" s="28"/>
      <c r="U1" s="28"/>
      <c r="V1" s="28"/>
      <c r="W1" s="28"/>
      <c r="X1" s="28"/>
      <c r="Y1" s="28"/>
      <c r="Z1" s="28"/>
      <c r="AA1" s="28"/>
      <c r="AB1" s="28"/>
      <c r="AC1" s="28"/>
      <c r="AD1" s="28"/>
      <c r="AE1" s="28"/>
      <c r="AF1" s="28"/>
      <c r="AG1" s="28"/>
      <c r="AH1" s="28"/>
      <c r="AI1" s="28"/>
      <c r="AJ1" s="28"/>
      <c r="AK1" s="28"/>
      <c r="AL1" s="28"/>
      <c r="AM1" s="28"/>
    </row>
    <row r="2" spans="1:39" ht="15.6" x14ac:dyDescent="0.25">
      <c r="A2" s="11"/>
      <c r="B2" s="27"/>
      <c r="C2" s="11"/>
      <c r="D2" s="11"/>
      <c r="E2" s="11"/>
      <c r="F2" s="12"/>
      <c r="G2" s="12"/>
      <c r="H2" s="11"/>
      <c r="I2" s="11"/>
      <c r="J2" s="11"/>
      <c r="K2" s="11"/>
      <c r="L2" s="362"/>
      <c r="M2" s="362"/>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39" x14ac:dyDescent="0.25">
      <c r="A3" s="11"/>
      <c r="B3" s="11"/>
      <c r="C3" s="11"/>
      <c r="D3" s="11"/>
      <c r="E3" s="11"/>
      <c r="F3" s="11"/>
      <c r="G3" s="12"/>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x14ac:dyDescent="0.25">
      <c r="A4" s="11"/>
      <c r="B4" s="11"/>
      <c r="C4" s="11"/>
      <c r="D4" s="11"/>
      <c r="E4" s="11"/>
      <c r="F4" s="11"/>
      <c r="G4" s="12"/>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x14ac:dyDescent="0.25">
      <c r="A5" s="11"/>
      <c r="B5" s="11"/>
      <c r="C5" s="11"/>
      <c r="D5" s="11"/>
      <c r="E5" s="11"/>
      <c r="F5" s="11"/>
      <c r="G5" s="12"/>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x14ac:dyDescent="0.25">
      <c r="A6" s="11"/>
      <c r="B6" s="11"/>
      <c r="C6" s="11"/>
      <c r="D6" s="11"/>
      <c r="E6" s="11"/>
      <c r="F6" s="11"/>
      <c r="G6" s="12"/>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x14ac:dyDescent="0.25">
      <c r="A7" s="11"/>
      <c r="B7" s="11"/>
      <c r="C7" s="11"/>
      <c r="D7" s="11"/>
      <c r="E7" s="11"/>
      <c r="F7" s="11"/>
      <c r="G7" s="12"/>
      <c r="H7" s="11"/>
      <c r="I7" s="11"/>
      <c r="J7" s="11"/>
      <c r="K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x14ac:dyDescent="0.25">
      <c r="A8" s="11"/>
      <c r="B8" s="11"/>
      <c r="C8" s="11"/>
      <c r="D8" s="11"/>
      <c r="E8" s="11"/>
      <c r="F8" s="11"/>
      <c r="G8" s="12"/>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ht="15" customHeight="1" x14ac:dyDescent="0.25">
      <c r="A9" s="11"/>
      <c r="B9" s="15"/>
      <c r="C9" s="125"/>
      <c r="D9" s="120" t="s">
        <v>293</v>
      </c>
      <c r="E9" s="66"/>
      <c r="F9" s="11"/>
      <c r="G9" s="12"/>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39" ht="15" customHeight="1" x14ac:dyDescent="0.25">
      <c r="A10" s="11"/>
      <c r="B10" s="16"/>
      <c r="C10" s="13"/>
      <c r="D10" s="120" t="s">
        <v>448</v>
      </c>
      <c r="E10" s="67"/>
      <c r="F10" s="11"/>
      <c r="G10" s="12"/>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39" ht="22.95" customHeight="1" x14ac:dyDescent="0.25">
      <c r="A11" s="11"/>
      <c r="B11" s="16"/>
      <c r="C11" s="129"/>
      <c r="D11" s="347" t="s">
        <v>348</v>
      </c>
      <c r="E11" s="348"/>
      <c r="F11" s="11"/>
      <c r="G11" s="12"/>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row>
    <row r="12" spans="1:39" ht="21.6" customHeight="1" x14ac:dyDescent="0.25">
      <c r="A12" s="11"/>
      <c r="B12" s="16"/>
      <c r="C12" s="128"/>
      <c r="D12" s="347"/>
      <c r="E12" s="348"/>
      <c r="F12" s="11"/>
      <c r="G12" s="12"/>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row>
    <row r="13" spans="1:39" ht="15" customHeight="1" thickBot="1" x14ac:dyDescent="0.3">
      <c r="A13" s="11"/>
      <c r="B13" s="11"/>
      <c r="C13" s="11"/>
      <c r="D13" s="11"/>
      <c r="E13" s="11"/>
      <c r="F13" s="22"/>
      <c r="G13" s="12"/>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row>
    <row r="14" spans="1:39" ht="15" customHeight="1" x14ac:dyDescent="0.25">
      <c r="A14" s="11"/>
      <c r="B14" s="84" t="s">
        <v>112</v>
      </c>
      <c r="C14" s="51"/>
      <c r="D14" s="51"/>
      <c r="E14" s="52" t="s">
        <v>437</v>
      </c>
      <c r="F14" s="118">
        <v>6</v>
      </c>
      <c r="G14" s="106" t="s">
        <v>68</v>
      </c>
      <c r="H14" s="51"/>
      <c r="I14" s="308" t="s">
        <v>471</v>
      </c>
      <c r="J14" s="309" t="s">
        <v>472</v>
      </c>
      <c r="K14" s="310"/>
      <c r="L14" s="311" t="s">
        <v>121</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71"/>
    </row>
    <row r="15" spans="1:39" ht="15" customHeight="1" x14ac:dyDescent="0.25">
      <c r="A15" s="11"/>
      <c r="B15" s="53"/>
      <c r="C15" s="14"/>
      <c r="D15" s="14"/>
      <c r="E15" s="35" t="s">
        <v>438</v>
      </c>
      <c r="F15" s="119">
        <v>12</v>
      </c>
      <c r="G15" s="107" t="s">
        <v>68</v>
      </c>
      <c r="H15" s="14"/>
      <c r="I15" s="320" t="s">
        <v>483</v>
      </c>
      <c r="J15" s="351">
        <v>60</v>
      </c>
      <c r="K15" s="352"/>
      <c r="L15" s="321" t="s">
        <v>473</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59"/>
    </row>
    <row r="16" spans="1:39" ht="15" customHeight="1" x14ac:dyDescent="0.25">
      <c r="A16" s="11"/>
      <c r="B16" s="54"/>
      <c r="C16" s="14"/>
      <c r="D16" s="14"/>
      <c r="E16" s="35" t="s">
        <v>439</v>
      </c>
      <c r="F16" s="119">
        <v>16</v>
      </c>
      <c r="G16" s="107" t="s">
        <v>68</v>
      </c>
      <c r="H16" s="14"/>
      <c r="I16" s="320" t="s">
        <v>484</v>
      </c>
      <c r="J16" s="351">
        <v>55</v>
      </c>
      <c r="K16" s="352"/>
      <c r="L16" s="321" t="s">
        <v>473</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59"/>
    </row>
    <row r="17" spans="1:45" ht="15" customHeight="1" x14ac:dyDescent="0.25">
      <c r="A17" s="11"/>
      <c r="B17" s="54"/>
      <c r="C17" s="14"/>
      <c r="D17" s="14"/>
      <c r="E17" s="35" t="s">
        <v>87</v>
      </c>
      <c r="F17" s="119">
        <v>10</v>
      </c>
      <c r="G17" s="107" t="s">
        <v>27</v>
      </c>
      <c r="H17" s="14"/>
      <c r="I17" s="320" t="s">
        <v>486</v>
      </c>
      <c r="J17" s="351">
        <v>50</v>
      </c>
      <c r="K17" s="352"/>
      <c r="L17" s="321" t="s">
        <v>473</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59"/>
    </row>
    <row r="18" spans="1:45" ht="15" customHeight="1" x14ac:dyDescent="0.25">
      <c r="A18" s="11"/>
      <c r="B18" s="54"/>
      <c r="C18" s="14"/>
      <c r="D18" s="14"/>
      <c r="E18" s="35" t="s">
        <v>449</v>
      </c>
      <c r="F18" s="119">
        <v>330</v>
      </c>
      <c r="G18" s="107" t="s">
        <v>65</v>
      </c>
      <c r="H18" s="14"/>
      <c r="I18" s="320" t="s">
        <v>485</v>
      </c>
      <c r="J18" s="351">
        <v>55</v>
      </c>
      <c r="K18" s="352"/>
      <c r="L18" s="321" t="s">
        <v>473</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59"/>
    </row>
    <row r="19" spans="1:45" ht="15" customHeight="1" x14ac:dyDescent="0.25">
      <c r="A19" s="11"/>
      <c r="B19" s="54"/>
      <c r="C19" s="14"/>
      <c r="D19" s="14"/>
      <c r="E19" s="35" t="s">
        <v>86</v>
      </c>
      <c r="F19" s="191">
        <v>55</v>
      </c>
      <c r="G19" s="107" t="s">
        <v>89</v>
      </c>
      <c r="H19" s="14"/>
      <c r="I19" s="324" t="s">
        <v>490</v>
      </c>
      <c r="J19" s="353">
        <v>100</v>
      </c>
      <c r="K19" s="354"/>
      <c r="L19" s="325" t="s">
        <v>473</v>
      </c>
      <c r="M19" s="357" t="s">
        <v>492</v>
      </c>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9"/>
    </row>
    <row r="20" spans="1:45" s="240" customFormat="1" ht="15" hidden="1" customHeight="1" x14ac:dyDescent="0.25">
      <c r="C20" s="68"/>
      <c r="D20" s="68"/>
      <c r="E20" s="69" t="s">
        <v>456</v>
      </c>
      <c r="F20" s="242">
        <v>2.7</v>
      </c>
      <c r="G20" s="243" t="s">
        <v>68</v>
      </c>
      <c r="H20" s="68"/>
      <c r="I20" s="315"/>
      <c r="J20" s="341"/>
      <c r="K20" s="342"/>
      <c r="L20" s="312"/>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244"/>
    </row>
    <row r="21" spans="1:45" s="240" customFormat="1" ht="15" hidden="1" customHeight="1" x14ac:dyDescent="0.25">
      <c r="C21" s="68"/>
      <c r="D21" s="68"/>
      <c r="E21" s="69" t="s">
        <v>466</v>
      </c>
      <c r="F21" s="242">
        <v>1</v>
      </c>
      <c r="G21" s="243" t="s">
        <v>8</v>
      </c>
      <c r="H21" s="68"/>
      <c r="I21" s="315"/>
      <c r="J21" s="341"/>
      <c r="K21" s="342"/>
      <c r="L21" s="312"/>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244"/>
    </row>
    <row r="22" spans="1:45" ht="15" customHeight="1" x14ac:dyDescent="0.25">
      <c r="A22" s="11"/>
      <c r="C22" s="14"/>
      <c r="D22" s="14"/>
      <c r="E22" s="35" t="s">
        <v>455</v>
      </c>
      <c r="F22" s="191">
        <v>1000</v>
      </c>
      <c r="G22" s="107" t="s">
        <v>379</v>
      </c>
      <c r="H22" s="14"/>
      <c r="I22" s="326" t="s">
        <v>490</v>
      </c>
      <c r="J22" s="355">
        <v>75.599999999999994</v>
      </c>
      <c r="K22" s="356"/>
      <c r="L22" s="327" t="s">
        <v>473</v>
      </c>
      <c r="M22" s="330" t="s">
        <v>491</v>
      </c>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row>
    <row r="23" spans="1:45" s="240" customFormat="1" ht="15" hidden="1" customHeight="1" x14ac:dyDescent="0.25">
      <c r="B23" s="241"/>
      <c r="C23" s="68"/>
      <c r="D23" s="68"/>
      <c r="E23" s="69" t="s">
        <v>443</v>
      </c>
      <c r="F23" s="242">
        <v>15</v>
      </c>
      <c r="G23" s="243" t="s">
        <v>27</v>
      </c>
      <c r="H23" s="68"/>
      <c r="I23" s="315"/>
      <c r="J23" s="341"/>
      <c r="K23" s="342"/>
      <c r="L23" s="312"/>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244"/>
    </row>
    <row r="24" spans="1:45" s="240" customFormat="1" ht="15" hidden="1" customHeight="1" x14ac:dyDescent="0.25">
      <c r="B24" s="241"/>
      <c r="C24" s="68"/>
      <c r="D24" s="68"/>
      <c r="E24" s="69" t="s">
        <v>457</v>
      </c>
      <c r="F24" s="242">
        <v>30</v>
      </c>
      <c r="G24" s="243" t="s">
        <v>27</v>
      </c>
      <c r="H24" s="68"/>
      <c r="I24" s="315"/>
      <c r="J24" s="341"/>
      <c r="K24" s="342"/>
      <c r="L24" s="31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244"/>
    </row>
    <row r="25" spans="1:45" ht="15" customHeight="1" x14ac:dyDescent="0.25">
      <c r="A25" s="11"/>
      <c r="B25" s="363" t="s">
        <v>464</v>
      </c>
      <c r="C25" s="14"/>
      <c r="D25" s="14"/>
      <c r="E25" s="35" t="s">
        <v>475</v>
      </c>
      <c r="F25" s="191">
        <v>55</v>
      </c>
      <c r="G25" s="107" t="s">
        <v>473</v>
      </c>
      <c r="H25" s="14"/>
      <c r="I25" s="314"/>
      <c r="J25" s="341"/>
      <c r="K25" s="342"/>
      <c r="L25" s="312"/>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59"/>
      <c r="AN25" s="227"/>
      <c r="AO25" s="227"/>
      <c r="AP25" s="227"/>
      <c r="AQ25" s="227"/>
      <c r="AR25" s="227"/>
      <c r="AS25" s="227"/>
    </row>
    <row r="26" spans="1:45" ht="15" customHeight="1" thickBot="1" x14ac:dyDescent="0.3">
      <c r="A26" s="11"/>
      <c r="B26" s="363"/>
      <c r="C26" s="14"/>
      <c r="D26" s="14"/>
      <c r="E26" s="35"/>
      <c r="F26" s="317"/>
      <c r="G26" s="107"/>
      <c r="H26" s="14"/>
      <c r="I26" s="314"/>
      <c r="J26" s="322"/>
      <c r="K26" s="323"/>
      <c r="L26" s="312"/>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59"/>
      <c r="AN26" s="227"/>
      <c r="AO26" s="227"/>
      <c r="AP26" s="227"/>
      <c r="AQ26" s="227"/>
      <c r="AR26" s="227"/>
      <c r="AS26" s="227"/>
    </row>
    <row r="27" spans="1:45" ht="15" customHeight="1" thickBot="1" x14ac:dyDescent="0.3">
      <c r="A27" s="11"/>
      <c r="B27" s="363"/>
      <c r="C27" s="55"/>
      <c r="D27" s="55"/>
      <c r="E27" s="56"/>
      <c r="F27" s="317"/>
      <c r="G27" s="109"/>
      <c r="H27" s="55"/>
      <c r="I27" s="316"/>
      <c r="J27" s="365"/>
      <c r="K27" s="366"/>
      <c r="L27" s="313"/>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3"/>
      <c r="AN27" s="227"/>
      <c r="AO27" s="227"/>
      <c r="AP27" s="227"/>
      <c r="AQ27" s="227"/>
      <c r="AR27" s="227"/>
      <c r="AS27" s="227"/>
    </row>
    <row r="28" spans="1:45" s="240" customFormat="1" ht="15" hidden="1" customHeight="1" x14ac:dyDescent="0.25">
      <c r="B28" s="245" t="s">
        <v>172</v>
      </c>
      <c r="C28" s="68"/>
      <c r="D28" s="68"/>
      <c r="E28" s="246"/>
      <c r="F28" s="247"/>
      <c r="G28" s="243"/>
      <c r="H28" s="68"/>
      <c r="I28" s="68"/>
      <c r="J28" s="367"/>
      <c r="K28" s="3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244"/>
      <c r="AN28" s="248" t="s">
        <v>159</v>
      </c>
      <c r="AO28" s="249"/>
      <c r="AP28" s="249"/>
      <c r="AQ28" s="249"/>
      <c r="AR28" s="249"/>
      <c r="AS28" s="249"/>
    </row>
    <row r="29" spans="1:45" s="240" customFormat="1" ht="15" hidden="1" customHeight="1" x14ac:dyDescent="0.25">
      <c r="B29" s="250"/>
      <c r="C29" s="68"/>
      <c r="D29" s="68"/>
      <c r="E29" s="69" t="s">
        <v>465</v>
      </c>
      <c r="F29" s="251">
        <v>1</v>
      </c>
      <c r="G29" s="243" t="s">
        <v>67</v>
      </c>
      <c r="H29" s="252"/>
      <c r="I29" s="68"/>
      <c r="J29" s="341"/>
      <c r="K29" s="342"/>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244"/>
      <c r="AN29" s="248" t="s">
        <v>157</v>
      </c>
      <c r="AO29" s="249"/>
      <c r="AP29" s="249"/>
      <c r="AQ29" s="249"/>
      <c r="AR29" s="249"/>
      <c r="AS29" s="249"/>
    </row>
    <row r="30" spans="1:45" s="240" customFormat="1" ht="15" hidden="1" customHeight="1" x14ac:dyDescent="0.25">
      <c r="B30" s="241"/>
      <c r="C30" s="68"/>
      <c r="D30" s="68"/>
      <c r="E30" s="69" t="s">
        <v>440</v>
      </c>
      <c r="F30" s="251">
        <v>50</v>
      </c>
      <c r="G30" s="253" t="s">
        <v>69</v>
      </c>
      <c r="H30" s="252"/>
      <c r="I30" s="68"/>
      <c r="J30" s="341"/>
      <c r="K30" s="342"/>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244"/>
      <c r="AN30" s="248"/>
      <c r="AO30" s="249"/>
      <c r="AP30" s="249"/>
      <c r="AQ30" s="249"/>
      <c r="AR30" s="254">
        <v>10</v>
      </c>
      <c r="AS30" s="255" t="e">
        <f>AS38/0.1</f>
        <v>#DIV/0!</v>
      </c>
    </row>
    <row r="31" spans="1:45" s="240" customFormat="1" ht="15" hidden="1" customHeight="1" x14ac:dyDescent="0.25">
      <c r="B31" s="241"/>
      <c r="C31" s="68"/>
      <c r="D31" s="68"/>
      <c r="E31" s="69" t="s">
        <v>441</v>
      </c>
      <c r="F31" s="256">
        <f>Equations!F28</f>
        <v>40</v>
      </c>
      <c r="G31" s="243" t="s">
        <v>66</v>
      </c>
      <c r="H31" s="252"/>
      <c r="I31" s="68"/>
      <c r="J31" s="341"/>
      <c r="K31" s="342"/>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244"/>
      <c r="AN31" s="248"/>
      <c r="AO31" s="249"/>
      <c r="AP31" s="249"/>
      <c r="AQ31" s="249"/>
      <c r="AR31" s="254"/>
      <c r="AS31" s="255"/>
    </row>
    <row r="32" spans="1:45" s="240" customFormat="1" ht="15" hidden="1" customHeight="1" x14ac:dyDescent="0.25">
      <c r="B32" s="241"/>
      <c r="C32" s="68"/>
      <c r="D32" s="68"/>
      <c r="E32" s="69" t="s">
        <v>410</v>
      </c>
      <c r="F32" s="257">
        <v>40</v>
      </c>
      <c r="G32" s="243" t="s">
        <v>66</v>
      </c>
      <c r="H32" s="252"/>
      <c r="I32" s="68"/>
      <c r="J32" s="341"/>
      <c r="K32" s="342"/>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244"/>
      <c r="AN32" s="248"/>
      <c r="AO32" s="249"/>
      <c r="AP32" s="249"/>
      <c r="AQ32" s="249"/>
      <c r="AR32" s="254"/>
      <c r="AS32" s="255"/>
    </row>
    <row r="33" spans="1:45" s="240" customFormat="1" ht="15" hidden="1" customHeight="1" x14ac:dyDescent="0.25">
      <c r="B33" s="241"/>
      <c r="C33" s="68"/>
      <c r="D33" s="68"/>
      <c r="E33" s="69" t="s">
        <v>73</v>
      </c>
      <c r="F33" s="258">
        <f>F34*0.9</f>
        <v>13.5</v>
      </c>
      <c r="G33" s="243" t="s">
        <v>27</v>
      </c>
      <c r="H33" s="252"/>
      <c r="I33" s="68"/>
      <c r="J33" s="341"/>
      <c r="K33" s="342"/>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244"/>
      <c r="AN33" s="248"/>
      <c r="AO33" s="249"/>
      <c r="AP33" s="249"/>
      <c r="AQ33" s="249"/>
      <c r="AR33" s="254"/>
      <c r="AS33" s="255"/>
    </row>
    <row r="34" spans="1:45" s="240" customFormat="1" ht="15" hidden="1" customHeight="1" x14ac:dyDescent="0.25">
      <c r="B34" s="241"/>
      <c r="C34" s="68"/>
      <c r="D34" s="68"/>
      <c r="E34" s="69" t="s">
        <v>74</v>
      </c>
      <c r="F34" s="259">
        <f>Equations!I23</f>
        <v>15</v>
      </c>
      <c r="G34" s="243" t="s">
        <v>27</v>
      </c>
      <c r="H34" s="252"/>
      <c r="I34" s="68"/>
      <c r="J34" s="341"/>
      <c r="K34" s="342"/>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244"/>
      <c r="AN34" s="248"/>
      <c r="AO34" s="249"/>
      <c r="AP34" s="249"/>
      <c r="AQ34" s="249"/>
      <c r="AR34" s="254"/>
      <c r="AS34" s="255"/>
    </row>
    <row r="35" spans="1:45" s="240" customFormat="1" ht="15" hidden="1" customHeight="1" x14ac:dyDescent="0.25">
      <c r="B35" s="364" t="s">
        <v>464</v>
      </c>
      <c r="C35" s="68"/>
      <c r="D35" s="68"/>
      <c r="E35" s="69" t="s">
        <v>75</v>
      </c>
      <c r="F35" s="259">
        <f>F34*1.1</f>
        <v>16.5</v>
      </c>
      <c r="G35" s="243" t="s">
        <v>27</v>
      </c>
      <c r="H35" s="252"/>
      <c r="I35" s="68"/>
      <c r="J35" s="341"/>
      <c r="K35" s="342"/>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244"/>
      <c r="AN35" s="248"/>
      <c r="AO35" s="249"/>
      <c r="AP35" s="249"/>
      <c r="AQ35" s="249"/>
      <c r="AR35" s="254"/>
      <c r="AS35" s="255"/>
    </row>
    <row r="36" spans="1:45" s="240" customFormat="1" ht="15" hidden="1" customHeight="1" x14ac:dyDescent="0.25">
      <c r="B36" s="364"/>
      <c r="C36" s="68"/>
      <c r="D36" s="68"/>
      <c r="E36" s="69" t="s">
        <v>430</v>
      </c>
      <c r="F36" s="256">
        <f>Equations!F29</f>
        <v>10</v>
      </c>
      <c r="G36" s="243" t="s">
        <v>66</v>
      </c>
      <c r="H36" s="252"/>
      <c r="I36" s="68"/>
      <c r="J36" s="341"/>
      <c r="K36" s="342"/>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244"/>
      <c r="AN36" s="248"/>
      <c r="AO36" s="249"/>
      <c r="AP36" s="249"/>
      <c r="AQ36" s="249"/>
      <c r="AR36" s="254">
        <v>100</v>
      </c>
      <c r="AS36" s="255" t="e">
        <f>AS38</f>
        <v>#DIV/0!</v>
      </c>
    </row>
    <row r="37" spans="1:45" s="240" customFormat="1" ht="15" hidden="1" customHeight="1" x14ac:dyDescent="0.25">
      <c r="B37" s="364"/>
      <c r="C37" s="68"/>
      <c r="D37" s="68"/>
      <c r="E37" s="69" t="s">
        <v>429</v>
      </c>
      <c r="F37" s="256">
        <f>Equations!L29</f>
        <v>18.518518518518519</v>
      </c>
      <c r="G37" s="243" t="s">
        <v>66</v>
      </c>
      <c r="H37" s="252"/>
      <c r="I37" s="68"/>
      <c r="J37" s="341"/>
      <c r="K37" s="342"/>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244"/>
      <c r="AN37" s="248"/>
      <c r="AO37" s="249"/>
      <c r="AP37" s="249"/>
      <c r="AQ37" s="249"/>
      <c r="AR37" s="254"/>
      <c r="AS37" s="255"/>
    </row>
    <row r="38" spans="1:45" s="240" customFormat="1" ht="15" hidden="1" customHeight="1" x14ac:dyDescent="0.25">
      <c r="B38" s="241"/>
      <c r="C38" s="68"/>
      <c r="D38" s="68"/>
      <c r="E38" s="69" t="s">
        <v>412</v>
      </c>
      <c r="F38" s="257">
        <v>10</v>
      </c>
      <c r="G38" s="243" t="s">
        <v>66</v>
      </c>
      <c r="H38" s="252"/>
      <c r="I38" s="68"/>
      <c r="J38" s="341"/>
      <c r="K38" s="342"/>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244"/>
      <c r="AN38" s="248"/>
      <c r="AO38" s="249"/>
      <c r="AP38" s="249"/>
      <c r="AQ38" s="249"/>
      <c r="AR38" s="254"/>
      <c r="AS38" s="255" t="e">
        <f>0.35/(RSNS*IOUTMAX)*100</f>
        <v>#DIV/0!</v>
      </c>
    </row>
    <row r="39" spans="1:45" s="240" customFormat="1" ht="15" hidden="1" customHeight="1" x14ac:dyDescent="0.25">
      <c r="B39" s="241"/>
      <c r="C39" s="68"/>
      <c r="D39" s="68"/>
      <c r="E39" s="69" t="s">
        <v>450</v>
      </c>
      <c r="F39" s="256">
        <f>Equations!I29</f>
        <v>2.7</v>
      </c>
      <c r="G39" s="243" t="s">
        <v>68</v>
      </c>
      <c r="H39" s="252"/>
      <c r="I39" s="68"/>
      <c r="J39" s="341"/>
      <c r="K39" s="342"/>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244"/>
      <c r="AN39" s="248"/>
      <c r="AO39" s="249"/>
      <c r="AP39" s="249"/>
      <c r="AQ39" s="249"/>
      <c r="AR39" s="249"/>
      <c r="AS39" s="249"/>
    </row>
    <row r="40" spans="1:45" s="240" customFormat="1" ht="15" hidden="1" customHeight="1" x14ac:dyDescent="0.25">
      <c r="B40" s="241"/>
      <c r="C40" s="68"/>
      <c r="D40" s="68"/>
      <c r="E40" s="69" t="s">
        <v>433</v>
      </c>
      <c r="F40" s="256">
        <f>Equations!F32</f>
        <v>1</v>
      </c>
      <c r="G40" s="243" t="s">
        <v>66</v>
      </c>
      <c r="H40" s="252"/>
      <c r="I40" s="68"/>
      <c r="J40" s="341"/>
      <c r="K40" s="342"/>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244"/>
      <c r="AN40" s="248"/>
      <c r="AO40" s="249"/>
      <c r="AP40" s="249"/>
      <c r="AQ40" s="249"/>
      <c r="AR40" s="249"/>
      <c r="AS40" s="249"/>
    </row>
    <row r="41" spans="1:45" s="240" customFormat="1" ht="15" hidden="1" customHeight="1" x14ac:dyDescent="0.25">
      <c r="B41" s="241"/>
      <c r="C41" s="68"/>
      <c r="D41" s="68"/>
      <c r="E41" s="69" t="s">
        <v>432</v>
      </c>
      <c r="F41" s="251">
        <v>1</v>
      </c>
      <c r="G41" s="243" t="s">
        <v>66</v>
      </c>
      <c r="H41" s="252"/>
      <c r="I41" s="68"/>
      <c r="J41" s="341"/>
      <c r="K41" s="342"/>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244"/>
      <c r="AN41" s="248"/>
      <c r="AO41" s="249"/>
      <c r="AP41" s="249"/>
      <c r="AQ41" s="249"/>
      <c r="AR41" s="249"/>
      <c r="AS41" s="249"/>
    </row>
    <row r="42" spans="1:45" s="240" customFormat="1" ht="15" hidden="1" customHeight="1" x14ac:dyDescent="0.25">
      <c r="B42" s="241"/>
      <c r="C42" s="68"/>
      <c r="D42" s="68"/>
      <c r="E42" s="69" t="s">
        <v>436</v>
      </c>
      <c r="F42" s="256">
        <f>Equations!I32</f>
        <v>30</v>
      </c>
      <c r="G42" s="243" t="s">
        <v>27</v>
      </c>
      <c r="H42" s="252"/>
      <c r="I42" s="68"/>
      <c r="J42" s="341"/>
      <c r="K42" s="342"/>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244"/>
      <c r="AN42" s="248"/>
      <c r="AO42" s="249"/>
      <c r="AP42" s="249"/>
      <c r="AQ42" s="249"/>
      <c r="AR42" s="249"/>
      <c r="AS42" s="249"/>
    </row>
    <row r="43" spans="1:45" s="240" customFormat="1" ht="15" hidden="1" customHeight="1" x14ac:dyDescent="0.25">
      <c r="B43" s="241"/>
      <c r="C43" s="68"/>
      <c r="D43" s="68"/>
      <c r="E43" s="69" t="s">
        <v>431</v>
      </c>
      <c r="F43" s="256">
        <f>INDEX('Cap Tables'!B4:B75,MATCH(Equations!F30,'Cap Tables'!B4:B75)+1)</f>
        <v>68</v>
      </c>
      <c r="G43" s="243" t="s">
        <v>85</v>
      </c>
      <c r="H43" s="252"/>
      <c r="I43" s="68"/>
      <c r="J43" s="341"/>
      <c r="K43" s="342"/>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244"/>
      <c r="AN43" s="248">
        <f>Equations!F30</f>
        <v>64.583333333333343</v>
      </c>
      <c r="AO43" s="249"/>
      <c r="AP43" s="249"/>
      <c r="AQ43" s="249"/>
      <c r="AR43" s="249"/>
      <c r="AS43" s="249"/>
    </row>
    <row r="44" spans="1:45" s="240" customFormat="1" ht="15" hidden="1" customHeight="1" x14ac:dyDescent="0.25">
      <c r="B44" s="241"/>
      <c r="C44" s="68"/>
      <c r="D44" s="68"/>
      <c r="E44" s="69" t="s">
        <v>445</v>
      </c>
      <c r="F44" s="257">
        <v>68</v>
      </c>
      <c r="G44" s="243" t="s">
        <v>85</v>
      </c>
      <c r="H44" s="252"/>
      <c r="I44" s="68"/>
      <c r="J44" s="341"/>
      <c r="K44" s="342"/>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244"/>
      <c r="AN44" s="248"/>
      <c r="AO44" s="249"/>
      <c r="AP44" s="249"/>
      <c r="AQ44" s="249"/>
      <c r="AR44" s="249"/>
      <c r="AS44" s="249"/>
    </row>
    <row r="45" spans="1:45" s="240" customFormat="1" ht="15" hidden="1" customHeight="1" x14ac:dyDescent="0.25">
      <c r="B45" s="241"/>
      <c r="C45" s="68"/>
      <c r="D45" s="68"/>
      <c r="E45" s="69" t="s">
        <v>442</v>
      </c>
      <c r="F45" s="256">
        <f>Equations!I31</f>
        <v>1.0529032258064515</v>
      </c>
      <c r="G45" s="243" t="s">
        <v>8</v>
      </c>
      <c r="H45" s="252"/>
      <c r="I45" s="68"/>
      <c r="J45" s="341"/>
      <c r="K45" s="342"/>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244"/>
      <c r="AN45" s="248"/>
      <c r="AO45" s="249"/>
      <c r="AP45" s="249"/>
      <c r="AQ45" s="249"/>
      <c r="AR45" s="249"/>
      <c r="AS45" s="249"/>
    </row>
    <row r="46" spans="1:45" s="240" customFormat="1" ht="15" hidden="1" customHeight="1" x14ac:dyDescent="0.25">
      <c r="B46" s="241"/>
      <c r="C46" s="68"/>
      <c r="D46" s="68"/>
      <c r="E46" s="69" t="s">
        <v>389</v>
      </c>
      <c r="F46" s="260">
        <f>Equations!F31</f>
        <v>1543.6</v>
      </c>
      <c r="G46" s="243" t="s">
        <v>8</v>
      </c>
      <c r="H46" s="252"/>
      <c r="I46" s="68"/>
      <c r="J46" s="341"/>
      <c r="K46" s="342"/>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244"/>
      <c r="AN46" s="248"/>
      <c r="AO46" s="249"/>
      <c r="AP46" s="249"/>
      <c r="AQ46" s="249"/>
      <c r="AR46" s="249"/>
      <c r="AS46" s="249"/>
    </row>
    <row r="47" spans="1:45" s="240" customFormat="1" ht="15" hidden="1" customHeight="1" thickBot="1" x14ac:dyDescent="0.3">
      <c r="B47" s="261"/>
      <c r="C47" s="68"/>
      <c r="D47" s="68"/>
      <c r="E47" s="262"/>
      <c r="F47" s="263"/>
      <c r="G47" s="264"/>
      <c r="H47" s="265"/>
      <c r="I47" s="68"/>
      <c r="J47" s="341"/>
      <c r="K47" s="342"/>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244"/>
      <c r="AN47" s="249"/>
      <c r="AO47" s="249"/>
      <c r="AP47" s="249"/>
      <c r="AQ47" s="249"/>
      <c r="AR47" s="249"/>
      <c r="AS47" s="249"/>
    </row>
    <row r="48" spans="1:45" ht="13.8" x14ac:dyDescent="0.25">
      <c r="A48" s="11"/>
      <c r="B48" s="84" t="s">
        <v>480</v>
      </c>
      <c r="C48" s="51"/>
      <c r="D48" s="51"/>
      <c r="E48" s="26" t="s">
        <v>474</v>
      </c>
      <c r="F48" s="225" t="s">
        <v>463</v>
      </c>
      <c r="G48" s="108"/>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71"/>
      <c r="AN48" s="227"/>
      <c r="AO48" s="227"/>
      <c r="AP48" s="227"/>
      <c r="AQ48" s="227"/>
      <c r="AR48" s="227"/>
      <c r="AS48" s="227"/>
    </row>
    <row r="49" spans="1:45" ht="15.6" x14ac:dyDescent="0.35">
      <c r="A49" s="11"/>
      <c r="B49" s="54"/>
      <c r="C49" s="14"/>
      <c r="D49" s="14"/>
      <c r="E49" s="26" t="s">
        <v>201</v>
      </c>
      <c r="F49" s="226">
        <v>40</v>
      </c>
      <c r="G49" s="107" t="s">
        <v>90</v>
      </c>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59"/>
      <c r="AN49" s="227">
        <f>((((TJMAX-TAMB)/ThetaJA)/(CLMAX^2))*1000)*NUMFETS^2</f>
        <v>8.7235996326905418</v>
      </c>
      <c r="AO49" s="227">
        <f>((TJMAX-TAMB)/ThetaJA)</f>
        <v>2.375</v>
      </c>
      <c r="AP49" s="227"/>
      <c r="AQ49" s="227"/>
      <c r="AR49" s="227"/>
      <c r="AS49" s="227"/>
    </row>
    <row r="50" spans="1:45" x14ac:dyDescent="0.25">
      <c r="A50" s="11"/>
      <c r="B50" s="54"/>
      <c r="C50" s="14"/>
      <c r="D50" s="14"/>
      <c r="E50" s="26" t="s">
        <v>467</v>
      </c>
      <c r="F50" s="122">
        <v>1</v>
      </c>
      <c r="G50" s="107" t="s">
        <v>88</v>
      </c>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59"/>
      <c r="AN50" s="229" t="s">
        <v>202</v>
      </c>
      <c r="AO50" s="227"/>
      <c r="AP50" s="227"/>
      <c r="AQ50" s="227"/>
      <c r="AR50" s="227"/>
      <c r="AS50" s="227"/>
    </row>
    <row r="51" spans="1:45" ht="15.6" x14ac:dyDescent="0.35">
      <c r="A51" s="11"/>
      <c r="B51" s="54"/>
      <c r="C51" s="14"/>
      <c r="D51" s="14"/>
      <c r="E51" s="26" t="s">
        <v>204</v>
      </c>
      <c r="F51" s="122">
        <v>3.77</v>
      </c>
      <c r="G51" s="107" t="s">
        <v>67</v>
      </c>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59"/>
      <c r="AN51" s="228">
        <f>F51</f>
        <v>3.77</v>
      </c>
      <c r="AO51" s="227"/>
      <c r="AP51" s="227"/>
      <c r="AQ51" s="227"/>
      <c r="AR51" s="227"/>
      <c r="AS51" s="227"/>
    </row>
    <row r="52" spans="1:45" ht="15.6" x14ac:dyDescent="0.25">
      <c r="A52" s="11"/>
      <c r="B52" s="54"/>
      <c r="C52" s="14"/>
      <c r="D52" s="14"/>
      <c r="E52" s="26" t="s">
        <v>91</v>
      </c>
      <c r="F52" s="122">
        <v>150</v>
      </c>
      <c r="G52" s="107" t="s">
        <v>149</v>
      </c>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59"/>
      <c r="AN52" s="228">
        <f t="shared" ref="AN52:AN57" si="0">F52</f>
        <v>150</v>
      </c>
      <c r="AO52" s="227"/>
      <c r="AP52" s="227"/>
      <c r="AQ52" s="227"/>
      <c r="AR52" s="227"/>
      <c r="AS52" s="227"/>
    </row>
    <row r="53" spans="1:45" ht="15.6" x14ac:dyDescent="0.35">
      <c r="A53" s="11"/>
      <c r="B53" s="192"/>
      <c r="C53" s="14"/>
      <c r="D53" s="14"/>
      <c r="E53" s="26" t="s">
        <v>299</v>
      </c>
      <c r="F53" s="123">
        <v>160</v>
      </c>
      <c r="G53" s="107" t="s">
        <v>27</v>
      </c>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59"/>
      <c r="AN53" s="228">
        <f t="shared" si="0"/>
        <v>160</v>
      </c>
      <c r="AO53" s="227"/>
      <c r="AP53" s="227"/>
      <c r="AQ53" s="227"/>
      <c r="AR53" s="227"/>
      <c r="AS53" s="227"/>
    </row>
    <row r="54" spans="1:45" ht="15.6" x14ac:dyDescent="0.35">
      <c r="A54" s="11"/>
      <c r="B54" s="192"/>
      <c r="C54" s="14"/>
      <c r="D54" s="14"/>
      <c r="E54" s="26" t="s">
        <v>300</v>
      </c>
      <c r="F54" s="123">
        <v>21</v>
      </c>
      <c r="G54" s="107" t="s">
        <v>27</v>
      </c>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59"/>
      <c r="AN54" s="228">
        <f t="shared" si="0"/>
        <v>21</v>
      </c>
      <c r="AO54" s="227"/>
      <c r="AP54" s="227"/>
      <c r="AQ54" s="227"/>
      <c r="AR54" s="227"/>
      <c r="AS54" s="227"/>
    </row>
    <row r="55" spans="1:45" ht="15.6" x14ac:dyDescent="0.35">
      <c r="A55" s="11"/>
      <c r="C55" s="14"/>
      <c r="D55" s="14"/>
      <c r="E55" s="26" t="s">
        <v>301</v>
      </c>
      <c r="F55" s="123">
        <v>10</v>
      </c>
      <c r="G55" s="107" t="s">
        <v>27</v>
      </c>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59"/>
      <c r="AN55" s="228">
        <f t="shared" si="0"/>
        <v>10</v>
      </c>
      <c r="AO55" s="227"/>
      <c r="AP55" s="227"/>
      <c r="AQ55" s="227"/>
      <c r="AR55" s="360"/>
      <c r="AS55" s="227"/>
    </row>
    <row r="56" spans="1:45" ht="15.6" x14ac:dyDescent="0.35">
      <c r="A56" s="11"/>
      <c r="B56" s="192"/>
      <c r="C56" s="14"/>
      <c r="D56" s="14"/>
      <c r="E56" s="26" t="s">
        <v>302</v>
      </c>
      <c r="F56" s="123">
        <v>5</v>
      </c>
      <c r="G56" s="107" t="s">
        <v>27</v>
      </c>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59"/>
      <c r="AN56" s="228">
        <f t="shared" si="0"/>
        <v>5</v>
      </c>
      <c r="AO56" s="227"/>
      <c r="AP56" s="227"/>
      <c r="AQ56" s="227"/>
      <c r="AR56" s="360"/>
      <c r="AS56" s="227"/>
    </row>
    <row r="57" spans="1:45" ht="15.6" x14ac:dyDescent="0.35">
      <c r="A57" s="11"/>
      <c r="B57" s="194" t="s">
        <v>480</v>
      </c>
      <c r="C57" s="14"/>
      <c r="D57" s="14"/>
      <c r="E57" s="26" t="s">
        <v>303</v>
      </c>
      <c r="F57" s="123">
        <v>2.8</v>
      </c>
      <c r="G57" s="107" t="s">
        <v>27</v>
      </c>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59"/>
      <c r="AN57" s="228">
        <f t="shared" si="0"/>
        <v>2.8</v>
      </c>
      <c r="AO57" s="227"/>
      <c r="AP57" s="227"/>
      <c r="AQ57" s="227"/>
      <c r="AR57" s="360"/>
      <c r="AS57" s="227"/>
    </row>
    <row r="58" spans="1:45" ht="15" customHeight="1" x14ac:dyDescent="0.25">
      <c r="A58" s="11"/>
      <c r="B58" s="361" t="s">
        <v>362</v>
      </c>
      <c r="C58" s="14"/>
      <c r="D58" s="14"/>
      <c r="E58" s="26" t="s">
        <v>255</v>
      </c>
      <c r="F58" s="236">
        <f>(F17/NUMFETS)^2*RDSON/1000</f>
        <v>0.377</v>
      </c>
      <c r="G58" s="107" t="s">
        <v>69</v>
      </c>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59"/>
      <c r="AN58" s="227"/>
      <c r="AO58" s="227"/>
      <c r="AP58" s="227"/>
      <c r="AQ58" s="227"/>
      <c r="AR58" s="360"/>
      <c r="AS58" s="227"/>
    </row>
    <row r="59" spans="1:45" ht="15" customHeight="1" x14ac:dyDescent="0.35">
      <c r="A59" s="11"/>
      <c r="B59" s="361"/>
      <c r="C59" s="14"/>
      <c r="D59" s="14"/>
      <c r="E59" s="26" t="s">
        <v>203</v>
      </c>
      <c r="F59" s="231">
        <f>TAMB+(FETPDISS*ThetaJA)</f>
        <v>70.08</v>
      </c>
      <c r="G59" s="107" t="s">
        <v>89</v>
      </c>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59"/>
      <c r="AN59" s="227"/>
      <c r="AO59" s="227"/>
      <c r="AP59" s="227"/>
      <c r="AQ59" s="227"/>
      <c r="AR59" s="360"/>
      <c r="AS59" s="227"/>
    </row>
    <row r="60" spans="1:45" ht="15" customHeight="1" x14ac:dyDescent="0.25">
      <c r="A60" s="11"/>
      <c r="B60" s="361"/>
      <c r="C60" s="14"/>
      <c r="D60" s="14"/>
      <c r="E60" s="26"/>
      <c r="F60" s="230"/>
      <c r="G60" s="107"/>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59"/>
      <c r="AN60" s="227"/>
      <c r="AO60" s="227"/>
      <c r="AP60" s="227"/>
      <c r="AQ60" s="227"/>
      <c r="AR60" s="360"/>
      <c r="AS60" s="227"/>
    </row>
    <row r="61" spans="1:45" ht="15" customHeight="1" x14ac:dyDescent="0.25">
      <c r="A61" s="11"/>
      <c r="B61" s="361"/>
      <c r="C61" s="14"/>
      <c r="D61" s="14"/>
      <c r="E61" s="25"/>
      <c r="F61" s="25"/>
      <c r="G61" s="219"/>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59"/>
      <c r="AN61" s="227"/>
      <c r="AO61" s="227"/>
      <c r="AP61" s="227"/>
      <c r="AQ61" s="227"/>
      <c r="AR61" s="360"/>
      <c r="AS61" s="227"/>
    </row>
    <row r="62" spans="1:45" ht="15" customHeight="1" x14ac:dyDescent="0.25">
      <c r="A62" s="11"/>
      <c r="B62" s="361"/>
      <c r="C62" s="14"/>
      <c r="D62" s="14"/>
      <c r="E62" s="25"/>
      <c r="F62" s="25"/>
      <c r="G62" s="219"/>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59"/>
      <c r="AN62" s="227"/>
      <c r="AO62" s="227"/>
      <c r="AP62" s="227"/>
      <c r="AQ62" s="227"/>
      <c r="AR62" s="360"/>
      <c r="AS62" s="227"/>
    </row>
    <row r="63" spans="1:45" ht="15" customHeight="1" x14ac:dyDescent="0.25">
      <c r="A63" s="11"/>
      <c r="B63" s="361"/>
      <c r="C63" s="14"/>
      <c r="D63" s="14"/>
      <c r="E63" s="25"/>
      <c r="F63" s="25"/>
      <c r="G63" s="219"/>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59"/>
      <c r="AN63" s="227"/>
      <c r="AO63" s="227"/>
      <c r="AP63" s="227"/>
      <c r="AQ63" s="227"/>
      <c r="AR63" s="227"/>
      <c r="AS63" s="227"/>
    </row>
    <row r="64" spans="1:45" ht="15" customHeight="1" x14ac:dyDescent="0.25">
      <c r="A64" s="11"/>
      <c r="B64" s="361"/>
      <c r="C64" s="14"/>
      <c r="D64" s="14"/>
      <c r="E64" s="25"/>
      <c r="F64" s="25"/>
      <c r="G64" s="219"/>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59"/>
      <c r="AN64" s="227"/>
      <c r="AO64" s="227"/>
      <c r="AP64" s="227"/>
      <c r="AQ64" s="227"/>
      <c r="AR64" s="227"/>
      <c r="AS64" s="227"/>
    </row>
    <row r="65" spans="1:45" ht="24" customHeight="1" thickBot="1" x14ac:dyDescent="0.3">
      <c r="A65" s="11"/>
      <c r="B65" s="361"/>
      <c r="C65" s="14"/>
      <c r="D65" s="14"/>
      <c r="E65" s="25"/>
      <c r="F65" s="25"/>
      <c r="G65" s="221"/>
      <c r="H65" s="14"/>
      <c r="I65" s="349" t="s">
        <v>377</v>
      </c>
      <c r="J65" s="350"/>
      <c r="K65" s="350"/>
      <c r="L65" s="350"/>
      <c r="M65" s="350"/>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59"/>
      <c r="AN65" s="227"/>
      <c r="AO65" s="227"/>
      <c r="AP65" s="227"/>
      <c r="AQ65" s="227"/>
      <c r="AR65" s="227"/>
      <c r="AS65" s="227"/>
    </row>
    <row r="66" spans="1:45" ht="13.8" x14ac:dyDescent="0.25">
      <c r="A66" s="11"/>
      <c r="B66" s="84" t="s">
        <v>481</v>
      </c>
      <c r="C66" s="84"/>
      <c r="D66" s="51"/>
      <c r="E66" s="52" t="s">
        <v>152</v>
      </c>
      <c r="F66" s="122">
        <v>6</v>
      </c>
      <c r="G66" s="110" t="s">
        <v>68</v>
      </c>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71"/>
      <c r="AN66" s="228"/>
      <c r="AO66" s="227"/>
      <c r="AP66" s="227"/>
      <c r="AQ66" s="227"/>
      <c r="AR66" s="227"/>
      <c r="AS66" s="227"/>
    </row>
    <row r="67" spans="1:45" x14ac:dyDescent="0.25">
      <c r="A67" s="11"/>
      <c r="B67" s="57"/>
      <c r="C67" s="14"/>
      <c r="D67" s="14"/>
      <c r="E67" s="35" t="s">
        <v>97</v>
      </c>
      <c r="F67" s="122" t="s">
        <v>100</v>
      </c>
      <c r="G67" s="331"/>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59"/>
      <c r="AN67" s="228"/>
      <c r="AO67" s="227"/>
      <c r="AP67" s="227"/>
      <c r="AQ67" s="227"/>
      <c r="AR67" s="227"/>
      <c r="AS67" s="227"/>
    </row>
    <row r="68" spans="1:45" x14ac:dyDescent="0.25">
      <c r="A68" s="11"/>
      <c r="B68" s="54"/>
      <c r="C68" s="14"/>
      <c r="D68" s="14"/>
      <c r="E68" s="35" t="s">
        <v>98</v>
      </c>
      <c r="F68" s="122">
        <v>3</v>
      </c>
      <c r="G68" s="331" t="str">
        <f>IF(F67="Constant Current","A","Ohms")</f>
        <v>Ohms</v>
      </c>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59"/>
      <c r="AN68" s="227" t="s">
        <v>99</v>
      </c>
      <c r="AO68" s="227"/>
      <c r="AP68" s="227"/>
      <c r="AQ68" s="227"/>
      <c r="AR68" s="227"/>
      <c r="AS68" s="227"/>
    </row>
    <row r="69" spans="1:45" x14ac:dyDescent="0.25">
      <c r="A69" s="11"/>
      <c r="B69" s="54"/>
      <c r="C69" s="14"/>
      <c r="D69" s="14"/>
      <c r="E69" s="35" t="s">
        <v>158</v>
      </c>
      <c r="F69" s="121" t="s">
        <v>159</v>
      </c>
      <c r="G69" s="331"/>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59"/>
      <c r="AN69" s="227" t="s">
        <v>100</v>
      </c>
      <c r="AO69" s="227"/>
      <c r="AP69" s="227"/>
      <c r="AQ69" s="227"/>
      <c r="AR69" s="227"/>
      <c r="AS69" s="227"/>
    </row>
    <row r="70" spans="1:45" ht="15" customHeight="1" x14ac:dyDescent="0.25">
      <c r="A70" s="11"/>
      <c r="B70" s="54"/>
      <c r="C70" s="14"/>
      <c r="D70" s="65"/>
      <c r="E70" s="35" t="s">
        <v>468</v>
      </c>
      <c r="F70" s="122">
        <v>0.5</v>
      </c>
      <c r="G70" s="111" t="s">
        <v>85</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59"/>
      <c r="AN70" s="227"/>
      <c r="AO70" s="227"/>
      <c r="AP70" s="227"/>
      <c r="AQ70" s="227"/>
      <c r="AR70" s="227"/>
      <c r="AS70" s="227"/>
    </row>
    <row r="71" spans="1:45" ht="15" customHeight="1" x14ac:dyDescent="0.25">
      <c r="A71" s="11"/>
      <c r="B71" s="237"/>
      <c r="C71" s="238"/>
      <c r="D71" s="65"/>
      <c r="E71" s="35" t="s">
        <v>453</v>
      </c>
      <c r="F71" s="233">
        <f>Equations!F71</f>
        <v>18.149999999999999</v>
      </c>
      <c r="G71" s="111" t="s">
        <v>85</v>
      </c>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59"/>
      <c r="AN71" s="227"/>
      <c r="AO71" s="227"/>
      <c r="AP71" s="227"/>
      <c r="AQ71" s="227"/>
      <c r="AR71" s="227"/>
      <c r="AS71" s="227"/>
    </row>
    <row r="72" spans="1:45" ht="15" customHeight="1" x14ac:dyDescent="0.25">
      <c r="A72" s="11"/>
      <c r="B72" s="237"/>
      <c r="C72" s="238"/>
      <c r="D72" s="65"/>
      <c r="E72" s="35" t="s">
        <v>454</v>
      </c>
      <c r="F72" s="122">
        <v>22</v>
      </c>
      <c r="G72" s="111" t="s">
        <v>85</v>
      </c>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59"/>
      <c r="AN72" s="227"/>
      <c r="AO72" s="227"/>
      <c r="AP72" s="227"/>
      <c r="AQ72" s="227"/>
      <c r="AR72" s="227"/>
      <c r="AS72" s="227"/>
    </row>
    <row r="73" spans="1:45" ht="15" customHeight="1" x14ac:dyDescent="0.25">
      <c r="A73" s="11"/>
      <c r="B73" s="237"/>
      <c r="C73" s="238"/>
      <c r="D73" s="65"/>
      <c r="E73" s="35" t="s">
        <v>446</v>
      </c>
      <c r="F73" s="232">
        <f>Equations!F73</f>
        <v>2.5</v>
      </c>
      <c r="G73" s="111" t="s">
        <v>258</v>
      </c>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59"/>
      <c r="AN73" s="227"/>
      <c r="AO73" s="227"/>
      <c r="AP73" s="227"/>
      <c r="AQ73" s="227"/>
      <c r="AR73" s="227"/>
      <c r="AS73" s="227"/>
    </row>
    <row r="74" spans="1:45" ht="15" customHeight="1" x14ac:dyDescent="0.25">
      <c r="A74" s="11"/>
      <c r="C74" s="238"/>
      <c r="D74" s="65"/>
      <c r="E74" s="35" t="s">
        <v>458</v>
      </c>
      <c r="F74" s="234">
        <f>I_Cout_ss</f>
        <v>0.82499999999999996</v>
      </c>
      <c r="G74" s="111" t="s">
        <v>27</v>
      </c>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59"/>
      <c r="AN74" s="227"/>
      <c r="AO74" s="227"/>
      <c r="AP74" s="227"/>
      <c r="AQ74" s="227"/>
      <c r="AR74" s="227"/>
      <c r="AS74" s="227"/>
    </row>
    <row r="75" spans="1:45" ht="14.4" customHeight="1" x14ac:dyDescent="0.25">
      <c r="A75" s="11"/>
      <c r="B75" s="239" t="s">
        <v>487</v>
      </c>
      <c r="C75" s="238"/>
      <c r="D75" s="65"/>
      <c r="E75" s="35" t="s">
        <v>287</v>
      </c>
      <c r="F75" s="232">
        <f>Equations!F80</f>
        <v>5.8999407363777685</v>
      </c>
      <c r="G75" s="111"/>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59"/>
      <c r="AN75" s="227"/>
      <c r="AO75" s="227"/>
      <c r="AP75" s="227"/>
      <c r="AQ75" s="227"/>
      <c r="AR75" s="227"/>
      <c r="AS75" s="227"/>
    </row>
    <row r="76" spans="1:45" ht="12.6" customHeight="1" x14ac:dyDescent="0.25">
      <c r="A76" s="11"/>
      <c r="B76" s="54"/>
      <c r="C76" s="14"/>
      <c r="D76" s="65"/>
      <c r="E76" s="35" t="s">
        <v>489</v>
      </c>
      <c r="F76" s="318">
        <f>VINMAX/F73</f>
        <v>6.4</v>
      </c>
      <c r="G76" s="319" t="s">
        <v>8</v>
      </c>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59"/>
      <c r="AN76" s="227"/>
      <c r="AO76" s="227"/>
      <c r="AP76" s="227"/>
      <c r="AQ76" s="227"/>
      <c r="AR76" s="227"/>
      <c r="AS76" s="227"/>
    </row>
    <row r="77" spans="1:45" ht="16.95" customHeight="1" x14ac:dyDescent="0.25">
      <c r="A77" s="11"/>
      <c r="B77" s="54"/>
      <c r="C77" s="14"/>
      <c r="D77" s="65"/>
      <c r="E77" s="65"/>
      <c r="F77" s="65"/>
      <c r="G77" s="219"/>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59"/>
      <c r="AN77" s="227"/>
      <c r="AO77" s="227"/>
      <c r="AP77" s="227"/>
      <c r="AQ77" s="227"/>
      <c r="AR77" s="227"/>
      <c r="AS77" s="227"/>
    </row>
    <row r="78" spans="1:45" ht="16.95" customHeight="1" x14ac:dyDescent="0.25">
      <c r="A78" s="11"/>
      <c r="B78" s="54"/>
      <c r="C78" s="14"/>
      <c r="D78" s="65"/>
      <c r="E78" s="65"/>
      <c r="F78" s="65"/>
      <c r="G78" s="219"/>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59"/>
      <c r="AN78" s="227"/>
      <c r="AO78" s="227"/>
      <c r="AP78" s="227"/>
      <c r="AQ78" s="227"/>
      <c r="AR78" s="227"/>
      <c r="AS78" s="227"/>
    </row>
    <row r="79" spans="1:45" ht="15" customHeight="1" thickBot="1" x14ac:dyDescent="0.3">
      <c r="A79" s="11"/>
      <c r="B79" s="305"/>
      <c r="C79" s="306"/>
      <c r="D79" s="307"/>
      <c r="E79" s="307"/>
      <c r="F79" s="307"/>
      <c r="G79" s="221"/>
      <c r="H79" s="72"/>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59"/>
      <c r="AN79" s="227"/>
      <c r="AO79" s="227"/>
      <c r="AP79" s="227"/>
      <c r="AQ79" s="227"/>
      <c r="AR79" s="227"/>
      <c r="AS79" s="227"/>
    </row>
    <row r="80" spans="1:45" ht="15" hidden="1" customHeight="1" x14ac:dyDescent="0.25">
      <c r="A80" s="11"/>
      <c r="B80" s="196" t="s">
        <v>169</v>
      </c>
      <c r="C80" s="197"/>
      <c r="D80" s="14"/>
      <c r="E80" s="34" t="s">
        <v>23</v>
      </c>
      <c r="F80" s="304" t="s">
        <v>22</v>
      </c>
      <c r="G80" s="110"/>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71"/>
      <c r="AN80" s="228" t="s">
        <v>21</v>
      </c>
      <c r="AO80" s="227"/>
      <c r="AP80" s="227"/>
      <c r="AQ80" s="227"/>
      <c r="AR80" s="227"/>
      <c r="AS80" s="227"/>
    </row>
    <row r="81" spans="1:45" ht="15" hidden="1" customHeight="1" x14ac:dyDescent="0.25">
      <c r="A81" s="11"/>
      <c r="B81" s="54"/>
      <c r="C81" s="14"/>
      <c r="D81" s="14"/>
      <c r="E81" s="35" t="s">
        <v>392</v>
      </c>
      <c r="F81" s="124">
        <v>5</v>
      </c>
      <c r="G81" s="111" t="s">
        <v>68</v>
      </c>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59"/>
      <c r="AN81" s="228" t="s">
        <v>22</v>
      </c>
      <c r="AO81" s="227"/>
      <c r="AP81" s="227"/>
      <c r="AQ81" s="227"/>
      <c r="AR81" s="227"/>
      <c r="AS81" s="227"/>
    </row>
    <row r="82" spans="1:45" ht="15" hidden="1" customHeight="1" x14ac:dyDescent="0.25">
      <c r="A82" s="11"/>
      <c r="B82" s="54"/>
      <c r="C82" s="14"/>
      <c r="D82" s="14"/>
      <c r="E82" s="35"/>
      <c r="G82" s="111"/>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59"/>
      <c r="AN82" s="227"/>
      <c r="AO82" s="227"/>
      <c r="AP82" s="227"/>
      <c r="AQ82" s="227"/>
      <c r="AR82" s="227"/>
      <c r="AS82" s="227"/>
    </row>
    <row r="83" spans="1:45" ht="15" hidden="1" customHeight="1" x14ac:dyDescent="0.25">
      <c r="A83" s="11"/>
      <c r="B83" s="54"/>
      <c r="C83" s="14"/>
      <c r="D83" s="14"/>
      <c r="E83" s="35" t="s">
        <v>393</v>
      </c>
      <c r="F83" s="124">
        <v>37</v>
      </c>
      <c r="G83" s="111" t="s">
        <v>68</v>
      </c>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59"/>
      <c r="AN83" s="227"/>
      <c r="AO83" s="227"/>
      <c r="AP83" s="227"/>
      <c r="AQ83" s="227"/>
      <c r="AR83" s="227"/>
      <c r="AS83" s="227"/>
    </row>
    <row r="84" spans="1:45" ht="15" hidden="1" customHeight="1" x14ac:dyDescent="0.25">
      <c r="A84" s="11"/>
      <c r="B84" s="54"/>
      <c r="C84" s="14"/>
      <c r="D84" s="14"/>
      <c r="E84" s="217"/>
      <c r="G84" s="111"/>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59"/>
      <c r="AN84" s="227"/>
      <c r="AO84" s="227"/>
      <c r="AP84" s="227"/>
      <c r="AQ84" s="227"/>
      <c r="AR84" s="227"/>
      <c r="AS84" s="227"/>
    </row>
    <row r="85" spans="1:45" ht="15" hidden="1" customHeight="1" x14ac:dyDescent="0.25">
      <c r="A85" s="11"/>
      <c r="B85" s="54"/>
      <c r="C85" s="14"/>
      <c r="D85" s="14"/>
      <c r="E85" s="223" t="s">
        <v>200</v>
      </c>
      <c r="F85" s="235">
        <f>IF(F80="Option A",Equations!F137,Equations!G137)</f>
        <v>100</v>
      </c>
      <c r="G85" s="112" t="s">
        <v>66</v>
      </c>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59"/>
      <c r="AN85" s="227"/>
      <c r="AO85" s="227"/>
      <c r="AP85" s="227"/>
      <c r="AQ85" s="227"/>
      <c r="AR85" s="227"/>
      <c r="AS85" s="227"/>
    </row>
    <row r="86" spans="1:45" ht="15" hidden="1" customHeight="1" x14ac:dyDescent="0.25">
      <c r="A86" s="11"/>
      <c r="B86" s="54"/>
      <c r="C86" s="14"/>
      <c r="D86" s="14"/>
      <c r="E86" s="224" t="s">
        <v>24</v>
      </c>
      <c r="F86" s="235">
        <f>IF(F80="Option A",Equations!F138,Equations!G138)</f>
        <v>12.359550561797754</v>
      </c>
      <c r="G86" s="112" t="s">
        <v>66</v>
      </c>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59"/>
      <c r="AN86" s="227"/>
      <c r="AO86" s="227"/>
      <c r="AP86" s="227"/>
      <c r="AQ86" s="227"/>
      <c r="AR86" s="227"/>
      <c r="AS86" s="227"/>
    </row>
    <row r="87" spans="1:45" ht="15" hidden="1" customHeight="1" x14ac:dyDescent="0.25">
      <c r="A87" s="11"/>
      <c r="B87" s="193"/>
      <c r="C87" s="14"/>
      <c r="D87" s="14"/>
      <c r="E87" s="224" t="s">
        <v>25</v>
      </c>
      <c r="F87" s="235">
        <f>IF(F80="Option A",Equations!F139,Equations!G139)</f>
        <v>100</v>
      </c>
      <c r="G87" s="112" t="s">
        <v>66</v>
      </c>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59"/>
      <c r="AN87" s="227"/>
      <c r="AO87" s="227"/>
      <c r="AP87" s="227"/>
      <c r="AQ87" s="227"/>
      <c r="AR87" s="227"/>
      <c r="AS87" s="227"/>
    </row>
    <row r="88" spans="1:45" ht="15" hidden="1" customHeight="1" x14ac:dyDescent="0.25">
      <c r="A88" s="11"/>
      <c r="B88" s="54"/>
      <c r="C88" s="14"/>
      <c r="D88" s="14"/>
      <c r="E88" s="64" t="s">
        <v>26</v>
      </c>
      <c r="F88" s="235">
        <f>IF(F80="Option A",Equations!F140,Equations!G140)</f>
        <v>1.6483516483516485</v>
      </c>
      <c r="G88" s="111" t="s">
        <v>66</v>
      </c>
      <c r="H88" s="14"/>
      <c r="I88" s="14"/>
      <c r="J88" s="62"/>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59"/>
      <c r="AN88" s="227"/>
      <c r="AO88" s="227"/>
      <c r="AP88" s="227"/>
      <c r="AQ88" s="227"/>
      <c r="AR88" s="227"/>
      <c r="AS88" s="227"/>
    </row>
    <row r="89" spans="1:45" ht="15" hidden="1" customHeight="1" x14ac:dyDescent="0.25">
      <c r="A89" s="11"/>
      <c r="B89" s="54"/>
      <c r="C89" s="14"/>
      <c r="D89" s="14"/>
      <c r="E89" s="35" t="s">
        <v>76</v>
      </c>
      <c r="F89" s="124">
        <v>100</v>
      </c>
      <c r="G89" s="112" t="s">
        <v>66</v>
      </c>
      <c r="H89" s="14"/>
      <c r="I89" s="14"/>
      <c r="J89" s="62"/>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59"/>
      <c r="AN89" s="227"/>
      <c r="AO89" s="227"/>
      <c r="AP89" s="227"/>
      <c r="AQ89" s="227"/>
      <c r="AR89" s="227"/>
      <c r="AS89" s="227"/>
    </row>
    <row r="90" spans="1:45" ht="15" hidden="1" customHeight="1" x14ac:dyDescent="0.25">
      <c r="A90" s="11"/>
      <c r="B90" s="54"/>
      <c r="C90" s="14"/>
      <c r="D90" s="14"/>
      <c r="E90" s="35" t="s">
        <v>77</v>
      </c>
      <c r="F90" s="124">
        <v>11.5</v>
      </c>
      <c r="G90" s="112" t="s">
        <v>66</v>
      </c>
      <c r="H90" s="14"/>
      <c r="I90" s="14"/>
      <c r="J90" s="62"/>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59"/>
      <c r="AN90" s="227"/>
      <c r="AO90" s="227"/>
      <c r="AP90" s="227"/>
      <c r="AQ90" s="227"/>
      <c r="AR90" s="227"/>
      <c r="AS90" s="227"/>
    </row>
    <row r="91" spans="1:45" ht="15" hidden="1" customHeight="1" x14ac:dyDescent="0.25">
      <c r="A91" s="11"/>
      <c r="B91" s="54"/>
      <c r="C91" s="14"/>
      <c r="D91" s="14"/>
      <c r="E91" s="35" t="s">
        <v>78</v>
      </c>
      <c r="F91" s="124">
        <v>100</v>
      </c>
      <c r="G91" s="112" t="s">
        <v>66</v>
      </c>
      <c r="H91" s="14"/>
      <c r="I91" s="14"/>
      <c r="J91" s="62"/>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59"/>
      <c r="AN91" s="227"/>
      <c r="AO91" s="227"/>
      <c r="AP91" s="227"/>
      <c r="AQ91" s="227"/>
      <c r="AR91" s="227"/>
      <c r="AS91" s="227"/>
    </row>
    <row r="92" spans="1:45" ht="15" hidden="1" customHeight="1" x14ac:dyDescent="0.25">
      <c r="A92" s="11"/>
      <c r="B92" s="54"/>
      <c r="C92" s="14"/>
      <c r="D92" s="14"/>
      <c r="E92" s="35" t="s">
        <v>79</v>
      </c>
      <c r="F92" s="83">
        <v>1.65</v>
      </c>
      <c r="G92" s="112" t="s">
        <v>66</v>
      </c>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59"/>
      <c r="AN92" s="227"/>
      <c r="AO92" s="227"/>
      <c r="AP92" s="227"/>
      <c r="AQ92" s="227"/>
      <c r="AR92" s="227"/>
      <c r="AS92" s="227"/>
    </row>
    <row r="93" spans="1:45" ht="15" hidden="1" customHeight="1" x14ac:dyDescent="0.25">
      <c r="A93" s="11"/>
      <c r="B93" s="54"/>
      <c r="C93" s="14"/>
      <c r="D93" s="14"/>
      <c r="E93" s="14"/>
      <c r="F93" s="14"/>
      <c r="G93" s="1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59"/>
      <c r="AN93" s="227"/>
      <c r="AO93" s="227"/>
      <c r="AP93" s="227"/>
      <c r="AQ93" s="227"/>
      <c r="AR93" s="227"/>
      <c r="AS93" s="227"/>
    </row>
    <row r="94" spans="1:45" ht="15" hidden="1" customHeight="1" x14ac:dyDescent="0.25">
      <c r="A94" s="11"/>
      <c r="B94" s="54"/>
      <c r="C94" s="25"/>
      <c r="D94" s="61"/>
      <c r="E94" s="60" t="s">
        <v>35</v>
      </c>
      <c r="F94" s="61"/>
      <c r="G94" s="113"/>
      <c r="H94" s="65"/>
      <c r="I94" s="65"/>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59"/>
      <c r="AN94" s="227"/>
      <c r="AO94" s="227"/>
      <c r="AP94" s="227"/>
      <c r="AQ94" s="227"/>
      <c r="AR94" s="227"/>
      <c r="AS94" s="227"/>
    </row>
    <row r="95" spans="1:45" ht="15" hidden="1" customHeight="1" x14ac:dyDescent="0.25">
      <c r="A95" s="11"/>
      <c r="B95" s="54"/>
      <c r="C95" s="25"/>
      <c r="D95" s="199"/>
      <c r="E95" s="189" t="s">
        <v>460</v>
      </c>
      <c r="F95" s="232">
        <f>IF(F80="Option A",Equations!F142,Equations!H142)</f>
        <v>5.3326086956521745</v>
      </c>
      <c r="G95" s="111" t="s">
        <v>68</v>
      </c>
      <c r="H95" s="65"/>
      <c r="I95" s="65"/>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59"/>
      <c r="AN95" s="227"/>
      <c r="AO95" s="227"/>
      <c r="AP95" s="227"/>
      <c r="AQ95" s="227"/>
      <c r="AR95" s="227"/>
      <c r="AS95" s="227"/>
    </row>
    <row r="96" spans="1:45" ht="15" hidden="1" customHeight="1" x14ac:dyDescent="0.25">
      <c r="A96" s="11"/>
      <c r="B96" s="54"/>
      <c r="C96" s="25"/>
      <c r="D96" s="343" t="s">
        <v>459</v>
      </c>
      <c r="E96" s="344"/>
      <c r="F96" s="232">
        <f>IF(F80="Option A",Equations!G142,Equations!I142)</f>
        <v>5.8173913043478249</v>
      </c>
      <c r="G96" s="111" t="s">
        <v>68</v>
      </c>
      <c r="H96" s="65"/>
      <c r="I96" s="65"/>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59"/>
      <c r="AN96" s="227"/>
      <c r="AO96" s="227"/>
      <c r="AP96" s="227"/>
      <c r="AQ96" s="227"/>
      <c r="AR96" s="227"/>
      <c r="AS96" s="227"/>
    </row>
    <row r="97" spans="1:45" ht="15" hidden="1" customHeight="1" x14ac:dyDescent="0.25">
      <c r="A97" s="11"/>
      <c r="B97" s="54"/>
      <c r="C97" s="25"/>
      <c r="D97" s="343" t="s">
        <v>462</v>
      </c>
      <c r="E97" s="344"/>
      <c r="F97" s="232">
        <f>IF(F80="Option A",Equations!G143,Equations!I143)</f>
        <v>33.88333333333334</v>
      </c>
      <c r="G97" s="111" t="s">
        <v>68</v>
      </c>
      <c r="H97" s="65"/>
      <c r="I97" s="65"/>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59"/>
      <c r="AN97" s="227"/>
      <c r="AO97" s="227"/>
      <c r="AP97" s="227"/>
      <c r="AQ97" s="227"/>
      <c r="AR97" s="227"/>
      <c r="AS97" s="227"/>
    </row>
    <row r="98" spans="1:45" ht="15" hidden="1" customHeight="1" x14ac:dyDescent="0.25">
      <c r="A98" s="11"/>
      <c r="B98" s="54"/>
      <c r="C98" s="26"/>
      <c r="D98" s="199"/>
      <c r="E98" s="189" t="s">
        <v>461</v>
      </c>
      <c r="F98" s="232">
        <f>IF(F80="Option A",Equations!F143,Equations!H143)</f>
        <v>36.963636363636368</v>
      </c>
      <c r="G98" s="111" t="s">
        <v>68</v>
      </c>
      <c r="H98" s="65"/>
      <c r="I98" s="65"/>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59"/>
      <c r="AN98" s="227"/>
      <c r="AO98" s="227"/>
      <c r="AP98" s="227"/>
      <c r="AQ98" s="227"/>
      <c r="AR98" s="227"/>
      <c r="AS98" s="227"/>
    </row>
    <row r="99" spans="1:45" ht="15" hidden="1" customHeight="1" x14ac:dyDescent="0.25">
      <c r="A99" s="11"/>
      <c r="B99" s="54"/>
      <c r="D99" s="222"/>
      <c r="E99" s="222"/>
      <c r="F99" s="25"/>
      <c r="G99" s="111"/>
      <c r="H99" s="65"/>
      <c r="I99" s="65"/>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59"/>
      <c r="AN99" s="227"/>
      <c r="AO99" s="227"/>
      <c r="AP99" s="227"/>
      <c r="AQ99" s="227"/>
      <c r="AR99" s="227"/>
      <c r="AS99" s="227"/>
    </row>
    <row r="100" spans="1:45" ht="15" hidden="1" customHeight="1" x14ac:dyDescent="0.25">
      <c r="A100" s="11"/>
      <c r="B100" s="54"/>
      <c r="C100" s="62" t="s">
        <v>447</v>
      </c>
      <c r="D100" s="2"/>
      <c r="E100" s="2"/>
      <c r="G100" s="111"/>
      <c r="H100" s="65"/>
      <c r="I100" s="65"/>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59"/>
      <c r="AN100" s="227"/>
      <c r="AO100" s="227"/>
      <c r="AP100" s="227"/>
      <c r="AQ100" s="227"/>
      <c r="AR100" s="227"/>
      <c r="AS100" s="227"/>
    </row>
    <row r="101" spans="1:45" ht="15" hidden="1" customHeight="1" x14ac:dyDescent="0.25">
      <c r="A101" s="11"/>
      <c r="B101" s="54"/>
      <c r="D101" s="65"/>
      <c r="E101" s="65"/>
      <c r="F101" s="65"/>
      <c r="G101" s="218"/>
      <c r="H101" s="65"/>
      <c r="I101" s="65"/>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59"/>
      <c r="AN101" s="227"/>
      <c r="AO101" s="227"/>
      <c r="AP101" s="227"/>
      <c r="AQ101" s="227"/>
      <c r="AR101" s="227"/>
      <c r="AS101" s="227"/>
    </row>
    <row r="102" spans="1:45" ht="15" hidden="1" customHeight="1" x14ac:dyDescent="0.25">
      <c r="A102" s="11"/>
      <c r="B102" s="53"/>
      <c r="C102" s="14"/>
      <c r="D102" s="65"/>
      <c r="E102" s="25"/>
      <c r="F102" s="25"/>
      <c r="G102" s="219"/>
      <c r="H102" s="14"/>
      <c r="I102" s="9"/>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59"/>
      <c r="AN102" s="227"/>
      <c r="AO102" s="227"/>
      <c r="AP102" s="227"/>
      <c r="AQ102" s="227"/>
      <c r="AR102" s="227"/>
      <c r="AS102" s="227"/>
    </row>
    <row r="103" spans="1:45" ht="15" hidden="1" customHeight="1" x14ac:dyDescent="0.25">
      <c r="A103" s="11"/>
      <c r="B103" s="54"/>
      <c r="C103" s="14"/>
      <c r="D103" s="65"/>
      <c r="E103" s="25"/>
      <c r="F103" s="25"/>
      <c r="G103" s="219"/>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59"/>
      <c r="AN103" s="227"/>
      <c r="AO103" s="227"/>
      <c r="AP103" s="227"/>
      <c r="AQ103" s="227"/>
      <c r="AR103" s="227"/>
      <c r="AS103" s="227"/>
    </row>
    <row r="104" spans="1:45" ht="15" hidden="1" customHeight="1" thickBot="1" x14ac:dyDescent="0.3">
      <c r="A104" s="11"/>
      <c r="B104" s="54"/>
      <c r="C104" s="55"/>
      <c r="D104" s="220"/>
      <c r="E104" s="25"/>
      <c r="F104" s="25"/>
      <c r="G104" s="221"/>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63"/>
      <c r="AN104" s="227"/>
      <c r="AO104" s="227"/>
      <c r="AP104" s="227"/>
      <c r="AQ104" s="227"/>
      <c r="AR104" s="227"/>
      <c r="AS104" s="227"/>
    </row>
    <row r="105" spans="1:45" s="240" customFormat="1" ht="16.2" hidden="1" customHeight="1" x14ac:dyDescent="0.25">
      <c r="B105" s="266" t="s">
        <v>170</v>
      </c>
      <c r="C105" s="267"/>
      <c r="D105" s="267"/>
      <c r="E105" s="268" t="s">
        <v>404</v>
      </c>
      <c r="F105" s="269">
        <f>Rs</f>
        <v>1</v>
      </c>
      <c r="G105" s="270" t="s">
        <v>67</v>
      </c>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71"/>
      <c r="AN105" s="249"/>
      <c r="AO105" s="249"/>
      <c r="AP105" s="249"/>
      <c r="AQ105" s="249"/>
      <c r="AR105" s="249"/>
      <c r="AS105" s="249"/>
    </row>
    <row r="106" spans="1:45" s="240" customFormat="1" ht="15" hidden="1" customHeight="1" x14ac:dyDescent="0.25">
      <c r="B106" s="272"/>
      <c r="C106" s="68"/>
      <c r="D106" s="68"/>
      <c r="E106" s="273" t="s">
        <v>405</v>
      </c>
      <c r="F106" s="274">
        <f>F30</f>
        <v>50</v>
      </c>
      <c r="G106" s="275" t="s">
        <v>69</v>
      </c>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244"/>
      <c r="AN106" s="249"/>
      <c r="AO106" s="249"/>
      <c r="AP106" s="249"/>
      <c r="AQ106" s="249"/>
      <c r="AR106" s="249"/>
      <c r="AS106" s="249"/>
    </row>
    <row r="107" spans="1:45" s="240" customFormat="1" ht="14.25" hidden="1" customHeight="1" x14ac:dyDescent="0.25">
      <c r="B107" s="272"/>
      <c r="C107" s="68"/>
      <c r="D107" s="68"/>
      <c r="E107" s="273" t="s">
        <v>406</v>
      </c>
      <c r="F107" s="276">
        <f>F41</f>
        <v>1</v>
      </c>
      <c r="G107" s="277" t="s">
        <v>66</v>
      </c>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244"/>
      <c r="AN107" s="249"/>
      <c r="AO107" s="249"/>
      <c r="AP107" s="249"/>
      <c r="AQ107" s="249"/>
      <c r="AR107" s="249"/>
      <c r="AS107" s="249"/>
    </row>
    <row r="108" spans="1:45" s="240" customFormat="1" ht="15" hidden="1" customHeight="1" x14ac:dyDescent="0.25">
      <c r="B108" s="241"/>
      <c r="C108" s="68"/>
      <c r="D108" s="68"/>
      <c r="E108" s="278" t="s">
        <v>19</v>
      </c>
      <c r="F108" s="260">
        <f>F43</f>
        <v>68</v>
      </c>
      <c r="G108" s="277" t="s">
        <v>85</v>
      </c>
      <c r="H108" s="68"/>
      <c r="M108" s="279"/>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44"/>
      <c r="AN108" s="249"/>
      <c r="AO108" s="249"/>
      <c r="AP108" s="249"/>
      <c r="AQ108" s="249"/>
      <c r="AR108" s="249"/>
      <c r="AS108" s="249"/>
    </row>
    <row r="109" spans="1:45" s="240" customFormat="1" ht="15" hidden="1" customHeight="1" x14ac:dyDescent="0.25">
      <c r="B109" s="241"/>
      <c r="C109" s="68"/>
      <c r="D109" s="68"/>
      <c r="E109" s="278" t="s">
        <v>13</v>
      </c>
      <c r="F109" s="281">
        <f>F89</f>
        <v>100</v>
      </c>
      <c r="G109" s="282" t="s">
        <v>66</v>
      </c>
      <c r="H109" s="68"/>
      <c r="M109" s="283"/>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244"/>
      <c r="AN109" s="249"/>
      <c r="AO109" s="249"/>
      <c r="AP109" s="249"/>
      <c r="AQ109" s="249"/>
      <c r="AR109" s="249"/>
      <c r="AS109" s="249"/>
    </row>
    <row r="110" spans="1:45" s="240" customFormat="1" ht="15" hidden="1" customHeight="1" x14ac:dyDescent="0.25">
      <c r="B110" s="241"/>
      <c r="C110" s="68"/>
      <c r="D110" s="68"/>
      <c r="E110" s="278" t="s">
        <v>14</v>
      </c>
      <c r="F110" s="281">
        <f>F90</f>
        <v>11.5</v>
      </c>
      <c r="G110" s="282" t="s">
        <v>66</v>
      </c>
      <c r="H110" s="68"/>
      <c r="M110" s="284"/>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244"/>
      <c r="AN110" s="249"/>
      <c r="AO110" s="249"/>
      <c r="AP110" s="249"/>
      <c r="AQ110" s="249"/>
      <c r="AR110" s="249"/>
      <c r="AS110" s="249"/>
    </row>
    <row r="111" spans="1:45" s="240" customFormat="1" ht="15" hidden="1" customHeight="1" x14ac:dyDescent="0.25">
      <c r="B111" s="241"/>
      <c r="C111" s="68"/>
      <c r="D111" s="68"/>
      <c r="E111" s="278" t="s">
        <v>15</v>
      </c>
      <c r="F111" s="281">
        <f>F91</f>
        <v>100</v>
      </c>
      <c r="G111" s="282" t="s">
        <v>66</v>
      </c>
      <c r="H111" s="68"/>
      <c r="M111" s="283"/>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244"/>
      <c r="AN111" s="249"/>
      <c r="AO111" s="249"/>
      <c r="AP111" s="249"/>
      <c r="AQ111" s="249"/>
      <c r="AR111" s="249"/>
      <c r="AS111" s="249"/>
    </row>
    <row r="112" spans="1:45" s="240" customFormat="1" ht="15" hidden="1" customHeight="1" x14ac:dyDescent="0.25">
      <c r="B112" s="241"/>
      <c r="C112" s="68"/>
      <c r="D112" s="68"/>
      <c r="E112" s="278" t="s">
        <v>16</v>
      </c>
      <c r="F112" s="285">
        <f>IF(F80="Option A","N/A",F92)</f>
        <v>1.65</v>
      </c>
      <c r="G112" s="282" t="s">
        <v>66</v>
      </c>
      <c r="H112" s="68"/>
      <c r="M112" s="286"/>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244"/>
      <c r="AN112" s="249"/>
      <c r="AO112" s="249"/>
      <c r="AP112" s="249"/>
      <c r="AQ112" s="249"/>
      <c r="AR112" s="249"/>
      <c r="AS112" s="249"/>
    </row>
    <row r="113" spans="2:45" s="240" customFormat="1" ht="15" hidden="1" customHeight="1" x14ac:dyDescent="0.25">
      <c r="B113" s="241"/>
      <c r="C113" s="68"/>
      <c r="D113" s="68"/>
      <c r="E113" s="69" t="s">
        <v>407</v>
      </c>
      <c r="F113" s="287">
        <f>F32</f>
        <v>40</v>
      </c>
      <c r="G113" s="282" t="s">
        <v>66</v>
      </c>
      <c r="H113" s="68"/>
      <c r="M113" s="283"/>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244"/>
      <c r="AN113" s="249"/>
      <c r="AO113" s="249"/>
      <c r="AP113" s="249"/>
      <c r="AQ113" s="249"/>
      <c r="AR113" s="249"/>
      <c r="AS113" s="249"/>
    </row>
    <row r="114" spans="2:45" s="240" customFormat="1" ht="15" hidden="1" customHeight="1" x14ac:dyDescent="0.25">
      <c r="B114" s="241"/>
      <c r="C114" s="68"/>
      <c r="D114" s="68"/>
      <c r="E114" s="69" t="s">
        <v>408</v>
      </c>
      <c r="F114" s="288">
        <f>F38</f>
        <v>10</v>
      </c>
      <c r="G114" s="282" t="s">
        <v>66</v>
      </c>
      <c r="H114" s="68"/>
      <c r="M114" s="289"/>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244"/>
      <c r="AN114" s="249"/>
      <c r="AO114" s="249"/>
      <c r="AP114" s="249"/>
      <c r="AQ114" s="249"/>
      <c r="AR114" s="249"/>
      <c r="AS114" s="249"/>
    </row>
    <row r="115" spans="2:45" s="240" customFormat="1" ht="15" hidden="1" customHeight="1" x14ac:dyDescent="0.25">
      <c r="B115" s="241"/>
      <c r="C115" s="68"/>
      <c r="D115" s="68"/>
      <c r="E115" s="278" t="s">
        <v>36</v>
      </c>
      <c r="F115" s="290">
        <v>0.01</v>
      </c>
      <c r="G115" s="282" t="s">
        <v>65</v>
      </c>
      <c r="H115" s="68"/>
      <c r="M115" s="289"/>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244"/>
      <c r="AN115" s="249"/>
      <c r="AO115" s="249"/>
      <c r="AP115" s="249"/>
      <c r="AQ115" s="249"/>
      <c r="AR115" s="249"/>
      <c r="AS115" s="249"/>
    </row>
    <row r="116" spans="2:45" s="240" customFormat="1" ht="15" hidden="1" customHeight="1" x14ac:dyDescent="0.25">
      <c r="B116" s="241"/>
      <c r="C116" s="68"/>
      <c r="D116" s="68"/>
      <c r="E116" s="69" t="s">
        <v>451</v>
      </c>
      <c r="F116" s="290">
        <f>F18</f>
        <v>330</v>
      </c>
      <c r="G116" s="282" t="s">
        <v>65</v>
      </c>
      <c r="H116" s="68"/>
      <c r="M116" s="289"/>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244"/>
      <c r="AN116" s="249"/>
      <c r="AO116" s="249"/>
      <c r="AP116" s="249"/>
      <c r="AQ116" s="249"/>
      <c r="AR116" s="249"/>
      <c r="AS116" s="249"/>
    </row>
    <row r="117" spans="2:45" s="240" customFormat="1" ht="15" hidden="1" customHeight="1" x14ac:dyDescent="0.25">
      <c r="B117" s="241"/>
      <c r="C117" s="68"/>
      <c r="D117" s="68"/>
      <c r="E117" s="69" t="s">
        <v>373</v>
      </c>
      <c r="F117" s="291">
        <f>IF(F69="YES", F72, "DNP")</f>
        <v>22</v>
      </c>
      <c r="G117" s="277" t="s">
        <v>85</v>
      </c>
      <c r="H117" s="68"/>
      <c r="M117" s="289"/>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244"/>
      <c r="AN117" s="249"/>
      <c r="AO117" s="249"/>
      <c r="AP117" s="249"/>
      <c r="AQ117" s="249"/>
      <c r="AR117" s="249"/>
      <c r="AS117" s="249"/>
    </row>
    <row r="118" spans="2:45" s="240" customFormat="1" ht="15" hidden="1" customHeight="1" x14ac:dyDescent="0.25">
      <c r="B118" s="241"/>
      <c r="C118" s="68"/>
      <c r="D118" s="68"/>
      <c r="E118" s="292" t="s">
        <v>374</v>
      </c>
      <c r="F118" s="293" t="str">
        <f>F48</f>
        <v>BUK7Y4R8-60E</v>
      </c>
      <c r="G118" s="277"/>
      <c r="H118" s="68"/>
      <c r="M118" s="289"/>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244"/>
      <c r="AN118" s="249"/>
      <c r="AO118" s="249"/>
      <c r="AP118" s="249"/>
      <c r="AQ118" s="249"/>
      <c r="AR118" s="249"/>
      <c r="AS118" s="249"/>
    </row>
    <row r="119" spans="2:45" s="240" customFormat="1" ht="15" hidden="1" customHeight="1" x14ac:dyDescent="0.25">
      <c r="B119" s="241"/>
      <c r="C119" s="68"/>
      <c r="D119" s="68"/>
      <c r="E119" s="292" t="s">
        <v>375</v>
      </c>
      <c r="F119" s="293" t="str">
        <f>F48</f>
        <v>BUK7Y4R8-60E</v>
      </c>
      <c r="G119" s="277"/>
      <c r="H119" s="68"/>
      <c r="M119" s="289"/>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244"/>
      <c r="AN119" s="249"/>
      <c r="AO119" s="249"/>
      <c r="AP119" s="249"/>
      <c r="AQ119" s="249"/>
      <c r="AR119" s="249"/>
      <c r="AS119" s="249"/>
    </row>
    <row r="120" spans="2:45" s="240" customFormat="1" ht="15" hidden="1" customHeight="1" x14ac:dyDescent="0.25">
      <c r="B120" s="241"/>
      <c r="C120" s="68"/>
      <c r="D120" s="68"/>
      <c r="E120" s="292" t="s">
        <v>376</v>
      </c>
      <c r="F120" s="293" t="s">
        <v>470</v>
      </c>
      <c r="G120" s="277"/>
      <c r="H120" s="68"/>
      <c r="M120" s="289"/>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244"/>
      <c r="AN120" s="249"/>
      <c r="AO120" s="249"/>
      <c r="AP120" s="249"/>
      <c r="AQ120" s="249"/>
      <c r="AR120" s="249"/>
      <c r="AS120" s="249"/>
    </row>
    <row r="121" spans="2:45" s="240" customFormat="1" ht="15" hidden="1" customHeight="1" x14ac:dyDescent="0.25">
      <c r="B121" s="241"/>
      <c r="C121" s="68"/>
      <c r="D121" s="68"/>
      <c r="E121" s="292"/>
      <c r="F121" s="277"/>
      <c r="G121" s="277"/>
      <c r="H121" s="68"/>
      <c r="M121" s="294"/>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244"/>
      <c r="AN121" s="249"/>
      <c r="AO121" s="249"/>
      <c r="AP121" s="249"/>
      <c r="AQ121" s="249"/>
      <c r="AR121" s="249"/>
      <c r="AS121" s="249"/>
    </row>
    <row r="122" spans="2:45" s="240" customFormat="1" ht="15" hidden="1" customHeight="1" x14ac:dyDescent="0.25">
      <c r="B122" s="241"/>
      <c r="C122" s="68"/>
      <c r="D122" s="68"/>
      <c r="E122" s="69"/>
      <c r="F122" s="295"/>
      <c r="G122" s="277"/>
      <c r="H122" s="68"/>
      <c r="M122" s="294"/>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244"/>
      <c r="AN122" s="249"/>
      <c r="AO122" s="249"/>
      <c r="AP122" s="249"/>
      <c r="AQ122" s="249"/>
      <c r="AR122" s="249"/>
      <c r="AS122" s="249"/>
    </row>
    <row r="123" spans="2:45" s="240" customFormat="1" ht="15" hidden="1" customHeight="1" x14ac:dyDescent="0.25">
      <c r="B123" s="241"/>
      <c r="C123" s="68"/>
      <c r="D123" s="68"/>
      <c r="G123" s="296"/>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244"/>
      <c r="AN123" s="248"/>
      <c r="AO123" s="249"/>
      <c r="AP123" s="249"/>
      <c r="AQ123" s="249"/>
      <c r="AR123" s="249"/>
      <c r="AS123" s="249"/>
    </row>
    <row r="124" spans="2:45" s="240" customFormat="1" ht="15.6" hidden="1" x14ac:dyDescent="0.35">
      <c r="B124" s="297" t="s">
        <v>20</v>
      </c>
      <c r="C124" s="298" t="s">
        <v>72</v>
      </c>
      <c r="D124" s="299"/>
      <c r="G124" s="296"/>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244"/>
      <c r="AN124" s="248"/>
      <c r="AO124" s="249"/>
      <c r="AP124" s="249"/>
      <c r="AQ124" s="249"/>
      <c r="AR124" s="249"/>
      <c r="AS124" s="249"/>
    </row>
    <row r="125" spans="2:45" s="240" customFormat="1" hidden="1" x14ac:dyDescent="0.25">
      <c r="B125" s="241"/>
      <c r="C125" s="298" t="s">
        <v>80</v>
      </c>
      <c r="D125" s="68"/>
      <c r="G125" s="296"/>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244"/>
      <c r="AN125" s="249"/>
      <c r="AO125" s="249"/>
      <c r="AP125" s="249"/>
      <c r="AQ125" s="249"/>
      <c r="AR125" s="249"/>
      <c r="AS125" s="249"/>
    </row>
    <row r="126" spans="2:45" s="240" customFormat="1" hidden="1" x14ac:dyDescent="0.25">
      <c r="B126" s="241"/>
      <c r="C126" s="298" t="s">
        <v>452</v>
      </c>
      <c r="D126" s="68"/>
      <c r="G126" s="296"/>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244"/>
      <c r="AN126" s="249"/>
      <c r="AO126" s="249"/>
      <c r="AP126" s="249"/>
      <c r="AQ126" s="249"/>
      <c r="AR126" s="249"/>
      <c r="AS126" s="249"/>
    </row>
    <row r="127" spans="2:45" s="240" customFormat="1" ht="13.8" hidden="1" thickBot="1" x14ac:dyDescent="0.3">
      <c r="B127" s="300"/>
      <c r="C127" s="301"/>
      <c r="D127" s="301"/>
      <c r="E127" s="301"/>
      <c r="F127" s="301"/>
      <c r="G127" s="302"/>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3"/>
      <c r="AN127" s="249"/>
      <c r="AO127" s="249"/>
      <c r="AP127" s="249"/>
      <c r="AQ127" s="249"/>
      <c r="AR127" s="249"/>
      <c r="AS127" s="249"/>
    </row>
    <row r="128" spans="2:45" s="240" customFormat="1" hidden="1" x14ac:dyDescent="0.25">
      <c r="G128" s="296"/>
    </row>
    <row r="129" spans="1:39" ht="13.8" hidden="1" x14ac:dyDescent="0.25">
      <c r="A129" s="11"/>
      <c r="B129" s="32"/>
      <c r="C129" s="11"/>
      <c r="D129" s="11"/>
      <c r="E129" s="11"/>
      <c r="F129" s="25"/>
      <c r="G129" s="114"/>
      <c r="H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x14ac:dyDescent="0.25">
      <c r="A130" s="11"/>
      <c r="B130" s="11"/>
      <c r="C130" s="11"/>
      <c r="D130" s="11"/>
      <c r="E130" s="11"/>
      <c r="F130" s="25"/>
      <c r="G130" s="12"/>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x14ac:dyDescent="0.25">
      <c r="A131" s="11"/>
      <c r="B131" s="11"/>
      <c r="C131" s="11"/>
      <c r="D131" s="11"/>
      <c r="E131" s="11"/>
      <c r="F131" s="25"/>
      <c r="G131" s="114"/>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x14ac:dyDescent="0.25">
      <c r="A132" s="11"/>
      <c r="B132" s="11"/>
      <c r="C132" s="11"/>
      <c r="D132" s="11"/>
      <c r="E132" s="11"/>
      <c r="F132" s="25"/>
      <c r="G132" s="114"/>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x14ac:dyDescent="0.25">
      <c r="A133" s="11"/>
      <c r="B133" s="11"/>
      <c r="C133" s="11"/>
      <c r="D133" s="11"/>
      <c r="E133" s="11"/>
      <c r="F133" s="25"/>
      <c r="G133" s="114"/>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x14ac:dyDescent="0.25">
      <c r="A134" s="11"/>
      <c r="B134" s="11"/>
      <c r="C134" s="11"/>
      <c r="D134" s="11"/>
      <c r="E134" s="11"/>
      <c r="F134" s="11"/>
      <c r="G134" s="114"/>
      <c r="H134" s="25"/>
      <c r="I134" s="25"/>
      <c r="J134" s="25"/>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x14ac:dyDescent="0.25">
      <c r="A135" s="11"/>
      <c r="B135" s="11"/>
      <c r="C135" s="11"/>
      <c r="D135" s="11"/>
      <c r="E135" s="11"/>
      <c r="F135" s="11"/>
      <c r="G135" s="114"/>
      <c r="H135" s="25"/>
      <c r="I135" s="25"/>
      <c r="J135" s="25"/>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x14ac:dyDescent="0.25">
      <c r="A136" s="11"/>
      <c r="B136" s="11"/>
      <c r="C136" s="11"/>
      <c r="D136" s="11"/>
      <c r="E136" s="11"/>
      <c r="F136" s="11"/>
      <c r="G136" s="114"/>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x14ac:dyDescent="0.25">
      <c r="A137" s="11"/>
      <c r="B137" s="11"/>
      <c r="C137" s="11"/>
      <c r="D137" s="11"/>
      <c r="E137" s="11"/>
      <c r="F137" s="11"/>
      <c r="G137" s="12"/>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x14ac:dyDescent="0.25">
      <c r="A138" s="11"/>
      <c r="B138" s="11"/>
      <c r="C138" s="11"/>
      <c r="D138" s="11"/>
      <c r="E138" s="11"/>
      <c r="F138" s="11"/>
      <c r="G138" s="12"/>
      <c r="H138" s="25"/>
      <c r="I138" s="25"/>
      <c r="J138" s="25"/>
      <c r="K138" s="25"/>
      <c r="L138" s="25"/>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x14ac:dyDescent="0.25">
      <c r="A139" s="11"/>
      <c r="B139" s="11"/>
      <c r="C139" s="11"/>
      <c r="D139" s="11"/>
      <c r="E139" s="11"/>
      <c r="F139" s="11"/>
      <c r="G139" s="12"/>
      <c r="H139" s="25"/>
      <c r="I139" s="25"/>
      <c r="J139" s="25"/>
      <c r="K139" s="25"/>
      <c r="L139" s="25"/>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x14ac:dyDescent="0.25">
      <c r="A140" s="11"/>
      <c r="B140" s="11"/>
      <c r="C140" s="11"/>
      <c r="D140" s="11"/>
      <c r="E140" s="11"/>
      <c r="F140" s="11"/>
      <c r="G140" s="12"/>
      <c r="H140" s="25"/>
      <c r="I140" s="25"/>
      <c r="J140" s="25"/>
      <c r="K140" s="25"/>
      <c r="L140" s="25"/>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x14ac:dyDescent="0.25">
      <c r="A141" s="11"/>
      <c r="B141" s="11"/>
      <c r="C141" s="11"/>
      <c r="D141" s="11"/>
      <c r="E141" s="11"/>
      <c r="F141" s="11"/>
      <c r="G141" s="12"/>
      <c r="H141" s="25"/>
      <c r="I141" s="25"/>
      <c r="J141" s="25"/>
      <c r="K141" s="25"/>
      <c r="L141" s="25"/>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x14ac:dyDescent="0.25">
      <c r="A142" s="11"/>
      <c r="B142" s="11"/>
      <c r="C142" s="11"/>
      <c r="D142" s="11"/>
      <c r="E142" s="11"/>
      <c r="F142" s="11"/>
      <c r="G142" s="12"/>
      <c r="H142" s="25"/>
      <c r="I142" s="25"/>
      <c r="J142" s="25"/>
      <c r="K142" s="25"/>
      <c r="L142" s="25"/>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x14ac:dyDescent="0.25">
      <c r="A143" s="11"/>
      <c r="B143" s="11"/>
      <c r="C143" s="11"/>
      <c r="D143" s="11"/>
      <c r="E143" s="11"/>
      <c r="F143" s="11"/>
      <c r="G143" s="12"/>
      <c r="H143" s="25"/>
      <c r="I143" s="25"/>
      <c r="J143" s="25"/>
      <c r="K143" s="25"/>
      <c r="L143" s="25"/>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x14ac:dyDescent="0.25">
      <c r="A144" s="11"/>
      <c r="B144" s="11"/>
      <c r="C144" s="11"/>
      <c r="D144" s="11"/>
      <c r="E144" s="11"/>
      <c r="F144" s="11"/>
      <c r="G144" s="12"/>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x14ac:dyDescent="0.25">
      <c r="A145" s="11"/>
      <c r="B145" s="11"/>
      <c r="C145" s="11"/>
      <c r="D145" s="11"/>
      <c r="E145" s="11"/>
      <c r="F145" s="11"/>
      <c r="G145" s="12"/>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x14ac:dyDescent="0.25">
      <c r="A146" s="11"/>
      <c r="B146" s="11"/>
      <c r="C146" s="11"/>
      <c r="D146" s="11"/>
      <c r="E146" s="11"/>
      <c r="F146" s="11"/>
      <c r="G146" s="12"/>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x14ac:dyDescent="0.25">
      <c r="A147" s="11"/>
      <c r="B147" s="11"/>
      <c r="C147" s="11"/>
      <c r="D147" s="11"/>
      <c r="E147" s="11"/>
      <c r="F147" s="11"/>
      <c r="G147" s="12"/>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x14ac:dyDescent="0.25">
      <c r="A148" s="11"/>
      <c r="B148" s="11"/>
      <c r="C148" s="11"/>
      <c r="D148" s="11"/>
      <c r="E148" s="11"/>
      <c r="F148" s="11"/>
      <c r="G148" s="12"/>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x14ac:dyDescent="0.25">
      <c r="A149" s="11"/>
      <c r="B149" s="11"/>
      <c r="C149" s="11"/>
      <c r="D149" s="11"/>
      <c r="E149" s="11"/>
      <c r="F149" s="11"/>
      <c r="G149" s="12"/>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x14ac:dyDescent="0.25">
      <c r="A150" s="11"/>
      <c r="B150" s="11"/>
      <c r="C150" s="11"/>
      <c r="D150" s="11"/>
      <c r="E150" s="11"/>
      <c r="F150" s="11"/>
      <c r="G150" s="12"/>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x14ac:dyDescent="0.25">
      <c r="A151" s="11"/>
      <c r="B151" s="11"/>
      <c r="C151" s="11"/>
      <c r="D151" s="11"/>
      <c r="E151" s="11"/>
      <c r="F151" s="11"/>
      <c r="G151" s="12"/>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x14ac:dyDescent="0.25">
      <c r="A152" s="11"/>
      <c r="B152" s="11"/>
      <c r="C152" s="11"/>
      <c r="D152" s="11"/>
      <c r="E152" s="11"/>
      <c r="F152" s="11"/>
      <c r="G152" s="12"/>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x14ac:dyDescent="0.25">
      <c r="A153" s="11"/>
      <c r="B153" s="11"/>
      <c r="C153" s="11"/>
      <c r="D153" s="11"/>
      <c r="E153" s="11"/>
      <c r="F153" s="11"/>
      <c r="G153" s="12"/>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x14ac:dyDescent="0.25">
      <c r="A154" s="11"/>
      <c r="B154" s="11"/>
      <c r="C154" s="11"/>
      <c r="D154" s="11"/>
      <c r="E154" s="11"/>
      <c r="F154" s="11"/>
      <c r="G154" s="12"/>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3.8" x14ac:dyDescent="0.25">
      <c r="A155" s="11"/>
      <c r="B155" s="33"/>
      <c r="C155" s="11"/>
      <c r="D155" s="11"/>
      <c r="E155" s="11"/>
      <c r="F155" s="11"/>
      <c r="G155" s="12"/>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x14ac:dyDescent="0.25">
      <c r="A156" s="11"/>
      <c r="B156" s="11"/>
      <c r="C156" s="11"/>
      <c r="D156" s="11"/>
      <c r="E156" s="11"/>
      <c r="F156" s="11"/>
      <c r="G156" s="12"/>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x14ac:dyDescent="0.25">
      <c r="A157" s="11"/>
      <c r="B157" s="11"/>
      <c r="C157" s="11"/>
      <c r="D157" s="11"/>
      <c r="E157" s="11"/>
      <c r="F157" s="11"/>
      <c r="G157" s="12"/>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x14ac:dyDescent="0.25">
      <c r="A158" s="11"/>
      <c r="B158" s="11"/>
      <c r="C158" s="11"/>
      <c r="D158" s="11"/>
      <c r="E158" s="11"/>
      <c r="F158" s="11"/>
      <c r="G158" s="12"/>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x14ac:dyDescent="0.25">
      <c r="A159" s="11"/>
      <c r="B159" s="11"/>
      <c r="C159" s="11"/>
      <c r="D159" s="11"/>
      <c r="E159" s="11"/>
      <c r="F159" s="11"/>
      <c r="G159" s="12"/>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x14ac:dyDescent="0.25">
      <c r="A160" s="11"/>
      <c r="B160" s="11"/>
      <c r="D160" s="11"/>
      <c r="E160" s="11"/>
      <c r="F160" s="11"/>
      <c r="G160" s="12"/>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x14ac:dyDescent="0.25">
      <c r="A161" s="11"/>
      <c r="B161" s="11"/>
      <c r="C161" s="11"/>
      <c r="D161" s="11"/>
      <c r="E161" s="11"/>
      <c r="F161" s="11"/>
      <c r="G161" s="12"/>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x14ac:dyDescent="0.25">
      <c r="A162" s="11"/>
      <c r="B162" s="11"/>
      <c r="C162" s="11"/>
      <c r="D162" s="11"/>
      <c r="E162" s="11"/>
      <c r="F162" s="11"/>
      <c r="G162" s="12"/>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x14ac:dyDescent="0.25">
      <c r="A163" s="11"/>
      <c r="B163" s="11"/>
      <c r="C163" s="11"/>
      <c r="D163" s="11"/>
      <c r="E163" s="11"/>
      <c r="F163" s="11"/>
      <c r="G163" s="12"/>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x14ac:dyDescent="0.25">
      <c r="A164" s="11"/>
      <c r="B164" s="11"/>
      <c r="C164" s="11"/>
      <c r="D164" s="11"/>
      <c r="E164" s="11"/>
      <c r="F164" s="11"/>
      <c r="G164" s="1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x14ac:dyDescent="0.25">
      <c r="A165" s="11"/>
      <c r="B165" s="11"/>
      <c r="C165" s="11"/>
      <c r="D165" s="11"/>
      <c r="E165" s="11"/>
      <c r="F165" s="11"/>
      <c r="G165" s="12"/>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x14ac:dyDescent="0.25">
      <c r="A166" s="11"/>
      <c r="B166" s="11"/>
      <c r="C166" s="11"/>
      <c r="D166" s="11"/>
      <c r="E166" s="11"/>
      <c r="F166" s="11"/>
      <c r="G166" s="12"/>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x14ac:dyDescent="0.25">
      <c r="A167" s="11"/>
      <c r="B167" s="11"/>
      <c r="C167" s="11"/>
      <c r="D167" s="11"/>
      <c r="E167" s="11"/>
      <c r="F167" s="11"/>
      <c r="G167" s="12"/>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x14ac:dyDescent="0.25">
      <c r="A168" s="11"/>
      <c r="B168" s="11"/>
      <c r="C168" s="11"/>
      <c r="D168" s="11"/>
      <c r="E168" s="11"/>
      <c r="F168" s="11"/>
      <c r="G168" s="12"/>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x14ac:dyDescent="0.25">
      <c r="A169" s="11"/>
      <c r="B169" s="11"/>
      <c r="C169" s="11"/>
      <c r="D169" s="11"/>
      <c r="E169" s="11"/>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x14ac:dyDescent="0.25">
      <c r="A170" s="11"/>
      <c r="B170" s="11"/>
      <c r="C170" s="11"/>
      <c r="D170" s="11"/>
      <c r="E170" s="11"/>
      <c r="F170" s="11"/>
      <c r="G170" s="12"/>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x14ac:dyDescent="0.25">
      <c r="A171" s="11"/>
      <c r="B171" s="11"/>
      <c r="C171" s="11"/>
      <c r="D171" s="11"/>
      <c r="E171" s="11"/>
      <c r="F171" s="11"/>
      <c r="G171" s="12"/>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x14ac:dyDescent="0.25">
      <c r="A172" s="11"/>
      <c r="B172" s="11"/>
      <c r="C172" s="11"/>
      <c r="D172" s="11"/>
      <c r="E172" s="11"/>
      <c r="F172" s="11"/>
      <c r="G172" s="12"/>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x14ac:dyDescent="0.25">
      <c r="A173" s="11"/>
      <c r="B173" s="11"/>
      <c r="C173" s="11"/>
      <c r="D173" s="11"/>
      <c r="E173" s="11"/>
      <c r="F173" s="11"/>
      <c r="G173" s="12"/>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x14ac:dyDescent="0.25">
      <c r="A174" s="11"/>
      <c r="B174" s="11"/>
      <c r="C174" s="11"/>
      <c r="D174" s="11"/>
      <c r="E174" s="11"/>
      <c r="F174" s="11"/>
      <c r="G174" s="12"/>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x14ac:dyDescent="0.25">
      <c r="A175" s="11"/>
      <c r="B175" s="11"/>
      <c r="C175" s="11"/>
      <c r="D175" s="11"/>
      <c r="E175" s="11"/>
      <c r="F175" s="11"/>
      <c r="G175" s="12"/>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x14ac:dyDescent="0.25">
      <c r="A176" s="11"/>
      <c r="B176" s="11"/>
      <c r="C176" s="11"/>
      <c r="D176" s="11"/>
      <c r="E176" s="11"/>
      <c r="F176" s="11"/>
      <c r="G176" s="12"/>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x14ac:dyDescent="0.25">
      <c r="A177" s="11"/>
      <c r="B177" s="11"/>
      <c r="C177" s="11"/>
      <c r="D177" s="11"/>
      <c r="E177" s="11"/>
      <c r="F177" s="11"/>
      <c r="G177" s="12"/>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x14ac:dyDescent="0.25">
      <c r="A178" s="11"/>
      <c r="B178" s="11"/>
      <c r="C178" s="11"/>
      <c r="D178" s="11"/>
      <c r="E178" s="11"/>
      <c r="F178" s="11"/>
      <c r="G178" s="12"/>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x14ac:dyDescent="0.25">
      <c r="A179" s="11"/>
      <c r="B179" s="11"/>
      <c r="C179" s="11"/>
      <c r="D179" s="11"/>
      <c r="E179" s="11"/>
      <c r="F179" s="11"/>
      <c r="G179" s="12"/>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x14ac:dyDescent="0.25">
      <c r="A180" s="11"/>
      <c r="B180" s="11"/>
      <c r="C180" s="11"/>
      <c r="D180" s="11"/>
      <c r="E180" s="11"/>
      <c r="F180" s="11"/>
      <c r="G180" s="12"/>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x14ac:dyDescent="0.25">
      <c r="A181" s="11"/>
      <c r="B181" s="11"/>
      <c r="C181" s="11"/>
      <c r="D181" s="11"/>
      <c r="E181" s="11"/>
      <c r="F181" s="11"/>
      <c r="G181" s="12"/>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x14ac:dyDescent="0.25">
      <c r="A182" s="11"/>
      <c r="B182" s="11"/>
      <c r="C182" s="11"/>
      <c r="D182" s="11"/>
      <c r="E182" s="11"/>
      <c r="F182" s="11"/>
      <c r="G182" s="12"/>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x14ac:dyDescent="0.25">
      <c r="A183" s="11"/>
      <c r="B183" s="11"/>
      <c r="C183" s="11"/>
      <c r="D183" s="11"/>
      <c r="E183" s="11"/>
      <c r="F183" s="11"/>
      <c r="G183" s="12"/>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x14ac:dyDescent="0.25">
      <c r="A184" s="11"/>
      <c r="B184" s="11"/>
      <c r="C184" s="11"/>
      <c r="D184" s="11"/>
      <c r="E184" s="11"/>
      <c r="F184" s="11"/>
      <c r="G184" s="12"/>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x14ac:dyDescent="0.25">
      <c r="A185" s="11"/>
      <c r="B185" s="11"/>
      <c r="C185" s="11"/>
      <c r="D185" s="11"/>
      <c r="E185" s="11"/>
      <c r="F185" s="11"/>
      <c r="G185" s="12"/>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x14ac:dyDescent="0.25">
      <c r="A186" s="11"/>
      <c r="B186" s="11"/>
      <c r="C186" s="11"/>
      <c r="D186" s="11"/>
      <c r="E186" s="11"/>
      <c r="F186" s="11"/>
      <c r="G186" s="12"/>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x14ac:dyDescent="0.25">
      <c r="A187" s="11"/>
      <c r="B187" s="11"/>
      <c r="C187" s="11"/>
      <c r="D187" s="11"/>
      <c r="E187" s="11"/>
      <c r="F187" s="11"/>
      <c r="G187" s="12"/>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x14ac:dyDescent="0.25">
      <c r="A188" s="11"/>
      <c r="B188" s="11"/>
      <c r="C188" s="11"/>
      <c r="D188" s="11"/>
      <c r="E188" s="11"/>
      <c r="F188" s="11"/>
      <c r="G188" s="12"/>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x14ac:dyDescent="0.25">
      <c r="A189" s="11"/>
      <c r="B189" s="11"/>
      <c r="C189" s="11"/>
      <c r="D189" s="11"/>
      <c r="E189" s="11"/>
      <c r="F189" s="11"/>
      <c r="G189" s="12"/>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x14ac:dyDescent="0.25">
      <c r="A190" s="11"/>
      <c r="B190" s="11"/>
      <c r="C190" s="11"/>
      <c r="D190" s="11"/>
      <c r="G190" s="12"/>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x14ac:dyDescent="0.25">
      <c r="A191" s="11"/>
      <c r="B191" s="11"/>
      <c r="C191" s="11"/>
      <c r="D191" s="11"/>
      <c r="G191" s="12"/>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x14ac:dyDescent="0.25">
      <c r="A192" s="11"/>
      <c r="B192" s="11"/>
      <c r="C192" s="11"/>
      <c r="D192" s="11"/>
      <c r="G192" s="12"/>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x14ac:dyDescent="0.25">
      <c r="A193" s="11"/>
      <c r="B193" s="11"/>
      <c r="C193" s="11"/>
      <c r="D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x14ac:dyDescent="0.25">
      <c r="A194" s="11"/>
      <c r="B194" s="11"/>
      <c r="C194" s="11"/>
      <c r="D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x14ac:dyDescent="0.25">
      <c r="A195" s="11"/>
      <c r="B195" s="11"/>
      <c r="C195" s="11"/>
      <c r="D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x14ac:dyDescent="0.25">
      <c r="A196" s="11"/>
      <c r="B196" s="11"/>
      <c r="C196" s="11"/>
      <c r="D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x14ac:dyDescent="0.25">
      <c r="A197" s="11"/>
      <c r="B197" s="11"/>
      <c r="C197" s="11"/>
      <c r="D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x14ac:dyDescent="0.25">
      <c r="A198" s="11"/>
      <c r="B198" s="11"/>
      <c r="C198" s="11"/>
      <c r="D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x14ac:dyDescent="0.25">
      <c r="A199" s="11"/>
      <c r="B199" s="11"/>
      <c r="C199" s="11"/>
      <c r="D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sheetData>
  <sheetProtection selectLockedCells="1"/>
  <mergeCells count="43">
    <mergeCell ref="AR55:AR62"/>
    <mergeCell ref="B58:B65"/>
    <mergeCell ref="L2:M2"/>
    <mergeCell ref="B25:B27"/>
    <mergeCell ref="B35:B37"/>
    <mergeCell ref="J27:K27"/>
    <mergeCell ref="J28:K28"/>
    <mergeCell ref="J29:K29"/>
    <mergeCell ref="J30:K30"/>
    <mergeCell ref="J31:K31"/>
    <mergeCell ref="J32:K32"/>
    <mergeCell ref="J33:K33"/>
    <mergeCell ref="J34:K34"/>
    <mergeCell ref="J35:K35"/>
    <mergeCell ref="J36:K36"/>
    <mergeCell ref="J25:K25"/>
    <mergeCell ref="D96:E96"/>
    <mergeCell ref="D97:E97"/>
    <mergeCell ref="A1:M1"/>
    <mergeCell ref="D11:E12"/>
    <mergeCell ref="I65:M65"/>
    <mergeCell ref="J15:K15"/>
    <mergeCell ref="J16:K16"/>
    <mergeCell ref="J17:K17"/>
    <mergeCell ref="J18:K18"/>
    <mergeCell ref="J19:K19"/>
    <mergeCell ref="J20:K20"/>
    <mergeCell ref="J21:K21"/>
    <mergeCell ref="J22:K22"/>
    <mergeCell ref="J23:K23"/>
    <mergeCell ref="J24:K24"/>
    <mergeCell ref="M19:AM19"/>
    <mergeCell ref="J38:K38"/>
    <mergeCell ref="J39:K39"/>
    <mergeCell ref="J40:K40"/>
    <mergeCell ref="J41:K41"/>
    <mergeCell ref="J37:K37"/>
    <mergeCell ref="J47:K47"/>
    <mergeCell ref="J42:K42"/>
    <mergeCell ref="J43:K43"/>
    <mergeCell ref="J44:K44"/>
    <mergeCell ref="J45:K45"/>
    <mergeCell ref="J46:K46"/>
  </mergeCells>
  <phoneticPr fontId="7" type="noConversion"/>
  <conditionalFormatting sqref="G84">
    <cfRule type="expression" dxfId="43" priority="93" stopIfTrue="1">
      <formula>F80="Option A"</formula>
    </cfRule>
  </conditionalFormatting>
  <conditionalFormatting sqref="E84">
    <cfRule type="expression" dxfId="42" priority="94" stopIfTrue="1">
      <formula>F80="Option A"</formula>
    </cfRule>
  </conditionalFormatting>
  <conditionalFormatting sqref="F88">
    <cfRule type="expression" dxfId="41" priority="95" stopIfTrue="1">
      <formula>F80="Option A"</formula>
    </cfRule>
  </conditionalFormatting>
  <conditionalFormatting sqref="E88">
    <cfRule type="expression" dxfId="40" priority="97" stopIfTrue="1">
      <formula>F80="Option A"</formula>
    </cfRule>
  </conditionalFormatting>
  <conditionalFormatting sqref="F29">
    <cfRule type="cellIs" dxfId="39" priority="98" stopIfTrue="1" operator="greaterThan">
      <formula>200</formula>
    </cfRule>
  </conditionalFormatting>
  <conditionalFormatting sqref="F95:F97">
    <cfRule type="cellIs" dxfId="38" priority="100" stopIfTrue="1" operator="lessThan">
      <formula>$F$81</formula>
    </cfRule>
  </conditionalFormatting>
  <conditionalFormatting sqref="F98">
    <cfRule type="cellIs" dxfId="37" priority="101" stopIfTrue="1" operator="greaterThan">
      <formula>$F$83</formula>
    </cfRule>
  </conditionalFormatting>
  <conditionalFormatting sqref="G88">
    <cfRule type="expression" dxfId="36" priority="88">
      <formula>F80="Option A"</formula>
    </cfRule>
  </conditionalFormatting>
  <conditionalFormatting sqref="G92">
    <cfRule type="expression" dxfId="35" priority="87">
      <formula>F80="Option A"</formula>
    </cfRule>
  </conditionalFormatting>
  <conditionalFormatting sqref="F92">
    <cfRule type="expression" dxfId="34" priority="86">
      <formula>F80="Option A"</formula>
    </cfRule>
  </conditionalFormatting>
  <conditionalFormatting sqref="E92">
    <cfRule type="expression" dxfId="33" priority="85">
      <formula>F80="Option A"</formula>
    </cfRule>
  </conditionalFormatting>
  <conditionalFormatting sqref="F59:F60">
    <cfRule type="colorScale" priority="62">
      <colorScale>
        <cfvo type="min"/>
        <cfvo type="formula" val="$AN$52*0.8"/>
        <cfvo type="num" val="$AN$52"/>
        <color theme="0"/>
        <color rgb="FFFFC000"/>
        <color rgb="FFFF0000"/>
      </colorScale>
    </cfRule>
  </conditionalFormatting>
  <conditionalFormatting sqref="F69">
    <cfRule type="expression" dxfId="32" priority="102">
      <formula>#REF!="Yes"</formula>
    </cfRule>
  </conditionalFormatting>
  <conditionalFormatting sqref="G71:G75">
    <cfRule type="expression" dxfId="31" priority="50">
      <formula>#REF!="Yes"</formula>
    </cfRule>
  </conditionalFormatting>
  <conditionalFormatting sqref="B71:D73 B75:D78 C74:D74 F71:G75">
    <cfRule type="expression" dxfId="30" priority="42" stopIfTrue="1">
      <formula>$F$69="NO"</formula>
    </cfRule>
  </conditionalFormatting>
  <conditionalFormatting sqref="F73 F71">
    <cfRule type="cellIs" dxfId="29" priority="43" operator="greaterThanOrEqual">
      <formula>#REF!</formula>
    </cfRule>
  </conditionalFormatting>
  <conditionalFormatting sqref="F75">
    <cfRule type="cellIs" dxfId="28" priority="44" operator="between">
      <formula>1.1</formula>
      <formula>1.2999</formula>
    </cfRule>
    <cfRule type="cellIs" dxfId="27" priority="45" operator="lessThan">
      <formula>1.1</formula>
    </cfRule>
  </conditionalFormatting>
  <conditionalFormatting sqref="E47:G47">
    <cfRule type="expression" dxfId="26" priority="37" stopIfTrue="1">
      <formula>IF(#REF!="", "TRUE", "FALSE")</formula>
    </cfRule>
  </conditionalFormatting>
  <conditionalFormatting sqref="F33:F35">
    <cfRule type="cellIs" dxfId="25" priority="36" operator="lessThan">
      <formula>$F$17</formula>
    </cfRule>
  </conditionalFormatting>
  <conditionalFormatting sqref="AR55:AR62">
    <cfRule type="expression" dxfId="24" priority="31">
      <formula>#REF!="No"</formula>
    </cfRule>
    <cfRule type="expression" dxfId="23" priority="32">
      <formula>#REF!="No"</formula>
    </cfRule>
  </conditionalFormatting>
  <conditionalFormatting sqref="B58:B65">
    <cfRule type="expression" dxfId="22" priority="29">
      <formula>#REF!="No"</formula>
    </cfRule>
    <cfRule type="expression" dxfId="21" priority="30">
      <formula>#REF!="No"</formula>
    </cfRule>
  </conditionalFormatting>
  <conditionalFormatting sqref="E22:H24">
    <cfRule type="expression" dxfId="20" priority="27">
      <formula>#REF!="No"</formula>
    </cfRule>
    <cfRule type="expression" dxfId="19" priority="28">
      <formula>#REF!="No"</formula>
    </cfRule>
  </conditionalFormatting>
  <conditionalFormatting sqref="E41:E42 G41:G42">
    <cfRule type="expression" dxfId="18" priority="21">
      <formula>#REF!="No"</formula>
    </cfRule>
    <cfRule type="expression" dxfId="17" priority="22">
      <formula>#REF!="No"</formula>
    </cfRule>
  </conditionalFormatting>
  <conditionalFormatting sqref="F41:F42">
    <cfRule type="expression" dxfId="16" priority="18">
      <formula>#REF!="No"</formula>
    </cfRule>
    <cfRule type="expression" dxfId="15" priority="19">
      <formula>#REF!="No"</formula>
    </cfRule>
  </conditionalFormatting>
  <conditionalFormatting sqref="G40">
    <cfRule type="expression" dxfId="14" priority="16">
      <formula>#REF!="No"</formula>
    </cfRule>
    <cfRule type="expression" dxfId="13" priority="17">
      <formula>#REF!="No"</formula>
    </cfRule>
  </conditionalFormatting>
  <conditionalFormatting sqref="F74">
    <cfRule type="cellIs" dxfId="12" priority="13" operator="greaterThan">
      <formula>$F$22/1000</formula>
    </cfRule>
  </conditionalFormatting>
  <conditionalFormatting sqref="F39">
    <cfRule type="cellIs" dxfId="11" priority="12" operator="greaterThan">
      <formula>5</formula>
    </cfRule>
  </conditionalFormatting>
  <conditionalFormatting sqref="B57">
    <cfRule type="expression" dxfId="10" priority="10">
      <formula>$G$23="No"</formula>
    </cfRule>
    <cfRule type="expression" dxfId="9" priority="11">
      <formula>$G$22="No"</formula>
    </cfRule>
  </conditionalFormatting>
  <conditionalFormatting sqref="B75">
    <cfRule type="expression" dxfId="8" priority="8">
      <formula>$G$23="No"</formula>
    </cfRule>
    <cfRule type="expression" dxfId="7" priority="9">
      <formula>$G$22="No"</formula>
    </cfRule>
  </conditionalFormatting>
  <conditionalFormatting sqref="B25">
    <cfRule type="expression" dxfId="6" priority="6">
      <formula>$G$23="No"</formula>
    </cfRule>
    <cfRule type="expression" dxfId="5" priority="7">
      <formula>$G$22="No"</formula>
    </cfRule>
  </conditionalFormatting>
  <conditionalFormatting sqref="B35">
    <cfRule type="expression" dxfId="4" priority="4">
      <formula>$G$23="No"</formula>
    </cfRule>
    <cfRule type="expression" dxfId="3" priority="5">
      <formula>$G$22="No"</formula>
    </cfRule>
  </conditionalFormatting>
  <conditionalFormatting sqref="D70 F70:G70">
    <cfRule type="expression" dxfId="2" priority="3">
      <formula>$F$69="Yes"</formula>
    </cfRule>
  </conditionalFormatting>
  <conditionalFormatting sqref="F25">
    <cfRule type="expression" dxfId="1" priority="1">
      <formula>#REF!="No"</formula>
    </cfRule>
    <cfRule type="expression" dxfId="0" priority="2">
      <formula>#REF!="No"</formula>
    </cfRule>
  </conditionalFormatting>
  <dataValidations xWindow="815" yWindow="414" count="15">
    <dataValidation type="decimal" allowBlank="1" showInputMessage="1" showErrorMessage="1" errorTitle="Lower UVLO Violation" error="The lower UVLO threshold MUST be at least 2.65V, and  less than the upper UVLO threshold. They cannot be equal." sqref="F82" xr:uid="{65F8E715-1132-4EBE-AAF4-F3CA7DBBDF19}">
      <formula1>2.65</formula1>
      <formula2>F81</formula2>
    </dataValidation>
    <dataValidation type="decimal" allowBlank="1" showInputMessage="1" showErrorMessage="1" errorTitle="Upper OVLO Threshold Violation" error="The Upper OVLO Threshold must be greater than the upper UVLO threshold, and less than 17V." sqref="F83" xr:uid="{AE260D13-C82C-4ECF-A184-CA526FBC1693}">
      <formula1>F81+0.01</formula1>
      <formula2>65</formula2>
    </dataValidation>
    <dataValidation type="decimal" allowBlank="1" showInputMessage="1" showErrorMessage="1" errorTitle="Lower OVLO Threshold Violation" error="The lower OVLO threshold must be greater than the upper UVLO threshold, and less than the upper OVLO threshold." sqref="F84" xr:uid="{E5AB6AF7-43E8-4533-9ED1-54FBD9C4F2ED}">
      <formula1>F81+0.01</formula1>
      <formula2>F83</formula2>
    </dataValidation>
    <dataValidation type="decimal" allowBlank="1" showInputMessage="1" showErrorMessage="1" errorTitle="UVLO Threshold Violation" error="The upper UVLO threshold must be no less than 2.9V, and no greater than 17V." sqref="F81" xr:uid="{A2B9B02C-1D5D-4915-BDFC-B30CBF703493}">
      <formula1>3</formula1>
      <formula2>65</formula2>
    </dataValidation>
    <dataValidation type="decimal" allowBlank="1" showInputMessage="1" showErrorMessage="1" errorTitle="Minimum System Voltage Violation" error="Input voltage should be between VIN(MIN) and VIN(MAX)." sqref="F15" xr:uid="{D4C29296-F988-4D6E-97BE-4ADE850F0524}">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xr:uid="{80CBD581-BAC8-4520-BF08-1F9C5E06DEFB}">
      <formula1>10</formula1>
    </dataValidation>
    <dataValidation type="decimal" operator="greaterThan" allowBlank="1" showInputMessage="1" showErrorMessage="1" errorTitle="Maximum Load Current Violation" error="Maximum Load Current must be greater than 0." sqref="F17" xr:uid="{BC79790D-5E08-4157-A796-5D58D250488B}">
      <formula1>0</formula1>
    </dataValidation>
    <dataValidation type="list" allowBlank="1" showInputMessage="1" showErrorMessage="1" sqref="F80" xr:uid="{B91EE197-1F22-436E-B4B3-D232C4F05CC4}">
      <formula1>$AN$80:$AN$81</formula1>
    </dataValidation>
    <dataValidation type="whole" allowBlank="1" showInputMessage="1" showErrorMessage="1" sqref="F50" xr:uid="{493C45E7-81B6-4716-BC2E-A8B5EED944FF}">
      <formula1>1</formula1>
      <formula2>6</formula2>
    </dataValidation>
    <dataValidation type="decimal" operator="greaterThan" allowBlank="1" showInputMessage="1" showErrorMessage="1" sqref="F47" xr:uid="{F48E3E69-F73B-4554-9367-F46959297924}">
      <formula1>0</formula1>
    </dataValidation>
    <dataValidation type="decimal" allowBlank="1" showInputMessage="1" showErrorMessage="1" sqref="F52" xr:uid="{79F24F17-B53D-43D1-A97F-E611B6743AEF}">
      <formula1>0</formula1>
      <formula2>200</formula2>
    </dataValidation>
    <dataValidation type="decimal" allowBlank="1" showInputMessage="1" showErrorMessage="1" sqref="F53:F57" xr:uid="{0873394C-7115-4480-9997-37F9596F439A}">
      <formula1>0.001</formula1>
      <formula2>400</formula2>
    </dataValidation>
    <dataValidation allowBlank="1" showInputMessage="1" showErrorMessage="1" errorTitle="Ambient Temperature Violation" error="The Ambient Temperature must be between -40C and 125C" sqref="F20:F21" xr:uid="{1BE4F319-1D47-4913-A3D8-DDBE4369042C}"/>
    <dataValidation type="list" allowBlank="1" showInputMessage="1" showErrorMessage="1" sqref="F69" xr:uid="{47D7C17A-3C50-407D-94FF-98880B3CF4E1}">
      <formula1>$AN$28:$AN$29</formula1>
    </dataValidation>
    <dataValidation type="list" allowBlank="1" showInputMessage="1" showErrorMessage="1" sqref="F67" xr:uid="{FAB5A55E-CAAD-4006-816C-BFDFC66697D8}">
      <formula1>$AN$68:$AN$69</formula1>
    </dataValidation>
  </dataValidations>
  <hyperlinks>
    <hyperlink ref="B57" r:id="rId1" display="Step 3: MOSFET Selection" xr:uid="{135122C6-A7BE-4734-A857-A2DD88B53FA5}"/>
    <hyperlink ref="B75" r:id="rId2" display="Step 4: Startup" xr:uid="{AEB1CB40-CAFB-4105-BD68-1711E4EEE4CC}"/>
    <hyperlink ref="B25:B26" r:id="rId3" display="Steps 1 &amp; 2: Operating Conditions, Current Limit, &amp; Circuit Breaker" xr:uid="{7D083D7E-5A75-438B-9C33-32A19B5C4F0E}"/>
    <hyperlink ref="B35:B36" r:id="rId4" display="Steps 1 &amp; 2: Operating Conditions, Current Limit, &amp; Circuit Breaker" xr:uid="{568D23BB-ED32-4438-BD21-898D81F1732B}"/>
  </hyperlinks>
  <pageMargins left="0.17" right="0.17" top="0.55000000000000004" bottom="0.92" header="0.48" footer="0.2"/>
  <pageSetup scale="62" fitToHeight="2" orientation="portrait" r:id="rId5"/>
  <headerFooter alignWithMargins="0"/>
  <drawing r:id="rId6"/>
  <legacyDrawing r:id="rId7"/>
  <extLst>
    <ext xmlns:x14="http://schemas.microsoft.com/office/spreadsheetml/2009/9/main" uri="{CCE6A557-97BC-4b89-ADB6-D9C93CAAB3DF}">
      <x14:dataValidations xmlns:xm="http://schemas.microsoft.com/office/excel/2006/main" xWindow="815" yWindow="414" count="6">
        <x14:dataValidation type="decimal" allowBlank="1" showInputMessage="1" showErrorMessage="1" xr:uid="{04916858-533A-429F-8062-20A132A3FE0F}">
          <x14:formula1>
            <xm:f>0</xm:f>
          </x14:formula1>
          <x14:formula2>
            <xm:f>Equations!F100</xm:f>
          </x14:formula2>
          <xm:sqref>F66</xm:sqref>
        </x14:dataValidation>
        <x14:dataValidation type="decimal" allowBlank="1" showInputMessage="1" showErrorMessage="1" errorTitle="Ambient Temperature Violation" error="The Ambient Temperature must be between -40C and 125C" xr:uid="{9E71AF1B-E5A2-4222-B739-7CE551E69EF1}">
          <x14:formula1>
            <xm:f>'Device Parmaters'!C5</xm:f>
          </x14:formula1>
          <x14:formula2>
            <xm:f>'Device Parmaters'!E5</xm:f>
          </x14:formula2>
          <xm:sqref>F27</xm:sqref>
        </x14:dataValidation>
        <x14:dataValidation type="decimal" allowBlank="1" showInputMessage="1" showErrorMessage="1" errorTitle="Ambient Temperature Violation" error="The Ambient Temperature must be between -40C and 125C" xr:uid="{AF274702-5C77-4752-9A07-8022A83C951D}">
          <x14:formula1>
            <xm:f>'Device Parmaters'!C6</xm:f>
          </x14:formula1>
          <x14:formula2>
            <xm:f>'Device Parmaters'!E6</xm:f>
          </x14:formula2>
          <xm:sqref>F26</xm:sqref>
        </x14:dataValidation>
        <x14:dataValidation type="decimal" allowBlank="1" showInputMessage="1" showErrorMessage="1" errorTitle="Ambient Temperature Violation" error="The Ambient Temperature must be between -40C and 125C" xr:uid="{CC63A3A7-E4E4-4849-96C2-DE8B6844A0C6}">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at least 2.9V." xr:uid="{2813D7C8-CE1C-4D0B-82D3-2CB04A14806A}">
          <x14:formula1>
            <xm:f>'Device Parmaters'!C5</xm:f>
          </x14:formula1>
          <xm:sqref>F14</xm:sqref>
        </x14:dataValidation>
        <x14:dataValidation type="decimal" errorTitle="Ambient Temperature Violation" error="The Ambient Temperature must be between -40C and 125C" xr:uid="{7A0E6337-54DB-464F-BEC8-F7C2E767A04E}">
          <x14:formula1>
            <xm:f>'Device Parmaters'!C5</xm:f>
          </x14:formula1>
          <x14:formula2>
            <xm:f>'Device Parmaters'!E5</xm:f>
          </x14:formula2>
          <xm:sqref>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65"/>
  <sheetViews>
    <sheetView workbookViewId="0">
      <selection activeCell="E5" sqref="E5"/>
    </sheetView>
  </sheetViews>
  <sheetFormatPr defaultRowHeight="13.2" x14ac:dyDescent="0.25"/>
  <cols>
    <col min="1" max="1" width="9.44140625" customWidth="1"/>
    <col min="2" max="2" width="24.33203125" customWidth="1"/>
    <col min="12" max="12" width="13.5546875" customWidth="1"/>
  </cols>
  <sheetData>
    <row r="2" spans="1:17" x14ac:dyDescent="0.25">
      <c r="A2" s="23"/>
      <c r="C2" s="23" t="s">
        <v>53</v>
      </c>
      <c r="D2" s="23" t="s">
        <v>54</v>
      </c>
      <c r="E2" s="23" t="s">
        <v>55</v>
      </c>
      <c r="F2" s="23" t="s">
        <v>121</v>
      </c>
    </row>
    <row r="3" spans="1:17" x14ac:dyDescent="0.25">
      <c r="A3" s="18" t="s">
        <v>118</v>
      </c>
      <c r="C3" s="23"/>
      <c r="D3" s="23"/>
      <c r="E3" s="23"/>
    </row>
    <row r="4" spans="1:17" x14ac:dyDescent="0.25">
      <c r="A4" s="18"/>
      <c r="B4" s="23" t="s">
        <v>129</v>
      </c>
      <c r="C4" s="50">
        <v>-40</v>
      </c>
      <c r="D4" s="50"/>
      <c r="E4" s="50">
        <v>125</v>
      </c>
    </row>
    <row r="5" spans="1:17" x14ac:dyDescent="0.25">
      <c r="B5" s="24" t="s">
        <v>119</v>
      </c>
      <c r="C5" s="1">
        <v>3</v>
      </c>
      <c r="D5" s="1"/>
      <c r="E5" s="1">
        <v>65</v>
      </c>
      <c r="F5" s="23" t="s">
        <v>68</v>
      </c>
      <c r="J5" s="2"/>
    </row>
    <row r="6" spans="1:17" ht="16.5" customHeight="1" x14ac:dyDescent="0.25">
      <c r="A6" s="18" t="s">
        <v>96</v>
      </c>
      <c r="B6" s="24"/>
      <c r="C6" s="1"/>
      <c r="D6" s="1"/>
      <c r="E6" s="1"/>
      <c r="J6" s="2"/>
    </row>
    <row r="7" spans="1:17" x14ac:dyDescent="0.25">
      <c r="B7" s="24" t="s">
        <v>380</v>
      </c>
      <c r="C7" s="117">
        <v>18</v>
      </c>
      <c r="D7" s="1">
        <v>20</v>
      </c>
      <c r="E7" s="117">
        <v>22</v>
      </c>
      <c r="F7" t="s">
        <v>132</v>
      </c>
      <c r="J7" s="2"/>
    </row>
    <row r="8" spans="1:17" x14ac:dyDescent="0.25">
      <c r="B8" s="24" t="s">
        <v>381</v>
      </c>
      <c r="C8" s="117">
        <f>D8*0.9</f>
        <v>27</v>
      </c>
      <c r="D8" s="117">
        <f>Equations!I32</f>
        <v>30</v>
      </c>
      <c r="E8" s="117">
        <f>D8*1.1</f>
        <v>33</v>
      </c>
      <c r="F8" t="s">
        <v>132</v>
      </c>
      <c r="J8" s="24"/>
    </row>
    <row r="9" spans="1:17" x14ac:dyDescent="0.25">
      <c r="B9" s="24" t="s">
        <v>120</v>
      </c>
      <c r="C9" s="1"/>
      <c r="D9" s="1">
        <v>10</v>
      </c>
      <c r="E9" s="1"/>
      <c r="F9" s="23" t="s">
        <v>122</v>
      </c>
      <c r="J9" s="24"/>
    </row>
    <row r="10" spans="1:17" x14ac:dyDescent="0.25">
      <c r="C10" s="1"/>
      <c r="D10" s="1"/>
      <c r="E10" s="1"/>
    </row>
    <row r="11" spans="1:17" x14ac:dyDescent="0.25">
      <c r="A11" s="18" t="s">
        <v>131</v>
      </c>
      <c r="C11" s="1"/>
      <c r="D11" s="1"/>
      <c r="E11" s="1"/>
    </row>
    <row r="12" spans="1:17" x14ac:dyDescent="0.25">
      <c r="B12" s="23" t="s">
        <v>205</v>
      </c>
      <c r="C12" s="1"/>
      <c r="D12" s="1"/>
      <c r="E12" s="1">
        <v>2.0999999999999999E-3</v>
      </c>
      <c r="F12" s="23" t="s">
        <v>68</v>
      </c>
    </row>
    <row r="13" spans="1:17" x14ac:dyDescent="0.25">
      <c r="B13" s="23" t="s">
        <v>206</v>
      </c>
      <c r="C13" s="85"/>
      <c r="D13" s="85"/>
      <c r="E13" s="85">
        <v>4.0000000000000001E-3</v>
      </c>
      <c r="F13" s="23" t="s">
        <v>68</v>
      </c>
      <c r="G13" s="23" t="s">
        <v>207</v>
      </c>
    </row>
    <row r="14" spans="1:17" x14ac:dyDescent="0.25">
      <c r="B14" s="23" t="s">
        <v>208</v>
      </c>
      <c r="C14" s="85"/>
      <c r="D14" s="85"/>
      <c r="E14" s="90">
        <v>194000</v>
      </c>
      <c r="F14" s="23"/>
    </row>
    <row r="15" spans="1:17" x14ac:dyDescent="0.25">
      <c r="B15" s="23"/>
      <c r="C15" s="85"/>
      <c r="D15" s="85"/>
      <c r="E15" s="90"/>
      <c r="F15" s="23"/>
    </row>
    <row r="16" spans="1:17" x14ac:dyDescent="0.25">
      <c r="B16" s="23" t="s">
        <v>217</v>
      </c>
      <c r="C16" s="89" t="s">
        <v>209</v>
      </c>
      <c r="D16" s="85"/>
      <c r="E16" s="85"/>
      <c r="F16" s="23"/>
      <c r="I16" s="23" t="s">
        <v>211</v>
      </c>
      <c r="J16" s="23" t="s">
        <v>52</v>
      </c>
      <c r="K16" s="23" t="s">
        <v>212</v>
      </c>
      <c r="L16" s="23" t="s">
        <v>214</v>
      </c>
      <c r="M16" s="23" t="s">
        <v>213</v>
      </c>
      <c r="N16" s="23" t="s">
        <v>215</v>
      </c>
      <c r="P16" s="23" t="s">
        <v>213</v>
      </c>
      <c r="Q16" s="23" t="s">
        <v>212</v>
      </c>
    </row>
    <row r="17" spans="1:17" x14ac:dyDescent="0.25">
      <c r="B17" s="23"/>
      <c r="C17" s="89" t="s">
        <v>210</v>
      </c>
      <c r="D17" s="85"/>
      <c r="E17" s="85"/>
      <c r="F17" s="23"/>
      <c r="J17">
        <v>12</v>
      </c>
      <c r="K17">
        <v>25</v>
      </c>
      <c r="L17">
        <f>0.5</f>
        <v>0.5</v>
      </c>
      <c r="M17" s="92">
        <f>1/(0.001*L17)*(K17*1000/$E$14+J17*$E$12)</f>
        <v>308.1319587628866</v>
      </c>
      <c r="N17" s="91">
        <f>K17*1000/$E$14/J17+$E$12</f>
        <v>1.2838831615120273E-2</v>
      </c>
      <c r="P17">
        <v>82</v>
      </c>
      <c r="Q17">
        <f>E14*(P17*L17*0.001-J17*E12)</f>
        <v>3065.2000000000003</v>
      </c>
    </row>
    <row r="18" spans="1:17" x14ac:dyDescent="0.25">
      <c r="B18" s="23"/>
      <c r="C18" s="89" t="s">
        <v>216</v>
      </c>
      <c r="D18" s="85"/>
      <c r="E18" s="85"/>
      <c r="F18" s="23"/>
      <c r="J18">
        <v>12</v>
      </c>
      <c r="K18">
        <v>5</v>
      </c>
      <c r="L18">
        <f>0.5</f>
        <v>0.5</v>
      </c>
      <c r="M18" s="92">
        <f>1/(0.001*L18)*(K18*1000/$E$14+J18*$E$12)</f>
        <v>101.94639175257731</v>
      </c>
      <c r="N18" s="91">
        <f>K18*1000/$E$14/J18+$E$12*0.001</f>
        <v>2.1498663230240548E-3</v>
      </c>
    </row>
    <row r="19" spans="1:17" x14ac:dyDescent="0.25">
      <c r="B19" s="23" t="s">
        <v>218</v>
      </c>
      <c r="E19" s="85"/>
      <c r="F19" s="23"/>
      <c r="I19" s="23" t="s">
        <v>220</v>
      </c>
      <c r="M19" s="92"/>
      <c r="N19" s="91"/>
    </row>
    <row r="20" spans="1:17" x14ac:dyDescent="0.25">
      <c r="B20" s="23"/>
      <c r="E20" s="117"/>
      <c r="F20" s="23"/>
      <c r="I20" s="23"/>
      <c r="M20" s="92"/>
      <c r="N20" s="91"/>
    </row>
    <row r="21" spans="1:17" x14ac:dyDescent="0.25">
      <c r="A21" s="18" t="s">
        <v>385</v>
      </c>
      <c r="B21" s="23"/>
      <c r="E21" s="117"/>
      <c r="F21" s="23"/>
      <c r="I21" s="23"/>
      <c r="M21" s="92"/>
      <c r="N21" s="91"/>
    </row>
    <row r="22" spans="1:17" x14ac:dyDescent="0.25">
      <c r="B22" s="23" t="s">
        <v>386</v>
      </c>
      <c r="D22">
        <v>79</v>
      </c>
      <c r="E22" s="117"/>
      <c r="F22" s="23" t="s">
        <v>122</v>
      </c>
      <c r="I22" s="23"/>
      <c r="M22" s="92"/>
      <c r="N22" s="91"/>
    </row>
    <row r="23" spans="1:17" x14ac:dyDescent="0.25">
      <c r="B23" s="23" t="s">
        <v>387</v>
      </c>
      <c r="D23">
        <v>2.5</v>
      </c>
      <c r="E23" s="117"/>
      <c r="F23" s="23" t="s">
        <v>122</v>
      </c>
      <c r="I23" s="23"/>
      <c r="M23" s="92"/>
      <c r="N23" s="91"/>
    </row>
    <row r="24" spans="1:17" x14ac:dyDescent="0.25">
      <c r="B24" s="24" t="s">
        <v>388</v>
      </c>
      <c r="D24">
        <v>1.2</v>
      </c>
      <c r="E24" s="117"/>
      <c r="F24" s="23" t="s">
        <v>68</v>
      </c>
      <c r="I24" s="23"/>
      <c r="M24" s="92"/>
      <c r="N24" s="91"/>
    </row>
    <row r="25" spans="1:17" x14ac:dyDescent="0.25">
      <c r="B25" s="23"/>
      <c r="E25" s="117"/>
      <c r="F25" s="23"/>
      <c r="I25" s="23"/>
      <c r="M25" s="92"/>
      <c r="N25" s="91"/>
    </row>
    <row r="26" spans="1:17" x14ac:dyDescent="0.25">
      <c r="A26" s="18" t="s">
        <v>124</v>
      </c>
      <c r="C26" s="1"/>
      <c r="D26" s="1"/>
      <c r="E26" s="1"/>
    </row>
    <row r="27" spans="1:17" x14ac:dyDescent="0.25">
      <c r="B27" s="24" t="s">
        <v>125</v>
      </c>
      <c r="C27" s="1">
        <v>1.54</v>
      </c>
      <c r="D27" s="1">
        <v>1.7</v>
      </c>
      <c r="E27" s="1">
        <v>1.85</v>
      </c>
      <c r="F27" s="23" t="s">
        <v>68</v>
      </c>
    </row>
    <row r="28" spans="1:17" x14ac:dyDescent="0.25">
      <c r="B28" s="24" t="s">
        <v>126</v>
      </c>
      <c r="C28" s="1">
        <v>-3</v>
      </c>
      <c r="D28" s="1">
        <v>-5.5</v>
      </c>
      <c r="E28" s="1">
        <v>-8</v>
      </c>
      <c r="F28" s="23" t="s">
        <v>122</v>
      </c>
    </row>
    <row r="29" spans="1:17" x14ac:dyDescent="0.25">
      <c r="B29" s="24" t="s">
        <v>292</v>
      </c>
      <c r="C29" s="117"/>
      <c r="D29" s="117"/>
      <c r="E29" s="117"/>
      <c r="F29" s="23"/>
    </row>
    <row r="30" spans="1:17" x14ac:dyDescent="0.25">
      <c r="B30" s="24" t="s">
        <v>127</v>
      </c>
      <c r="C30" s="1">
        <v>120</v>
      </c>
      <c r="D30" s="1">
        <v>90</v>
      </c>
      <c r="E30" s="1">
        <v>60</v>
      </c>
      <c r="F30" s="23" t="s">
        <v>122</v>
      </c>
    </row>
    <row r="31" spans="1:17" x14ac:dyDescent="0.25">
      <c r="B31" s="24" t="s">
        <v>239</v>
      </c>
      <c r="C31" s="87"/>
      <c r="D31" s="87">
        <f>SQRT(0.66^2+ ((120-90)/90)^2+ 0.1^2)</f>
        <v>0.74613076006227697</v>
      </c>
      <c r="E31" s="87"/>
      <c r="F31" s="23"/>
      <c r="G31" s="23" t="s">
        <v>238</v>
      </c>
    </row>
    <row r="32" spans="1:17" x14ac:dyDescent="0.25">
      <c r="B32" s="24" t="s">
        <v>236</v>
      </c>
      <c r="C32" s="87"/>
      <c r="D32" s="87">
        <v>0.75</v>
      </c>
      <c r="E32" s="87"/>
      <c r="F32" s="23"/>
      <c r="G32" s="23" t="s">
        <v>237</v>
      </c>
    </row>
    <row r="33" spans="1:5" x14ac:dyDescent="0.25">
      <c r="B33" s="2"/>
      <c r="C33" s="1"/>
      <c r="D33" s="1"/>
      <c r="E33" s="1"/>
    </row>
    <row r="34" spans="1:5" x14ac:dyDescent="0.25">
      <c r="A34" s="18" t="s">
        <v>160</v>
      </c>
      <c r="B34" s="2"/>
      <c r="C34" s="1"/>
      <c r="D34" s="1"/>
      <c r="E34" s="1"/>
    </row>
    <row r="35" spans="1:5" x14ac:dyDescent="0.25">
      <c r="B35" s="24" t="s">
        <v>162</v>
      </c>
      <c r="C35" s="1"/>
      <c r="D35" s="1">
        <f>'Design Calculator'!F25</f>
        <v>55</v>
      </c>
      <c r="E35" s="1"/>
    </row>
    <row r="36" spans="1:5" x14ac:dyDescent="0.25">
      <c r="B36" s="2"/>
      <c r="C36" s="1"/>
      <c r="D36" s="1"/>
      <c r="E36" s="1"/>
    </row>
    <row r="37" spans="1:5" x14ac:dyDescent="0.25">
      <c r="A37" s="18" t="s">
        <v>123</v>
      </c>
      <c r="B37" s="2"/>
      <c r="C37" s="1"/>
      <c r="D37" s="1"/>
      <c r="E37" s="1"/>
    </row>
    <row r="38" spans="1:5" x14ac:dyDescent="0.25">
      <c r="B38" s="24" t="s">
        <v>173</v>
      </c>
      <c r="C38" s="1">
        <v>35</v>
      </c>
      <c r="D38" s="1">
        <v>45</v>
      </c>
      <c r="E38" s="1">
        <v>55</v>
      </c>
    </row>
    <row r="39" spans="1:5" x14ac:dyDescent="0.25">
      <c r="B39" s="24" t="s">
        <v>174</v>
      </c>
      <c r="C39" s="1">
        <v>1.6</v>
      </c>
      <c r="D39" s="1">
        <v>1.8</v>
      </c>
      <c r="E39" s="1">
        <v>2</v>
      </c>
    </row>
    <row r="40" spans="1:5" x14ac:dyDescent="0.25">
      <c r="B40" s="24" t="s">
        <v>175</v>
      </c>
      <c r="C40" s="1">
        <v>70</v>
      </c>
      <c r="D40" s="1">
        <v>90</v>
      </c>
      <c r="E40" s="1">
        <v>110</v>
      </c>
    </row>
    <row r="41" spans="1:5" x14ac:dyDescent="0.25">
      <c r="B41" s="24" t="s">
        <v>176</v>
      </c>
      <c r="C41" s="1">
        <v>3.1</v>
      </c>
      <c r="D41" s="1">
        <v>3.6</v>
      </c>
      <c r="E41" s="1">
        <v>4</v>
      </c>
    </row>
    <row r="42" spans="1:5" x14ac:dyDescent="0.25">
      <c r="B42" s="2"/>
      <c r="C42" s="1"/>
      <c r="D42" s="1"/>
      <c r="E42" s="1"/>
    </row>
    <row r="43" spans="1:5" x14ac:dyDescent="0.25">
      <c r="A43" s="18" t="s">
        <v>180</v>
      </c>
      <c r="B43" s="2"/>
    </row>
    <row r="44" spans="1:5" x14ac:dyDescent="0.25">
      <c r="B44" s="24" t="s">
        <v>125</v>
      </c>
      <c r="C44">
        <v>1.54</v>
      </c>
      <c r="D44">
        <v>1.7</v>
      </c>
      <c r="E44">
        <v>1.85</v>
      </c>
    </row>
    <row r="45" spans="1:5" x14ac:dyDescent="0.25">
      <c r="B45" s="24" t="s">
        <v>181</v>
      </c>
      <c r="C45">
        <v>0.85</v>
      </c>
      <c r="D45">
        <v>1</v>
      </c>
      <c r="E45">
        <v>1.07</v>
      </c>
    </row>
    <row r="46" spans="1:5" x14ac:dyDescent="0.25">
      <c r="B46" s="24" t="s">
        <v>182</v>
      </c>
      <c r="D46">
        <v>0.3</v>
      </c>
    </row>
    <row r="47" spans="1:5" x14ac:dyDescent="0.25">
      <c r="B47" s="24" t="s">
        <v>183</v>
      </c>
      <c r="D47">
        <v>0.3</v>
      </c>
    </row>
    <row r="48" spans="1:5" x14ac:dyDescent="0.25">
      <c r="B48" s="24" t="s">
        <v>184</v>
      </c>
      <c r="C48">
        <v>3</v>
      </c>
      <c r="D48">
        <v>5.5</v>
      </c>
      <c r="E48">
        <v>8</v>
      </c>
    </row>
    <row r="49" spans="1:8" x14ac:dyDescent="0.25">
      <c r="B49" s="24" t="s">
        <v>185</v>
      </c>
      <c r="C49">
        <v>1.4</v>
      </c>
      <c r="D49">
        <v>1.9</v>
      </c>
      <c r="E49">
        <v>2.4</v>
      </c>
    </row>
    <row r="50" spans="1:8" x14ac:dyDescent="0.25">
      <c r="B50" s="24" t="s">
        <v>127</v>
      </c>
      <c r="C50">
        <v>60</v>
      </c>
      <c r="D50">
        <v>90</v>
      </c>
      <c r="E50">
        <v>120</v>
      </c>
    </row>
    <row r="51" spans="1:8" x14ac:dyDescent="0.25">
      <c r="B51" s="24" t="s">
        <v>186</v>
      </c>
      <c r="D51">
        <v>2.8</v>
      </c>
    </row>
    <row r="53" spans="1:8" x14ac:dyDescent="0.25">
      <c r="A53" s="18" t="s">
        <v>187</v>
      </c>
    </row>
    <row r="54" spans="1:8" x14ac:dyDescent="0.25">
      <c r="B54" s="24" t="s">
        <v>188</v>
      </c>
      <c r="D54">
        <v>25</v>
      </c>
      <c r="E54">
        <v>60</v>
      </c>
      <c r="F54" s="23" t="s">
        <v>132</v>
      </c>
      <c r="G54">
        <v>2</v>
      </c>
      <c r="H54" s="23" t="s">
        <v>189</v>
      </c>
    </row>
    <row r="55" spans="1:8" x14ac:dyDescent="0.25">
      <c r="A55" s="18" t="s">
        <v>190</v>
      </c>
    </row>
    <row r="56" spans="1:8" x14ac:dyDescent="0.25">
      <c r="B56" s="23" t="s">
        <v>191</v>
      </c>
      <c r="C56">
        <v>1.141</v>
      </c>
      <c r="D56">
        <v>1.167</v>
      </c>
      <c r="E56">
        <v>1.19</v>
      </c>
      <c r="F56" s="23" t="s">
        <v>68</v>
      </c>
    </row>
    <row r="57" spans="1:8" x14ac:dyDescent="0.25">
      <c r="B57" s="23" t="s">
        <v>192</v>
      </c>
      <c r="C57">
        <v>18</v>
      </c>
      <c r="D57">
        <v>24</v>
      </c>
      <c r="E57">
        <v>31</v>
      </c>
      <c r="F57" s="23" t="s">
        <v>122</v>
      </c>
    </row>
    <row r="59" spans="1:8" x14ac:dyDescent="0.25">
      <c r="A59" s="18" t="s">
        <v>394</v>
      </c>
    </row>
    <row r="60" spans="1:8" x14ac:dyDescent="0.25">
      <c r="A60" s="18"/>
      <c r="B60" s="23" t="s">
        <v>397</v>
      </c>
      <c r="D60">
        <v>0.6</v>
      </c>
      <c r="F60" s="23" t="s">
        <v>68</v>
      </c>
    </row>
    <row r="61" spans="1:8" x14ac:dyDescent="0.25">
      <c r="B61" s="23" t="s">
        <v>395</v>
      </c>
      <c r="D61">
        <v>0.55000000000000004</v>
      </c>
      <c r="F61" s="23" t="s">
        <v>68</v>
      </c>
    </row>
    <row r="62" spans="1:8" x14ac:dyDescent="0.25">
      <c r="B62" s="23" t="s">
        <v>398</v>
      </c>
      <c r="D62">
        <v>52</v>
      </c>
      <c r="F62" s="23" t="s">
        <v>399</v>
      </c>
    </row>
    <row r="63" spans="1:8" x14ac:dyDescent="0.25">
      <c r="B63" s="23" t="s">
        <v>396</v>
      </c>
      <c r="D63">
        <v>0.6</v>
      </c>
      <c r="F63" s="23" t="s">
        <v>68</v>
      </c>
    </row>
    <row r="64" spans="1:8" x14ac:dyDescent="0.25">
      <c r="B64" s="23" t="s">
        <v>400</v>
      </c>
      <c r="D64">
        <v>0.55000000000000004</v>
      </c>
      <c r="F64" s="23" t="s">
        <v>68</v>
      </c>
    </row>
    <row r="65" spans="2:6" x14ac:dyDescent="0.25">
      <c r="B65" s="23" t="s">
        <v>401</v>
      </c>
      <c r="D65">
        <v>53</v>
      </c>
      <c r="F65" s="23" t="s">
        <v>399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27"/>
  <sheetViews>
    <sheetView topLeftCell="A52" workbookViewId="0">
      <selection activeCell="F69" sqref="F69"/>
    </sheetView>
  </sheetViews>
  <sheetFormatPr defaultRowHeight="13.2" x14ac:dyDescent="0.25"/>
  <cols>
    <col min="6" max="6" width="12.44140625" bestFit="1" customWidth="1"/>
    <col min="8" max="8" width="14" customWidth="1"/>
    <col min="9" max="9" width="12.6640625" customWidth="1"/>
    <col min="10" max="10" width="11.6640625" customWidth="1"/>
  </cols>
  <sheetData>
    <row r="13" spans="1:6" x14ac:dyDescent="0.25">
      <c r="A13" s="18" t="s">
        <v>96</v>
      </c>
    </row>
    <row r="14" spans="1:6" x14ac:dyDescent="0.25">
      <c r="E14" s="2"/>
    </row>
    <row r="15" spans="1:6" x14ac:dyDescent="0.25">
      <c r="D15" t="s">
        <v>165</v>
      </c>
      <c r="E15">
        <f>IF('Design Calculator'!F41=0,'Device Parmaters'!C7,'Device Parmaters'!C8)</f>
        <v>27</v>
      </c>
      <c r="F15" s="58" t="s">
        <v>132</v>
      </c>
    </row>
    <row r="16" spans="1:6" x14ac:dyDescent="0.25">
      <c r="D16" t="s">
        <v>164</v>
      </c>
      <c r="E16">
        <f>IF('Design Calculator'!F41=0,'Device Parmaters'!D7,'Device Parmaters'!D8)</f>
        <v>30</v>
      </c>
      <c r="F16" s="58" t="s">
        <v>132</v>
      </c>
    </row>
    <row r="17" spans="1:12" x14ac:dyDescent="0.25">
      <c r="D17" t="s">
        <v>163</v>
      </c>
      <c r="E17">
        <f>IF('Design Calculator'!F41=0,'Device Parmaters'!E7,'Device Parmaters'!E8)</f>
        <v>33</v>
      </c>
      <c r="F17" s="58" t="s">
        <v>132</v>
      </c>
    </row>
    <row r="18" spans="1:12" x14ac:dyDescent="0.25">
      <c r="E18" s="2"/>
    </row>
    <row r="19" spans="1:12" x14ac:dyDescent="0.25">
      <c r="A19" s="18"/>
      <c r="E19" s="2"/>
    </row>
    <row r="20" spans="1:12" x14ac:dyDescent="0.25">
      <c r="E20" s="2" t="s">
        <v>0</v>
      </c>
      <c r="F20">
        <f>CLMIN_Threshold/('Design Calculator'!F17)</f>
        <v>2.7</v>
      </c>
    </row>
    <row r="21" spans="1:12" x14ac:dyDescent="0.25">
      <c r="E21" s="24" t="s">
        <v>166</v>
      </c>
      <c r="F21" s="23" t="e">
        <f>IF(Rs&gt;RsMAX,10,"NA")</f>
        <v>#REF!</v>
      </c>
    </row>
    <row r="22" spans="1:12" x14ac:dyDescent="0.25">
      <c r="E22" s="24" t="s">
        <v>167</v>
      </c>
      <c r="F22" t="e">
        <f>IF(Rs&gt;RsMAX,(((IOUTMAX*Rs)/CLMIN_Threshold)-1)*F21,"NA")</f>
        <v>#REF!</v>
      </c>
    </row>
    <row r="23" spans="1:12" x14ac:dyDescent="0.25">
      <c r="E23" s="24" t="s">
        <v>168</v>
      </c>
      <c r="F23">
        <f>Rs</f>
        <v>1</v>
      </c>
      <c r="H23" s="2" t="s">
        <v>2</v>
      </c>
      <c r="I23">
        <f>12*'Design Calculator'!F30/(Rs*'Design Calculator'!F32)</f>
        <v>15</v>
      </c>
    </row>
    <row r="24" spans="1:12" x14ac:dyDescent="0.25">
      <c r="E24" s="2" t="s">
        <v>1</v>
      </c>
      <c r="F24" s="4">
        <f>CLMIN_Threshold/RsEFF</f>
        <v>27</v>
      </c>
      <c r="G24" s="4"/>
    </row>
    <row r="25" spans="1:12" x14ac:dyDescent="0.25">
      <c r="E25" s="2" t="s">
        <v>2</v>
      </c>
      <c r="F25">
        <f>CLNOM_Threshold/RsEFF</f>
        <v>30</v>
      </c>
      <c r="H25" s="24" t="s">
        <v>411</v>
      </c>
      <c r="I25">
        <f>(VINNOM*'Design Calculator'!F30)/(Rs*RLIM)</f>
        <v>15</v>
      </c>
    </row>
    <row r="26" spans="1:12" x14ac:dyDescent="0.25">
      <c r="E26" s="2" t="s">
        <v>3</v>
      </c>
      <c r="F26">
        <f>CLMAX_Threshold/RsEFF</f>
        <v>33</v>
      </c>
    </row>
    <row r="27" spans="1:12" x14ac:dyDescent="0.25">
      <c r="E27" s="2" t="s">
        <v>4</v>
      </c>
      <c r="F27">
        <f>F26^2*'Design Calculator'!F29</f>
        <v>1089</v>
      </c>
    </row>
    <row r="28" spans="1:12" x14ac:dyDescent="0.25">
      <c r="E28" s="24" t="s">
        <v>382</v>
      </c>
      <c r="F28" s="23">
        <f>(12*'Design Calculator'!F30)/(Rs*IOUTMAX)</f>
        <v>40</v>
      </c>
    </row>
    <row r="29" spans="1:12" x14ac:dyDescent="0.25">
      <c r="E29" s="24" t="s">
        <v>383</v>
      </c>
      <c r="F29" s="23">
        <f>'Design Calculator'!F20*'Design Calculator'!F30/(0.9*Rs*IOUTMAX)</f>
        <v>10</v>
      </c>
      <c r="H29" s="24" t="s">
        <v>413</v>
      </c>
      <c r="I29" s="4">
        <f>0.9*Rsense*IOUTMAX*'Design Calculator'!F38/'Design Calculator'!F30</f>
        <v>2.7</v>
      </c>
      <c r="K29" s="24" t="s">
        <v>428</v>
      </c>
      <c r="L29">
        <f>5*'Design Calculator'!F30/(0.9*Rs*IOUTMAX)</f>
        <v>18.518518518518519</v>
      </c>
    </row>
    <row r="30" spans="1:12" x14ac:dyDescent="0.25">
      <c r="E30" s="24" t="s">
        <v>384</v>
      </c>
      <c r="F30" s="23">
        <f>'Design Calculator'!F21*77.5/1.2</f>
        <v>64.583333333333343</v>
      </c>
      <c r="H30" s="24" t="s">
        <v>444</v>
      </c>
      <c r="I30" s="4">
        <f>'Design Calculator'!F43</f>
        <v>68</v>
      </c>
      <c r="K30" s="24" t="s">
        <v>426</v>
      </c>
      <c r="L30" s="4">
        <f>'Design Calculator'!F44</f>
        <v>68</v>
      </c>
    </row>
    <row r="31" spans="1:12" x14ac:dyDescent="0.25">
      <c r="E31" s="24" t="s">
        <v>390</v>
      </c>
      <c r="F31" s="23">
        <f>22.7*L30</f>
        <v>1543.6</v>
      </c>
      <c r="H31" s="24" t="s">
        <v>427</v>
      </c>
      <c r="I31">
        <f>1.2*L30/77.5</f>
        <v>1.0529032258064515</v>
      </c>
    </row>
    <row r="32" spans="1:12" x14ac:dyDescent="0.25">
      <c r="E32" s="24" t="s">
        <v>434</v>
      </c>
      <c r="F32" s="23">
        <f>(('Design Calculator'!F24*Rs)-20)/10</f>
        <v>1</v>
      </c>
      <c r="H32" s="24" t="s">
        <v>435</v>
      </c>
      <c r="I32">
        <f>('Design Calculator'!F41*10+20)/Rs</f>
        <v>30</v>
      </c>
    </row>
    <row r="35" spans="1:8" x14ac:dyDescent="0.25">
      <c r="E35" s="2"/>
    </row>
    <row r="36" spans="1:8" x14ac:dyDescent="0.25">
      <c r="A36" s="18" t="s">
        <v>115</v>
      </c>
    </row>
    <row r="37" spans="1:8" x14ac:dyDescent="0.25">
      <c r="A37" s="23"/>
      <c r="F37" s="23" t="s">
        <v>116</v>
      </c>
      <c r="H37" s="23" t="s">
        <v>117</v>
      </c>
    </row>
    <row r="38" spans="1:8" x14ac:dyDescent="0.25">
      <c r="A38" s="23"/>
      <c r="E38" s="36" t="s">
        <v>92</v>
      </c>
      <c r="F38" s="37">
        <f>VINMAX*'Design Calculator'!F53</f>
        <v>2560</v>
      </c>
      <c r="G38" s="23" t="s">
        <v>69</v>
      </c>
      <c r="H38">
        <f>F38*(TJMAX-TJ)/(TJMAX-25)</f>
        <v>1636.7616</v>
      </c>
    </row>
    <row r="39" spans="1:8" x14ac:dyDescent="0.25">
      <c r="A39" s="23"/>
      <c r="E39" s="36" t="s">
        <v>93</v>
      </c>
      <c r="F39" s="37">
        <f>VINMAX*'Design Calculator'!F54</f>
        <v>336</v>
      </c>
      <c r="G39" s="23" t="s">
        <v>69</v>
      </c>
      <c r="H39">
        <f>F39*(TJMAX-TJ)/(TJMAX-25)</f>
        <v>214.82496</v>
      </c>
    </row>
    <row r="40" spans="1:8" x14ac:dyDescent="0.25">
      <c r="A40" s="23"/>
      <c r="E40" s="36" t="s">
        <v>94</v>
      </c>
      <c r="F40" s="37">
        <f>VINMAX*'Design Calculator'!F55</f>
        <v>160</v>
      </c>
      <c r="G40" s="23" t="s">
        <v>69</v>
      </c>
      <c r="H40">
        <f>F40*(TJMAX-TJ)/(TJMAX-25)</f>
        <v>102.2976</v>
      </c>
    </row>
    <row r="41" spans="1:8" x14ac:dyDescent="0.25">
      <c r="A41" s="23"/>
      <c r="E41" s="36" t="s">
        <v>95</v>
      </c>
      <c r="F41" s="37">
        <f>VINMAX*'Design Calculator'!F56</f>
        <v>80</v>
      </c>
      <c r="G41" s="45" t="s">
        <v>69</v>
      </c>
      <c r="H41">
        <f>F41*(TJMAX-TJ)/(TJMAX-25)</f>
        <v>51.148800000000001</v>
      </c>
    </row>
    <row r="42" spans="1:8" x14ac:dyDescent="0.25">
      <c r="A42" s="23"/>
      <c r="E42" s="47"/>
      <c r="F42" s="46"/>
      <c r="G42" s="45"/>
    </row>
    <row r="43" spans="1:8" x14ac:dyDescent="0.25">
      <c r="A43" s="23"/>
      <c r="E43" s="47" t="s">
        <v>133</v>
      </c>
      <c r="F43" s="46">
        <f>VINMAX*'Device Parmaters'!E13/RsEFF/0.001</f>
        <v>64</v>
      </c>
      <c r="G43" s="45" t="s">
        <v>69</v>
      </c>
    </row>
    <row r="44" spans="1:8" x14ac:dyDescent="0.25">
      <c r="A44" s="23"/>
      <c r="E44" s="47" t="s">
        <v>221</v>
      </c>
      <c r="F44" s="46">
        <f>'Design Calculator'!F62</f>
        <v>0</v>
      </c>
      <c r="G44" s="45" t="s">
        <v>69</v>
      </c>
    </row>
    <row r="45" spans="1:8" x14ac:dyDescent="0.25">
      <c r="A45" s="23"/>
      <c r="E45" s="47" t="s">
        <v>212</v>
      </c>
      <c r="F45">
        <f>'Device Parmaters'!E14*(F44*RsEFF*0.001-VINMAX*'Device Parmaters'!$E$12)/1000</f>
        <v>-6.5183999999999997</v>
      </c>
      <c r="G45" s="45" t="s">
        <v>222</v>
      </c>
    </row>
    <row r="46" spans="1:8" x14ac:dyDescent="0.25">
      <c r="A46" s="23"/>
      <c r="E46" s="47" t="s">
        <v>223</v>
      </c>
      <c r="F46" s="46">
        <f>RPWR</f>
        <v>0</v>
      </c>
      <c r="G46" s="45" t="s">
        <v>222</v>
      </c>
    </row>
    <row r="47" spans="1:8" x14ac:dyDescent="0.25">
      <c r="A47" s="23"/>
      <c r="E47" s="47" t="s">
        <v>224</v>
      </c>
      <c r="F47" s="190">
        <f>1/RsEFF*1000*(Equations!F46*1000/'Device Parmaters'!E14+VINMAX*'Device Parmaters'!E12)</f>
        <v>33.6</v>
      </c>
      <c r="G47" s="45" t="s">
        <v>69</v>
      </c>
    </row>
    <row r="48" spans="1:8" x14ac:dyDescent="0.25">
      <c r="A48" s="23"/>
      <c r="E48" s="47"/>
      <c r="G48" s="45"/>
    </row>
    <row r="49" spans="1:12" x14ac:dyDescent="0.25">
      <c r="A49" s="23"/>
      <c r="E49" s="47"/>
      <c r="G49" s="45"/>
    </row>
    <row r="50" spans="1:12" x14ac:dyDescent="0.25">
      <c r="A50" s="23"/>
      <c r="E50" s="47"/>
      <c r="G50" s="45"/>
    </row>
    <row r="51" spans="1:12" x14ac:dyDescent="0.25">
      <c r="E51" s="2" t="s">
        <v>5</v>
      </c>
      <c r="F51" s="4">
        <f>F52*(1-0.24)</f>
        <v>25.536000000000001</v>
      </c>
      <c r="G51" t="s">
        <v>17</v>
      </c>
    </row>
    <row r="52" spans="1:12" x14ac:dyDescent="0.25">
      <c r="E52" s="2" t="s">
        <v>6</v>
      </c>
      <c r="F52" s="4">
        <f>F47</f>
        <v>33.6</v>
      </c>
    </row>
    <row r="53" spans="1:12" x14ac:dyDescent="0.25">
      <c r="E53" s="2" t="s">
        <v>7</v>
      </c>
      <c r="F53" s="4">
        <f>F52*(1+0.24)</f>
        <v>41.664000000000001</v>
      </c>
    </row>
    <row r="54" spans="1:12" x14ac:dyDescent="0.25">
      <c r="E54" s="2"/>
      <c r="F54" s="1"/>
      <c r="H54" s="2"/>
      <c r="I54" s="1"/>
      <c r="K54" s="2"/>
      <c r="L54" s="1"/>
    </row>
    <row r="55" spans="1:12" x14ac:dyDescent="0.25">
      <c r="E55" s="2"/>
      <c r="F55" s="1"/>
      <c r="H55" s="2"/>
      <c r="I55" s="1"/>
      <c r="K55" s="2"/>
      <c r="L55" s="1"/>
    </row>
    <row r="56" spans="1:12" x14ac:dyDescent="0.25">
      <c r="A56" s="18" t="s">
        <v>114</v>
      </c>
    </row>
    <row r="57" spans="1:12" x14ac:dyDescent="0.25">
      <c r="A57" s="18"/>
      <c r="D57" s="369" t="s">
        <v>256</v>
      </c>
      <c r="E57" s="370"/>
      <c r="F57" s="370"/>
      <c r="G57" s="370"/>
    </row>
    <row r="58" spans="1:12" x14ac:dyDescent="0.25">
      <c r="A58" s="18"/>
      <c r="E58" s="24" t="s">
        <v>240</v>
      </c>
      <c r="F58" s="4">
        <f>Start_up!M2</f>
        <v>6.3999999999999897</v>
      </c>
      <c r="G58" s="23" t="s">
        <v>8</v>
      </c>
    </row>
    <row r="59" spans="1:12" x14ac:dyDescent="0.25">
      <c r="A59" s="18"/>
      <c r="E59" s="24" t="s">
        <v>241</v>
      </c>
      <c r="F59" s="4">
        <f>'Device Parmaters'!D32</f>
        <v>0.75</v>
      </c>
    </row>
    <row r="60" spans="1:12" x14ac:dyDescent="0.25">
      <c r="A60" s="18"/>
      <c r="E60" s="24" t="s">
        <v>242</v>
      </c>
      <c r="F60">
        <f>F58*(1+F59)</f>
        <v>11.199999999999982</v>
      </c>
      <c r="G60" s="23" t="s">
        <v>8</v>
      </c>
    </row>
    <row r="61" spans="1:12" x14ac:dyDescent="0.25">
      <c r="A61" s="18"/>
      <c r="E61" s="24" t="s">
        <v>243</v>
      </c>
      <c r="F61">
        <f>'Device Parmaters'!D30/'Device Parmaters'!D27*F60</f>
        <v>592.94117647058727</v>
      </c>
      <c r="G61" s="23" t="s">
        <v>85</v>
      </c>
    </row>
    <row r="62" spans="1:12" x14ac:dyDescent="0.25">
      <c r="A62" s="18"/>
      <c r="E62" s="24" t="s">
        <v>244</v>
      </c>
      <c r="F62" s="4" t="e">
        <f>'Design Calculator'!#REF!</f>
        <v>#REF!</v>
      </c>
      <c r="G62" s="23" t="s">
        <v>85</v>
      </c>
    </row>
    <row r="63" spans="1:12" x14ac:dyDescent="0.25">
      <c r="A63" s="18"/>
      <c r="E63" s="24" t="s">
        <v>245</v>
      </c>
      <c r="F63" t="e">
        <f>'Device Parmaters'!D27/'Device Parmaters'!D30*F62</f>
        <v>#REF!</v>
      </c>
      <c r="G63" s="23" t="s">
        <v>8</v>
      </c>
    </row>
    <row r="64" spans="1:12" x14ac:dyDescent="0.25">
      <c r="A64" s="18"/>
      <c r="E64" s="24" t="s">
        <v>252</v>
      </c>
      <c r="F64" t="e">
        <f>SOA!C26/F52</f>
        <v>#REF!</v>
      </c>
      <c r="G64" s="23"/>
    </row>
    <row r="65" spans="1:8" x14ac:dyDescent="0.25">
      <c r="A65" s="18"/>
      <c r="E65" s="24"/>
      <c r="G65" s="23"/>
    </row>
    <row r="66" spans="1:8" x14ac:dyDescent="0.25">
      <c r="A66" s="18"/>
      <c r="E66" s="24" t="s">
        <v>391</v>
      </c>
      <c r="F66">
        <f>VINNOM*COUTMAX/Inrush_Current</f>
        <v>3.96</v>
      </c>
      <c r="G66" s="23" t="s">
        <v>8</v>
      </c>
    </row>
    <row r="67" spans="1:8" x14ac:dyDescent="0.25">
      <c r="A67" s="18"/>
      <c r="E67" s="24"/>
      <c r="G67" s="23"/>
    </row>
    <row r="68" spans="1:8" x14ac:dyDescent="0.25">
      <c r="A68" s="18"/>
      <c r="D68" s="369" t="s">
        <v>260</v>
      </c>
      <c r="E68" s="370"/>
      <c r="F68" s="370"/>
      <c r="G68" s="370"/>
    </row>
    <row r="69" spans="1:8" x14ac:dyDescent="0.25">
      <c r="A69" s="18"/>
      <c r="D69" s="195"/>
      <c r="E69" s="24" t="s">
        <v>378</v>
      </c>
      <c r="F69" s="98">
        <f>Inrush_Current</f>
        <v>1000</v>
      </c>
      <c r="G69" s="98" t="s">
        <v>379</v>
      </c>
    </row>
    <row r="70" spans="1:8" x14ac:dyDescent="0.25">
      <c r="A70" s="18"/>
      <c r="C70" s="23"/>
      <c r="D70" s="104"/>
      <c r="E70" s="24" t="s">
        <v>257</v>
      </c>
      <c r="F70" s="98" t="e">
        <f>'Design Calculator'!#REF!</f>
        <v>#REF!</v>
      </c>
      <c r="G70" s="86" t="s">
        <v>258</v>
      </c>
    </row>
    <row r="71" spans="1:8" x14ac:dyDescent="0.25">
      <c r="A71" s="18"/>
      <c r="C71" s="23"/>
      <c r="D71" s="104"/>
      <c r="E71" s="24" t="s">
        <v>281</v>
      </c>
      <c r="F71" s="99">
        <f>'Device Parmaters'!D35*COUTMAX/F69</f>
        <v>18.149999999999999</v>
      </c>
      <c r="G71" s="23" t="s">
        <v>85</v>
      </c>
    </row>
    <row r="72" spans="1:8" x14ac:dyDescent="0.25">
      <c r="A72" s="18"/>
      <c r="C72" s="23"/>
      <c r="D72" s="104"/>
      <c r="E72" s="24" t="s">
        <v>282</v>
      </c>
      <c r="F72" s="98">
        <f>'Design Calculator'!F72</f>
        <v>22</v>
      </c>
      <c r="G72" s="23" t="s">
        <v>85</v>
      </c>
    </row>
    <row r="73" spans="1:8" x14ac:dyDescent="0.25">
      <c r="A73" s="18"/>
      <c r="C73" s="23"/>
      <c r="D73" s="104"/>
      <c r="E73" s="24" t="s">
        <v>283</v>
      </c>
      <c r="F73">
        <f>'Device Parmaters'!D35/Equations!F72</f>
        <v>2.5</v>
      </c>
      <c r="G73" s="23" t="s">
        <v>258</v>
      </c>
      <c r="H73" s="99" t="e">
        <f>ss_rate*F71/F72</f>
        <v>#REF!</v>
      </c>
    </row>
    <row r="74" spans="1:8" x14ac:dyDescent="0.25">
      <c r="A74" s="18"/>
      <c r="C74" s="23"/>
      <c r="D74" s="104"/>
      <c r="E74" s="24" t="s">
        <v>259</v>
      </c>
      <c r="F74" s="98">
        <f>COUTMAX*F73/1000</f>
        <v>0.82499999999999996</v>
      </c>
      <c r="G74" s="86" t="s">
        <v>27</v>
      </c>
    </row>
    <row r="75" spans="1:8" x14ac:dyDescent="0.25">
      <c r="A75" s="18"/>
      <c r="C75" s="23"/>
      <c r="D75" s="104"/>
      <c r="E75" s="24" t="s">
        <v>274</v>
      </c>
      <c r="F75" s="98">
        <f>VINMAX/F73</f>
        <v>6.4</v>
      </c>
      <c r="G75" s="86" t="s">
        <v>8</v>
      </c>
    </row>
    <row r="76" spans="1:8" x14ac:dyDescent="0.25">
      <c r="A76" s="18"/>
      <c r="C76" s="23"/>
      <c r="D76" s="104"/>
      <c r="E76" s="24" t="s">
        <v>275</v>
      </c>
      <c r="F76" s="98">
        <f>Start_up!N5</f>
        <v>0.10466619329388567</v>
      </c>
      <c r="G76" s="98" t="s">
        <v>264</v>
      </c>
    </row>
    <row r="77" spans="1:8" x14ac:dyDescent="0.25">
      <c r="A77" s="18"/>
      <c r="C77" s="23"/>
      <c r="D77" s="104"/>
      <c r="E77" s="24" t="s">
        <v>276</v>
      </c>
      <c r="F77" s="98">
        <f>Start_up!Q4</f>
        <v>28.443786982248518</v>
      </c>
      <c r="G77" s="98" t="s">
        <v>69</v>
      </c>
    </row>
    <row r="78" spans="1:8" x14ac:dyDescent="0.25">
      <c r="A78" s="18"/>
      <c r="D78" s="103"/>
      <c r="E78" s="24" t="s">
        <v>277</v>
      </c>
      <c r="F78" s="98">
        <f>F76/F77*1000</f>
        <v>3.6797559115179279</v>
      </c>
      <c r="G78" s="98" t="s">
        <v>8</v>
      </c>
    </row>
    <row r="79" spans="1:8" x14ac:dyDescent="0.25">
      <c r="A79" s="18"/>
      <c r="E79" s="24" t="s">
        <v>278</v>
      </c>
      <c r="F79" s="23">
        <f>SOA!H28</f>
        <v>167.8166575134197</v>
      </c>
      <c r="G79" s="98" t="s">
        <v>69</v>
      </c>
    </row>
    <row r="80" spans="1:8" x14ac:dyDescent="0.25">
      <c r="A80" s="18"/>
      <c r="E80" s="24" t="s">
        <v>279</v>
      </c>
      <c r="F80" s="23">
        <f>F79/F77</f>
        <v>5.8999407363777685</v>
      </c>
      <c r="G80" s="23"/>
    </row>
    <row r="81" spans="1:8" x14ac:dyDescent="0.25">
      <c r="A81" s="18"/>
      <c r="E81" s="24"/>
      <c r="F81" s="23"/>
      <c r="G81" s="23"/>
    </row>
    <row r="82" spans="1:8" x14ac:dyDescent="0.25">
      <c r="A82" s="18"/>
      <c r="E82" s="24"/>
      <c r="F82" s="23">
        <v>1</v>
      </c>
      <c r="G82" s="98" t="s">
        <v>8</v>
      </c>
    </row>
    <row r="83" spans="1:8" x14ac:dyDescent="0.25">
      <c r="A83" s="18"/>
      <c r="D83" s="371" t="s">
        <v>288</v>
      </c>
      <c r="E83" s="371"/>
      <c r="F83" s="371"/>
      <c r="G83" s="371"/>
      <c r="H83" s="371"/>
    </row>
    <row r="84" spans="1:8" x14ac:dyDescent="0.25">
      <c r="A84" s="18"/>
      <c r="E84" s="24" t="s">
        <v>284</v>
      </c>
      <c r="F84" s="116">
        <f>'Design Calculator'!F76</f>
        <v>6.4</v>
      </c>
      <c r="G84" s="23"/>
    </row>
    <row r="85" spans="1:8" x14ac:dyDescent="0.25">
      <c r="A85" s="18"/>
      <c r="E85" s="24" t="s">
        <v>285</v>
      </c>
      <c r="F85" s="23">
        <f>'Device Parmaters'!D30/'Device Parmaters'!D27*F84</f>
        <v>338.82352941176475</v>
      </c>
      <c r="G85" s="23" t="s">
        <v>85</v>
      </c>
    </row>
    <row r="86" spans="1:8" x14ac:dyDescent="0.25">
      <c r="A86" s="18"/>
      <c r="E86" s="115" t="s">
        <v>286</v>
      </c>
      <c r="F86" s="116" t="e">
        <f>'Design Calculator'!#REF!</f>
        <v>#REF!</v>
      </c>
      <c r="G86" s="23" t="s">
        <v>85</v>
      </c>
    </row>
    <row r="87" spans="1:8" x14ac:dyDescent="0.25">
      <c r="A87" s="18"/>
      <c r="E87" s="105" t="s">
        <v>290</v>
      </c>
      <c r="F87" s="23" t="e">
        <f>'Device Parmaters'!D27/'Device Parmaters'!D30*F86</f>
        <v>#REF!</v>
      </c>
      <c r="G87" s="23" t="s">
        <v>8</v>
      </c>
    </row>
    <row r="88" spans="1:8" x14ac:dyDescent="0.25">
      <c r="A88" s="18"/>
      <c r="E88" s="115" t="s">
        <v>289</v>
      </c>
      <c r="F88" s="23" t="e">
        <f>SOA!C26</f>
        <v>#REF!</v>
      </c>
      <c r="G88" s="23" t="s">
        <v>69</v>
      </c>
    </row>
    <row r="89" spans="1:8" x14ac:dyDescent="0.25">
      <c r="A89" s="18"/>
      <c r="E89" s="105" t="s">
        <v>279</v>
      </c>
      <c r="F89" s="23" t="e">
        <f>F88/F47</f>
        <v>#REF!</v>
      </c>
      <c r="G89" s="23"/>
    </row>
    <row r="90" spans="1:8" x14ac:dyDescent="0.25">
      <c r="A90" s="18"/>
      <c r="E90" s="24"/>
      <c r="F90" s="23"/>
      <c r="G90" s="23"/>
    </row>
    <row r="91" spans="1:8" x14ac:dyDescent="0.25">
      <c r="A91" s="18"/>
      <c r="E91" s="24"/>
      <c r="F91" s="23"/>
      <c r="G91" s="23"/>
    </row>
    <row r="92" spans="1:8" x14ac:dyDescent="0.25">
      <c r="A92" s="18"/>
      <c r="E92" s="24"/>
      <c r="F92" s="23"/>
      <c r="G92" s="23"/>
    </row>
    <row r="93" spans="1:8" x14ac:dyDescent="0.25">
      <c r="A93" s="18"/>
      <c r="E93" s="24"/>
      <c r="F93" s="23"/>
      <c r="G93" s="23"/>
    </row>
    <row r="94" spans="1:8" x14ac:dyDescent="0.25">
      <c r="A94" s="18"/>
      <c r="E94" s="24"/>
      <c r="F94" s="23"/>
      <c r="G94" s="23"/>
    </row>
    <row r="95" spans="1:8" x14ac:dyDescent="0.25">
      <c r="A95" s="18"/>
      <c r="E95" s="24"/>
      <c r="F95" s="23"/>
      <c r="G95" s="23"/>
    </row>
    <row r="96" spans="1:8" x14ac:dyDescent="0.25">
      <c r="A96" s="18"/>
      <c r="E96" s="24"/>
      <c r="F96" s="23"/>
      <c r="G96" s="23"/>
    </row>
    <row r="97" spans="1:13" x14ac:dyDescent="0.25">
      <c r="A97" s="18"/>
      <c r="E97" s="24"/>
      <c r="F97" s="23"/>
      <c r="G97" s="23"/>
    </row>
    <row r="98" spans="1:13" x14ac:dyDescent="0.25">
      <c r="A98" s="18"/>
    </row>
    <row r="99" spans="1:13" x14ac:dyDescent="0.25">
      <c r="A99" s="23"/>
      <c r="E99" s="24"/>
    </row>
    <row r="100" spans="1:13" x14ac:dyDescent="0.25">
      <c r="A100" s="23"/>
      <c r="E100" s="24"/>
    </row>
    <row r="101" spans="1:13" x14ac:dyDescent="0.25">
      <c r="D101" s="23"/>
      <c r="E101" s="24"/>
    </row>
    <row r="102" spans="1:13" x14ac:dyDescent="0.25">
      <c r="D102" s="23"/>
      <c r="E102" s="24"/>
    </row>
    <row r="103" spans="1:13" x14ac:dyDescent="0.25">
      <c r="D103" s="23"/>
      <c r="E103" s="24"/>
    </row>
    <row r="104" spans="1:13" x14ac:dyDescent="0.25">
      <c r="E104" s="24"/>
      <c r="J104" s="6"/>
      <c r="M104" s="6"/>
    </row>
    <row r="105" spans="1:13" x14ac:dyDescent="0.25">
      <c r="E105" s="24"/>
      <c r="J105" s="6"/>
      <c r="M105" s="6"/>
    </row>
    <row r="106" spans="1:13" x14ac:dyDescent="0.25">
      <c r="E106" s="2"/>
      <c r="G106" t="s">
        <v>18</v>
      </c>
      <c r="J106" s="7"/>
      <c r="M106" s="7"/>
    </row>
    <row r="107" spans="1:13" x14ac:dyDescent="0.25">
      <c r="E107" s="24"/>
      <c r="J107" s="7"/>
      <c r="M107" s="7"/>
    </row>
    <row r="108" spans="1:13" x14ac:dyDescent="0.25">
      <c r="E108" s="2"/>
    </row>
    <row r="109" spans="1:13" x14ac:dyDescent="0.25">
      <c r="E109" s="2"/>
      <c r="I109" t="s">
        <v>29</v>
      </c>
      <c r="L109" t="s">
        <v>34</v>
      </c>
    </row>
    <row r="110" spans="1:13" x14ac:dyDescent="0.25">
      <c r="E110" s="24"/>
      <c r="G110" s="23" t="s">
        <v>27</v>
      </c>
    </row>
    <row r="111" spans="1:13" x14ac:dyDescent="0.25">
      <c r="E111" s="24"/>
      <c r="G111" s="23" t="s">
        <v>161</v>
      </c>
    </row>
    <row r="112" spans="1:13" x14ac:dyDescent="0.25">
      <c r="E112" s="24"/>
      <c r="G112" s="23" t="s">
        <v>85</v>
      </c>
    </row>
    <row r="113" spans="5:10" x14ac:dyDescent="0.25">
      <c r="E113" s="24"/>
      <c r="G113" s="23"/>
    </row>
    <row r="114" spans="5:10" x14ac:dyDescent="0.25">
      <c r="E114" s="24"/>
      <c r="G114" s="23"/>
    </row>
    <row r="115" spans="5:10" x14ac:dyDescent="0.25">
      <c r="E115" s="24" t="s">
        <v>177</v>
      </c>
      <c r="F115" s="4" t="e">
        <f>IF('Design Calculator'!F69="YES", Equations!F86, Equations!F62)*'Device Parmaters'!C44*1000/'Device Parmaters'!E48*0.001</f>
        <v>#REF!</v>
      </c>
      <c r="G115" s="23" t="s">
        <v>8</v>
      </c>
    </row>
    <row r="116" spans="5:10" x14ac:dyDescent="0.25">
      <c r="E116" s="24" t="s">
        <v>11</v>
      </c>
      <c r="F116" s="4" t="e">
        <f>IF('Design Calculator'!F69="YES", Equations!F86, Equations!F62)*0.001*'Device Parmaters'!D44*1000/'Device Parmaters'!D48</f>
        <v>#REF!</v>
      </c>
      <c r="G116" s="23" t="s">
        <v>8</v>
      </c>
    </row>
    <row r="117" spans="5:10" x14ac:dyDescent="0.25">
      <c r="E117" s="24" t="s">
        <v>178</v>
      </c>
      <c r="F117" s="4" t="e">
        <f>IF('Design Calculator'!F69="YES", Equations!F86, Equations!F62)*0.001*'Device Parmaters'!E44*1000/'Device Parmaters'!C48</f>
        <v>#REF!</v>
      </c>
      <c r="G117" s="23" t="s">
        <v>8</v>
      </c>
    </row>
    <row r="118" spans="5:10" x14ac:dyDescent="0.25">
      <c r="E118" s="24" t="s">
        <v>179</v>
      </c>
      <c r="F118" t="e">
        <f>IF('Design Calculator'!F69="YES", Equations!F86, Equations!F62)*(H118+I118+J118)</f>
        <v>#REF!</v>
      </c>
      <c r="G118" s="23" t="s">
        <v>8</v>
      </c>
      <c r="H118">
        <f>(('Device Parmaters'!C44-'Device Parmaters'!E45)/'Device Parmaters'!E50)*7</f>
        <v>2.7416666666666666E-2</v>
      </c>
      <c r="I118">
        <f>(('Device Parmaters'!C44-'Device Parmaters'!C45)/'Device Parmaters'!D51)*8</f>
        <v>1.9714285714285718</v>
      </c>
      <c r="J118">
        <f>(('Device Parmaters'!C45-'Device Parmaters'!D46)/'Device Parmaters'!D51)</f>
        <v>0.19642857142857145</v>
      </c>
    </row>
    <row r="119" spans="5:10" x14ac:dyDescent="0.25">
      <c r="E119" s="24" t="s">
        <v>12</v>
      </c>
      <c r="F119" t="e">
        <f>IF('Design Calculator'!F69="YES", Equations!F86, Equations!F62)*(H119+I119+J119)</f>
        <v>#REF!</v>
      </c>
      <c r="G119" s="23" t="s">
        <v>8</v>
      </c>
      <c r="H119">
        <f>(('Device Parmaters'!D44-'Device Parmaters'!D45)/'Device Parmaters'!D50)*7</f>
        <v>5.4444444444444441E-2</v>
      </c>
      <c r="I119">
        <f>(('Device Parmaters'!D44-'Device Parmaters'!D45)/'Device Parmaters'!D51)*8</f>
        <v>2</v>
      </c>
      <c r="J119">
        <f>(('Device Parmaters'!D45-'Device Parmaters'!D46)/'Device Parmaters'!D51)</f>
        <v>0.25</v>
      </c>
    </row>
    <row r="120" spans="5:10" x14ac:dyDescent="0.25">
      <c r="E120" s="24" t="s">
        <v>196</v>
      </c>
      <c r="F120" t="e">
        <f>IF('Design Calculator'!F69="YES", Equations!F86, Equations!F62)*(H120+I120+J120)</f>
        <v>#REF!</v>
      </c>
      <c r="G120" s="23" t="s">
        <v>8</v>
      </c>
      <c r="H120">
        <f>(('Device Parmaters'!E44-'Device Parmaters'!C45)/'Device Parmaters'!C50)*7</f>
        <v>0.11666666666666667</v>
      </c>
      <c r="I120">
        <f>(('Device Parmaters'!E44-'Device Parmaters'!E45)/'Device Parmaters'!D51)*8</f>
        <v>2.2285714285714286</v>
      </c>
      <c r="J120">
        <f>(('Device Parmaters'!E45-'Device Parmaters'!D46)/'Device Parmaters'!D51)</f>
        <v>0.27500000000000002</v>
      </c>
    </row>
    <row r="121" spans="5:10" x14ac:dyDescent="0.25">
      <c r="E121" s="24" t="s">
        <v>195</v>
      </c>
      <c r="F121" t="e">
        <f>(1+'Design Calculator'!#REF!/'Design Calculator'!#REF!)*'Device Parmaters'!C56</f>
        <v>#REF!</v>
      </c>
      <c r="G121" s="23"/>
    </row>
    <row r="122" spans="5:10" x14ac:dyDescent="0.25">
      <c r="E122" s="24" t="s">
        <v>194</v>
      </c>
      <c r="F122" t="e">
        <f>(1+'Design Calculator'!#REF!/'Design Calculator'!#REF!)*'Device Parmaters'!D56</f>
        <v>#REF!</v>
      </c>
      <c r="G122" s="23"/>
    </row>
    <row r="123" spans="5:10" x14ac:dyDescent="0.25">
      <c r="E123" s="24" t="s">
        <v>193</v>
      </c>
      <c r="F123" t="e">
        <f>(1+'Design Calculator'!#REF!/'Design Calculator'!#REF!)*'Device Parmaters'!E56</f>
        <v>#REF!</v>
      </c>
    </row>
    <row r="124" spans="5:10" x14ac:dyDescent="0.25">
      <c r="E124" s="24" t="s">
        <v>197</v>
      </c>
      <c r="F124" t="e">
        <f>('Design Calculator'!#REF!*'Device Parmaters'!C57)</f>
        <v>#REF!</v>
      </c>
    </row>
    <row r="125" spans="5:10" x14ac:dyDescent="0.25">
      <c r="E125" s="24" t="s">
        <v>198</v>
      </c>
      <c r="F125" t="e">
        <f>('Design Calculator'!#REF!*'Device Parmaters'!$D$57)</f>
        <v>#REF!</v>
      </c>
    </row>
    <row r="126" spans="5:10" x14ac:dyDescent="0.25">
      <c r="E126" s="24" t="s">
        <v>199</v>
      </c>
      <c r="F126" t="e">
        <f>('Design Calculator'!#REF!*'Device Parmaters'!$E$57)</f>
        <v>#REF!</v>
      </c>
    </row>
    <row r="127" spans="5:10" x14ac:dyDescent="0.25">
      <c r="E127" s="24"/>
    </row>
    <row r="128" spans="5:10" x14ac:dyDescent="0.25">
      <c r="E128" s="24"/>
    </row>
    <row r="129" spans="2:9" x14ac:dyDescent="0.25">
      <c r="D129" s="18"/>
    </row>
    <row r="130" spans="2:9" x14ac:dyDescent="0.25">
      <c r="D130" s="18"/>
    </row>
    <row r="131" spans="2:9" x14ac:dyDescent="0.25">
      <c r="D131" s="18"/>
    </row>
    <row r="134" spans="2:9" x14ac:dyDescent="0.25">
      <c r="E134" s="2" t="s">
        <v>21</v>
      </c>
    </row>
    <row r="135" spans="2:9" x14ac:dyDescent="0.25">
      <c r="E135" s="2" t="s">
        <v>22</v>
      </c>
    </row>
    <row r="136" spans="2:9" x14ac:dyDescent="0.25">
      <c r="E136" s="2"/>
      <c r="F136" s="1" t="s">
        <v>27</v>
      </c>
      <c r="G136" s="1" t="s">
        <v>28</v>
      </c>
    </row>
    <row r="137" spans="2:9" x14ac:dyDescent="0.25">
      <c r="E137" s="2" t="s">
        <v>32</v>
      </c>
      <c r="F137" s="10">
        <f>(F139*'Design Calculator'!F83-((Equations!F138+Equations!F139)*'Device Parmaters'!D63))/'Device Parmaters'!D63</f>
        <v>94.899135446685861</v>
      </c>
      <c r="G137" s="10">
        <v>100</v>
      </c>
    </row>
    <row r="138" spans="2:9" x14ac:dyDescent="0.25">
      <c r="E138" s="2" t="s">
        <v>31</v>
      </c>
      <c r="F138" s="10">
        <v>10</v>
      </c>
      <c r="G138" s="10">
        <f>Equations!G137*'Device Parmaters'!D61/('Design Calculator'!F81-'Device Parmaters'!D61)</f>
        <v>12.359550561797754</v>
      </c>
    </row>
    <row r="139" spans="2:9" x14ac:dyDescent="0.25">
      <c r="E139" s="2" t="s">
        <v>30</v>
      </c>
      <c r="F139" s="10">
        <f>Equations!F138/(('Device Parmaters'!D61*'Design Calculator'!F83/('Design Calculator'!F81*'Device Parmaters'!D63))-1)</f>
        <v>1.7291066282420746</v>
      </c>
      <c r="G139" s="10">
        <v>100</v>
      </c>
    </row>
    <row r="140" spans="2:9" x14ac:dyDescent="0.25">
      <c r="E140" s="2" t="s">
        <v>33</v>
      </c>
      <c r="F140" s="1"/>
      <c r="G140" s="10">
        <f>Equations!G139*'Device Parmaters'!D63/('Design Calculator'!F83-'Device Parmaters'!D63)</f>
        <v>1.6483516483516485</v>
      </c>
    </row>
    <row r="141" spans="2:9" x14ac:dyDescent="0.25">
      <c r="B141" s="9"/>
      <c r="C141" s="9"/>
      <c r="D141" s="9"/>
      <c r="E141" s="3"/>
      <c r="F141" s="198"/>
      <c r="G141" s="198"/>
    </row>
    <row r="142" spans="2:9" x14ac:dyDescent="0.25">
      <c r="B142" s="9"/>
      <c r="C142" s="9"/>
      <c r="D142" s="9"/>
      <c r="E142" s="115" t="s">
        <v>402</v>
      </c>
      <c r="F142" s="198">
        <f>'Device Parmaters'!D61*('Design Calculator'!F89+'Design Calculator'!F90+'Design Calculator'!F91)/('Design Calculator'!F90+'Design Calculator'!F91)</f>
        <v>1.043273542600897</v>
      </c>
      <c r="G142">
        <f>'Device Parmaters'!D60*('Design Calculator'!F89+'Design Calculator'!F90+'Design Calculator'!F91)/('Design Calculator'!F90+'Design Calculator'!F91)</f>
        <v>1.138116591928251</v>
      </c>
      <c r="H142" s="198">
        <f>'Device Parmaters'!D61*('Design Calculator'!F89+'Design Calculator'!F90)/'Design Calculator'!F90</f>
        <v>5.3326086956521745</v>
      </c>
      <c r="I142">
        <f>'Device Parmaters'!D60*('Design Calculator'!F89+'Design Calculator'!F90)/'Design Calculator'!F90</f>
        <v>5.8173913043478249</v>
      </c>
    </row>
    <row r="143" spans="2:9" x14ac:dyDescent="0.25">
      <c r="B143" s="9"/>
      <c r="C143" s="9"/>
      <c r="D143" s="9"/>
      <c r="E143" s="115" t="s">
        <v>403</v>
      </c>
      <c r="F143" s="198">
        <f>'Device Parmaters'!D63*('Design Calculator'!F89+'Design Calculator'!F90+'Design Calculator'!F91)/'Design Calculator'!F91</f>
        <v>1.2689999999999999</v>
      </c>
      <c r="G143">
        <f>'Device Parmaters'!D64*('Design Calculator'!F89+'Design Calculator'!F90+'Design Calculator'!F91)/'Design Calculator'!F91</f>
        <v>1.1632500000000001</v>
      </c>
      <c r="H143" s="198">
        <f>'Device Parmaters'!D63*('Design Calculator'!F91+'Design Calculator'!F92)/'Design Calculator'!F92</f>
        <v>36.963636363636368</v>
      </c>
      <c r="I143">
        <f>'Device Parmaters'!D64*('Design Calculator'!F91+'Design Calculator'!F92)/'Design Calculator'!F92</f>
        <v>33.88333333333334</v>
      </c>
    </row>
    <row r="144" spans="2:9" x14ac:dyDescent="0.25">
      <c r="B144" s="9"/>
      <c r="C144" s="9"/>
      <c r="D144" s="9"/>
      <c r="E144" s="3"/>
      <c r="F144" s="198"/>
      <c r="G144" s="198"/>
    </row>
    <row r="145" spans="2:7" x14ac:dyDescent="0.25">
      <c r="B145" s="9"/>
      <c r="C145" s="9"/>
      <c r="D145" s="9"/>
      <c r="E145" s="3"/>
      <c r="F145" s="198"/>
      <c r="G145" s="198"/>
    </row>
    <row r="146" spans="2:7" x14ac:dyDescent="0.25">
      <c r="B146" s="9"/>
      <c r="C146" s="9"/>
      <c r="D146" s="9"/>
      <c r="E146" s="3"/>
      <c r="F146" s="198"/>
      <c r="G146" s="198"/>
    </row>
    <row r="147" spans="2:7" x14ac:dyDescent="0.25">
      <c r="B147" s="9"/>
      <c r="C147" s="9"/>
      <c r="D147" s="9"/>
      <c r="E147" s="3"/>
      <c r="F147" s="198"/>
      <c r="G147" s="198"/>
    </row>
    <row r="148" spans="2:7" x14ac:dyDescent="0.25">
      <c r="B148" s="9"/>
      <c r="C148" s="9"/>
      <c r="D148" s="9"/>
      <c r="E148" s="3"/>
      <c r="F148" s="198"/>
      <c r="G148" s="198"/>
    </row>
    <row r="149" spans="2:7" x14ac:dyDescent="0.25">
      <c r="B149" s="9"/>
      <c r="C149" s="9"/>
      <c r="D149" s="9"/>
      <c r="E149" s="3"/>
      <c r="F149" s="198"/>
      <c r="G149" s="198"/>
    </row>
    <row r="150" spans="2:7" x14ac:dyDescent="0.25">
      <c r="B150" s="9"/>
      <c r="C150" s="9"/>
      <c r="D150" s="9"/>
      <c r="E150" s="3"/>
      <c r="F150" s="198"/>
      <c r="G150" s="198"/>
    </row>
    <row r="151" spans="2:7" x14ac:dyDescent="0.25">
      <c r="B151" s="9"/>
      <c r="C151" s="9"/>
      <c r="D151" s="9"/>
      <c r="E151" s="3"/>
      <c r="F151" s="198"/>
      <c r="G151" s="198"/>
    </row>
    <row r="152" spans="2:7" x14ac:dyDescent="0.25">
      <c r="B152" s="9"/>
      <c r="C152" s="9"/>
      <c r="D152" s="9"/>
      <c r="E152" s="3"/>
      <c r="F152" s="198"/>
      <c r="G152" s="198"/>
    </row>
    <row r="160" spans="2:7" x14ac:dyDescent="0.25">
      <c r="E160" s="24" t="s">
        <v>82</v>
      </c>
      <c r="F160" s="23" t="e">
        <f>'Design Calculator'!#REF!</f>
        <v>#REF!</v>
      </c>
      <c r="G160" s="23" t="s">
        <v>8</v>
      </c>
    </row>
    <row r="161" spans="5:7" x14ac:dyDescent="0.25">
      <c r="E161" s="24" t="s">
        <v>83</v>
      </c>
      <c r="F161" s="23">
        <f>'Design Calculator'!F15</f>
        <v>12</v>
      </c>
      <c r="G161" s="23" t="s">
        <v>68</v>
      </c>
    </row>
    <row r="162" spans="5:7" x14ac:dyDescent="0.25">
      <c r="E162" s="24" t="s">
        <v>84</v>
      </c>
      <c r="F162" t="e">
        <f>22/F161*F160</f>
        <v>#REF!</v>
      </c>
      <c r="G162" s="23" t="s">
        <v>85</v>
      </c>
    </row>
    <row r="183" spans="3:6" x14ac:dyDescent="0.25">
      <c r="C183" s="18" t="s">
        <v>38</v>
      </c>
    </row>
    <row r="184" spans="3:6" x14ac:dyDescent="0.25">
      <c r="E184" s="2" t="s">
        <v>39</v>
      </c>
      <c r="F184" s="1">
        <f>'Design Calculator'!F29</f>
        <v>1</v>
      </c>
    </row>
    <row r="185" spans="3:6" ht="15.6" x14ac:dyDescent="0.35">
      <c r="E185" s="2" t="s">
        <v>40</v>
      </c>
      <c r="F185" s="1">
        <f>'Design Calculator'!F64</f>
        <v>0</v>
      </c>
    </row>
    <row r="186" spans="3:6" x14ac:dyDescent="0.25">
      <c r="E186" s="2" t="s">
        <v>41</v>
      </c>
      <c r="F186" s="1">
        <f>'Design Calculator'!F16</f>
        <v>16</v>
      </c>
    </row>
    <row r="188" spans="3:6" x14ac:dyDescent="0.25">
      <c r="E188" s="2" t="s">
        <v>42</v>
      </c>
      <c r="F188" s="10">
        <f>F189*0.9</f>
        <v>13.5</v>
      </c>
    </row>
    <row r="189" spans="3:6" x14ac:dyDescent="0.25">
      <c r="E189" s="2" t="s">
        <v>43</v>
      </c>
      <c r="F189" s="10">
        <f>I25</f>
        <v>15</v>
      </c>
    </row>
    <row r="190" spans="3:6" x14ac:dyDescent="0.25">
      <c r="E190" s="2" t="s">
        <v>44</v>
      </c>
      <c r="F190" s="10">
        <f>F189*1.1</f>
        <v>16.5</v>
      </c>
    </row>
    <row r="192" spans="3:6" x14ac:dyDescent="0.25">
      <c r="E192" s="2" t="s">
        <v>45</v>
      </c>
      <c r="F192" s="6">
        <f>F51</f>
        <v>25.536000000000001</v>
      </c>
    </row>
    <row r="193" spans="2:25" x14ac:dyDescent="0.25">
      <c r="E193" s="2" t="s">
        <v>46</v>
      </c>
      <c r="F193" s="6">
        <f>F52</f>
        <v>33.6</v>
      </c>
    </row>
    <row r="194" spans="2:25" x14ac:dyDescent="0.25">
      <c r="E194" s="2" t="s">
        <v>47</v>
      </c>
      <c r="F194" s="6">
        <f>F53</f>
        <v>41.664000000000001</v>
      </c>
    </row>
    <row r="199" spans="2:25" x14ac:dyDescent="0.25">
      <c r="D199" t="s">
        <v>48</v>
      </c>
      <c r="E199" s="2"/>
      <c r="I199" t="s">
        <v>49</v>
      </c>
      <c r="N199" t="s">
        <v>64</v>
      </c>
      <c r="R199" s="23" t="s">
        <v>70</v>
      </c>
    </row>
    <row r="200" spans="2:25" x14ac:dyDescent="0.25">
      <c r="D200" t="s">
        <v>50</v>
      </c>
      <c r="I200" t="s">
        <v>51</v>
      </c>
      <c r="N200" t="s">
        <v>56</v>
      </c>
      <c r="R200" s="23" t="s">
        <v>71</v>
      </c>
    </row>
    <row r="201" spans="2:25" x14ac:dyDescent="0.25">
      <c r="B201" s="23" t="s">
        <v>107</v>
      </c>
      <c r="D201" s="5" t="s">
        <v>52</v>
      </c>
      <c r="E201" s="5" t="s">
        <v>53</v>
      </c>
      <c r="F201" s="88" t="s">
        <v>54</v>
      </c>
      <c r="G201" s="5" t="s">
        <v>55</v>
      </c>
      <c r="I201" s="5" t="s">
        <v>52</v>
      </c>
      <c r="J201" s="5" t="s">
        <v>53</v>
      </c>
      <c r="K201" s="5" t="s">
        <v>54</v>
      </c>
      <c r="L201" s="5" t="s">
        <v>55</v>
      </c>
      <c r="N201" t="s">
        <v>57</v>
      </c>
      <c r="R201" s="5" t="s">
        <v>52</v>
      </c>
      <c r="S201" s="17" t="s">
        <v>53</v>
      </c>
      <c r="T201" s="17" t="s">
        <v>54</v>
      </c>
      <c r="U201" s="17" t="s">
        <v>55</v>
      </c>
      <c r="V201" s="100" t="s">
        <v>63</v>
      </c>
      <c r="X201" s="101" t="s">
        <v>251</v>
      </c>
    </row>
    <row r="202" spans="2:25" x14ac:dyDescent="0.25">
      <c r="B202">
        <f>D202*F202</f>
        <v>33.6</v>
      </c>
      <c r="D202" s="5">
        <v>1</v>
      </c>
      <c r="E202" s="19">
        <f>(1-$F$225)*F202</f>
        <v>25.200000000000003</v>
      </c>
      <c r="F202" s="19">
        <f t="shared" ref="F202:F218" si="0">($F$193+(D202-VINMAX)*$E$222/$E$223)/D202</f>
        <v>33.6</v>
      </c>
      <c r="G202" s="19">
        <f>F202*(1+$F$225)</f>
        <v>42</v>
      </c>
      <c r="I202" s="5">
        <v>1</v>
      </c>
      <c r="J202" s="19">
        <f t="shared" ref="J202:J218" si="1">IF(E202&gt;$F$188,$F$188,E202)</f>
        <v>13.5</v>
      </c>
      <c r="K202" s="19">
        <f t="shared" ref="K202:K218" si="2">IF(F202&gt;$F$189,$F$189,F202)</f>
        <v>15</v>
      </c>
      <c r="L202" s="19">
        <f t="shared" ref="L202:L218" si="3">IF(G202&gt;$F$190,$F$190,G202)</f>
        <v>16.5</v>
      </c>
      <c r="N202" t="s">
        <v>58</v>
      </c>
      <c r="R202" s="5">
        <v>1</v>
      </c>
      <c r="S202" s="19">
        <f t="shared" ref="S202:S221" si="4">IF($R202&gt;$F$186,0.0000000005,J202)</f>
        <v>13.5</v>
      </c>
      <c r="T202" s="19">
        <f t="shared" ref="T202:T221" si="5">IF($R202&gt;$F$186,0.0000000005,K202)</f>
        <v>15</v>
      </c>
      <c r="U202" s="19">
        <f t="shared" ref="U202:U221" si="6">IF($R202&gt;$F$186,0.0000000005,L202)</f>
        <v>16.5</v>
      </c>
      <c r="V202" s="19">
        <f>$X$202/R202</f>
        <v>167.8166575134197</v>
      </c>
      <c r="X202">
        <f>SOA!H28</f>
        <v>167.8166575134197</v>
      </c>
      <c r="Y202" s="23" t="s">
        <v>69</v>
      </c>
    </row>
    <row r="203" spans="2:25" x14ac:dyDescent="0.25">
      <c r="B203">
        <f t="shared" ref="B203:B218" si="7">D203*F203</f>
        <v>33.6</v>
      </c>
      <c r="D203" s="5">
        <v>2</v>
      </c>
      <c r="E203" s="19">
        <f t="shared" ref="E203:E218" si="8">(1-$F$225)*F203</f>
        <v>12.600000000000001</v>
      </c>
      <c r="F203" s="19">
        <f t="shared" si="0"/>
        <v>16.8</v>
      </c>
      <c r="G203" s="19">
        <f t="shared" ref="G203:G218" si="9">F203*(1+$F$225)</f>
        <v>21</v>
      </c>
      <c r="I203" s="5">
        <v>2</v>
      </c>
      <c r="J203" s="19">
        <f t="shared" si="1"/>
        <v>12.600000000000001</v>
      </c>
      <c r="K203" s="19">
        <f t="shared" si="2"/>
        <v>15</v>
      </c>
      <c r="L203" s="19">
        <f t="shared" si="3"/>
        <v>16.5</v>
      </c>
      <c r="R203" s="5">
        <v>2</v>
      </c>
      <c r="S203" s="19">
        <f t="shared" si="4"/>
        <v>12.600000000000001</v>
      </c>
      <c r="T203" s="19">
        <f t="shared" si="5"/>
        <v>15</v>
      </c>
      <c r="U203" s="19">
        <f t="shared" si="6"/>
        <v>16.5</v>
      </c>
      <c r="V203" s="19">
        <f t="shared" ref="V203:V221" si="10">$X$202/R203</f>
        <v>83.908328756709849</v>
      </c>
    </row>
    <row r="204" spans="2:25" x14ac:dyDescent="0.25">
      <c r="B204">
        <f t="shared" si="7"/>
        <v>33.6</v>
      </c>
      <c r="D204" s="5">
        <v>3</v>
      </c>
      <c r="E204" s="19">
        <f t="shared" si="8"/>
        <v>8.4</v>
      </c>
      <c r="F204" s="19">
        <f t="shared" si="0"/>
        <v>11.200000000000001</v>
      </c>
      <c r="G204" s="19">
        <f t="shared" si="9"/>
        <v>14.000000000000002</v>
      </c>
      <c r="I204" s="5">
        <v>3</v>
      </c>
      <c r="J204" s="19">
        <f t="shared" si="1"/>
        <v>8.4</v>
      </c>
      <c r="K204" s="19">
        <f t="shared" si="2"/>
        <v>11.200000000000001</v>
      </c>
      <c r="L204" s="19">
        <f t="shared" si="3"/>
        <v>14.000000000000002</v>
      </c>
      <c r="O204" s="20" t="s">
        <v>59</v>
      </c>
      <c r="R204" s="5">
        <v>3</v>
      </c>
      <c r="S204" s="19">
        <f t="shared" si="4"/>
        <v>8.4</v>
      </c>
      <c r="T204" s="19">
        <f t="shared" si="5"/>
        <v>11.200000000000001</v>
      </c>
      <c r="U204" s="19">
        <f t="shared" si="6"/>
        <v>14.000000000000002</v>
      </c>
      <c r="V204" s="19">
        <f t="shared" si="10"/>
        <v>55.938885837806566</v>
      </c>
    </row>
    <row r="205" spans="2:25" x14ac:dyDescent="0.25">
      <c r="B205">
        <f t="shared" si="7"/>
        <v>33.6</v>
      </c>
      <c r="D205" s="5">
        <v>4</v>
      </c>
      <c r="E205" s="19">
        <f t="shared" si="8"/>
        <v>6.3000000000000007</v>
      </c>
      <c r="F205" s="19">
        <f t="shared" si="0"/>
        <v>8.4</v>
      </c>
      <c r="G205" s="19">
        <f t="shared" si="9"/>
        <v>10.5</v>
      </c>
      <c r="I205" s="5">
        <v>4</v>
      </c>
      <c r="J205" s="19">
        <f t="shared" si="1"/>
        <v>6.3000000000000007</v>
      </c>
      <c r="K205" s="19">
        <f t="shared" si="2"/>
        <v>8.4</v>
      </c>
      <c r="L205" s="19">
        <f t="shared" si="3"/>
        <v>10.5</v>
      </c>
      <c r="N205" s="8" t="s">
        <v>52</v>
      </c>
      <c r="O205" s="21" t="s">
        <v>60</v>
      </c>
      <c r="R205" s="5">
        <v>4</v>
      </c>
      <c r="S205" s="19">
        <f t="shared" si="4"/>
        <v>6.3000000000000007</v>
      </c>
      <c r="T205" s="19">
        <f t="shared" si="5"/>
        <v>8.4</v>
      </c>
      <c r="U205" s="19">
        <f t="shared" si="6"/>
        <v>10.5</v>
      </c>
      <c r="V205" s="19">
        <f t="shared" si="10"/>
        <v>41.954164378354925</v>
      </c>
    </row>
    <row r="206" spans="2:25" x14ac:dyDescent="0.25">
      <c r="B206">
        <f t="shared" si="7"/>
        <v>33.6</v>
      </c>
      <c r="D206" s="5">
        <v>5</v>
      </c>
      <c r="E206" s="19">
        <f t="shared" si="8"/>
        <v>5.0400000000000009</v>
      </c>
      <c r="F206" s="19">
        <f t="shared" si="0"/>
        <v>6.7200000000000006</v>
      </c>
      <c r="G206" s="19">
        <f t="shared" si="9"/>
        <v>8.4</v>
      </c>
      <c r="I206" s="5">
        <v>5</v>
      </c>
      <c r="J206" s="19">
        <f t="shared" si="1"/>
        <v>5.0400000000000009</v>
      </c>
      <c r="K206" s="19">
        <f t="shared" si="2"/>
        <v>6.7200000000000006</v>
      </c>
      <c r="L206" s="19">
        <f t="shared" si="3"/>
        <v>8.4</v>
      </c>
      <c r="N206" s="5">
        <v>1</v>
      </c>
      <c r="O206" s="5" t="e">
        <f>SOA!C39</f>
        <v>#REF!</v>
      </c>
      <c r="P206" t="s">
        <v>61</v>
      </c>
      <c r="R206" s="5">
        <v>5</v>
      </c>
      <c r="S206" s="19">
        <f t="shared" si="4"/>
        <v>5.0400000000000009</v>
      </c>
      <c r="T206" s="19">
        <f t="shared" si="5"/>
        <v>6.7200000000000006</v>
      </c>
      <c r="U206" s="19">
        <f t="shared" si="6"/>
        <v>8.4</v>
      </c>
      <c r="V206" s="19">
        <f t="shared" si="10"/>
        <v>33.563331502683937</v>
      </c>
    </row>
    <row r="207" spans="2:25" x14ac:dyDescent="0.25">
      <c r="B207">
        <f t="shared" si="7"/>
        <v>33.6</v>
      </c>
      <c r="D207" s="5">
        <v>6</v>
      </c>
      <c r="E207" s="19">
        <f t="shared" si="8"/>
        <v>4.2</v>
      </c>
      <c r="F207" s="19">
        <f t="shared" si="0"/>
        <v>5.6000000000000005</v>
      </c>
      <c r="G207" s="19">
        <f t="shared" si="9"/>
        <v>7.0000000000000009</v>
      </c>
      <c r="I207" s="5">
        <v>6</v>
      </c>
      <c r="J207" s="19">
        <f t="shared" si="1"/>
        <v>4.2</v>
      </c>
      <c r="K207" s="19">
        <f t="shared" si="2"/>
        <v>5.6000000000000005</v>
      </c>
      <c r="L207" s="19">
        <f t="shared" si="3"/>
        <v>7.0000000000000009</v>
      </c>
      <c r="N207" s="5">
        <v>2</v>
      </c>
      <c r="O207" s="19" t="e">
        <f>O210+((O206-O210)*3/7)</f>
        <v>#REF!</v>
      </c>
      <c r="R207" s="5">
        <v>6</v>
      </c>
      <c r="S207" s="19">
        <f t="shared" si="4"/>
        <v>4.2</v>
      </c>
      <c r="T207" s="19">
        <f t="shared" si="5"/>
        <v>5.6000000000000005</v>
      </c>
      <c r="U207" s="19">
        <f t="shared" si="6"/>
        <v>7.0000000000000009</v>
      </c>
      <c r="V207" s="19">
        <f t="shared" si="10"/>
        <v>27.969442918903283</v>
      </c>
    </row>
    <row r="208" spans="2:25" x14ac:dyDescent="0.25">
      <c r="B208">
        <f t="shared" si="7"/>
        <v>33.6</v>
      </c>
      <c r="D208" s="5">
        <v>7</v>
      </c>
      <c r="E208" s="19">
        <f t="shared" si="8"/>
        <v>3.5999999999999996</v>
      </c>
      <c r="F208" s="19">
        <f t="shared" si="0"/>
        <v>4.8</v>
      </c>
      <c r="G208" s="19">
        <f t="shared" si="9"/>
        <v>6</v>
      </c>
      <c r="I208" s="5">
        <v>7</v>
      </c>
      <c r="J208" s="19">
        <f t="shared" si="1"/>
        <v>3.5999999999999996</v>
      </c>
      <c r="K208" s="19">
        <f t="shared" si="2"/>
        <v>4.8</v>
      </c>
      <c r="L208" s="19">
        <f t="shared" si="3"/>
        <v>6</v>
      </c>
      <c r="N208" s="5">
        <v>3</v>
      </c>
      <c r="O208" s="19" t="e">
        <f>O210+((O206-O210)*2/8)</f>
        <v>#REF!</v>
      </c>
      <c r="R208" s="5">
        <v>7</v>
      </c>
      <c r="S208" s="19">
        <f t="shared" si="4"/>
        <v>3.5999999999999996</v>
      </c>
      <c r="T208" s="19">
        <f t="shared" si="5"/>
        <v>4.8</v>
      </c>
      <c r="U208" s="19">
        <f t="shared" si="6"/>
        <v>6</v>
      </c>
      <c r="V208" s="19">
        <f t="shared" si="10"/>
        <v>23.973808216202816</v>
      </c>
    </row>
    <row r="209" spans="2:22" x14ac:dyDescent="0.25">
      <c r="B209">
        <f t="shared" si="7"/>
        <v>33.6</v>
      </c>
      <c r="D209" s="5">
        <v>8</v>
      </c>
      <c r="E209" s="19">
        <f t="shared" si="8"/>
        <v>3.1500000000000004</v>
      </c>
      <c r="F209" s="19">
        <f t="shared" si="0"/>
        <v>4.2</v>
      </c>
      <c r="G209" s="19">
        <f t="shared" si="9"/>
        <v>5.25</v>
      </c>
      <c r="I209" s="5">
        <v>8</v>
      </c>
      <c r="J209" s="19">
        <f t="shared" si="1"/>
        <v>3.1500000000000004</v>
      </c>
      <c r="K209" s="19">
        <f t="shared" si="2"/>
        <v>4.2</v>
      </c>
      <c r="L209" s="19">
        <f t="shared" si="3"/>
        <v>5.25</v>
      </c>
      <c r="N209" s="5">
        <v>4</v>
      </c>
      <c r="O209" s="19" t="e">
        <f>O210+((O206-O210)*1/9)</f>
        <v>#REF!</v>
      </c>
      <c r="R209" s="5">
        <v>8</v>
      </c>
      <c r="S209" s="19">
        <f t="shared" si="4"/>
        <v>3.1500000000000004</v>
      </c>
      <c r="T209" s="19">
        <f t="shared" si="5"/>
        <v>4.2</v>
      </c>
      <c r="U209" s="19">
        <f t="shared" si="6"/>
        <v>5.25</v>
      </c>
      <c r="V209" s="19">
        <f t="shared" si="10"/>
        <v>20.977082189177462</v>
      </c>
    </row>
    <row r="210" spans="2:22" x14ac:dyDescent="0.25">
      <c r="B210">
        <f t="shared" si="7"/>
        <v>33.6</v>
      </c>
      <c r="D210" s="5">
        <v>9</v>
      </c>
      <c r="E210" s="19">
        <f t="shared" si="8"/>
        <v>2.8</v>
      </c>
      <c r="F210" s="19">
        <f t="shared" si="0"/>
        <v>3.7333333333333334</v>
      </c>
      <c r="G210" s="19">
        <f t="shared" si="9"/>
        <v>4.666666666666667</v>
      </c>
      <c r="I210" s="5">
        <v>9</v>
      </c>
      <c r="J210" s="19">
        <f t="shared" si="1"/>
        <v>2.8</v>
      </c>
      <c r="K210" s="19">
        <f t="shared" si="2"/>
        <v>3.7333333333333334</v>
      </c>
      <c r="L210" s="19">
        <f t="shared" si="3"/>
        <v>4.666666666666667</v>
      </c>
      <c r="N210" s="5">
        <v>5</v>
      </c>
      <c r="O210" s="19" t="e">
        <f>SOA!C40</f>
        <v>#REF!</v>
      </c>
      <c r="P210" t="s">
        <v>62</v>
      </c>
      <c r="R210" s="5">
        <v>9</v>
      </c>
      <c r="S210" s="19">
        <f t="shared" si="4"/>
        <v>2.8</v>
      </c>
      <c r="T210" s="19">
        <f t="shared" si="5"/>
        <v>3.7333333333333334</v>
      </c>
      <c r="U210" s="19">
        <f t="shared" si="6"/>
        <v>4.666666666666667</v>
      </c>
      <c r="V210" s="19">
        <f t="shared" si="10"/>
        <v>18.646295279268855</v>
      </c>
    </row>
    <row r="211" spans="2:22" x14ac:dyDescent="0.25">
      <c r="B211">
        <f t="shared" si="7"/>
        <v>33.6</v>
      </c>
      <c r="D211" s="5">
        <v>10</v>
      </c>
      <c r="E211" s="19">
        <f t="shared" si="8"/>
        <v>2.5200000000000005</v>
      </c>
      <c r="F211" s="19">
        <f t="shared" si="0"/>
        <v>3.3600000000000003</v>
      </c>
      <c r="G211" s="19">
        <f t="shared" si="9"/>
        <v>4.2</v>
      </c>
      <c r="I211" s="5">
        <v>10</v>
      </c>
      <c r="J211" s="19">
        <f t="shared" si="1"/>
        <v>2.5200000000000005</v>
      </c>
      <c r="K211" s="19">
        <f t="shared" si="2"/>
        <v>3.3600000000000003</v>
      </c>
      <c r="L211" s="19">
        <f t="shared" si="3"/>
        <v>4.2</v>
      </c>
      <c r="N211" s="5">
        <v>6</v>
      </c>
      <c r="O211" s="19" t="e">
        <f>O$215+((O$210-O$215)*4/6)</f>
        <v>#REF!</v>
      </c>
      <c r="R211" s="5">
        <v>10</v>
      </c>
      <c r="S211" s="19">
        <f t="shared" si="4"/>
        <v>2.5200000000000005</v>
      </c>
      <c r="T211" s="19">
        <f t="shared" si="5"/>
        <v>3.3600000000000003</v>
      </c>
      <c r="U211" s="19">
        <f t="shared" si="6"/>
        <v>4.2</v>
      </c>
      <c r="V211" s="19">
        <f t="shared" si="10"/>
        <v>16.781665751341968</v>
      </c>
    </row>
    <row r="212" spans="2:22" x14ac:dyDescent="0.25">
      <c r="B212">
        <f t="shared" si="7"/>
        <v>33.6</v>
      </c>
      <c r="D212" s="5">
        <v>11</v>
      </c>
      <c r="E212" s="19">
        <f t="shared" si="8"/>
        <v>2.290909090909091</v>
      </c>
      <c r="F212" s="19">
        <f t="shared" si="0"/>
        <v>3.0545454545454547</v>
      </c>
      <c r="G212" s="19">
        <f t="shared" si="9"/>
        <v>3.8181818181818183</v>
      </c>
      <c r="I212" s="5">
        <v>11</v>
      </c>
      <c r="J212" s="19">
        <f t="shared" si="1"/>
        <v>2.290909090909091</v>
      </c>
      <c r="K212" s="19">
        <f t="shared" si="2"/>
        <v>3.0545454545454547</v>
      </c>
      <c r="L212" s="19">
        <f t="shared" si="3"/>
        <v>3.8181818181818183</v>
      </c>
      <c r="N212" s="5">
        <v>7</v>
      </c>
      <c r="O212" s="19" t="e">
        <f>O$215+((O$210-O$215)*3/7)</f>
        <v>#REF!</v>
      </c>
      <c r="R212" s="5">
        <v>11</v>
      </c>
      <c r="S212" s="19">
        <f t="shared" si="4"/>
        <v>2.290909090909091</v>
      </c>
      <c r="T212" s="19">
        <f t="shared" si="5"/>
        <v>3.0545454545454547</v>
      </c>
      <c r="U212" s="19">
        <f t="shared" si="6"/>
        <v>3.8181818181818183</v>
      </c>
      <c r="V212" s="19">
        <f t="shared" si="10"/>
        <v>15.256059773947245</v>
      </c>
    </row>
    <row r="213" spans="2:22" x14ac:dyDescent="0.25">
      <c r="B213">
        <f t="shared" si="7"/>
        <v>33.6</v>
      </c>
      <c r="D213" s="5">
        <v>12</v>
      </c>
      <c r="E213" s="19">
        <f t="shared" si="8"/>
        <v>2.1</v>
      </c>
      <c r="F213" s="19">
        <f t="shared" si="0"/>
        <v>2.8000000000000003</v>
      </c>
      <c r="G213" s="19">
        <f t="shared" si="9"/>
        <v>3.5000000000000004</v>
      </c>
      <c r="I213" s="5">
        <v>12</v>
      </c>
      <c r="J213" s="19">
        <f t="shared" si="1"/>
        <v>2.1</v>
      </c>
      <c r="K213" s="19">
        <f t="shared" si="2"/>
        <v>2.8000000000000003</v>
      </c>
      <c r="L213" s="19">
        <f t="shared" si="3"/>
        <v>3.5000000000000004</v>
      </c>
      <c r="N213" s="5">
        <v>8</v>
      </c>
      <c r="O213" s="19" t="e">
        <f>O$215+((O$210-O$215)*2/8)</f>
        <v>#REF!</v>
      </c>
      <c r="R213" s="5">
        <v>12</v>
      </c>
      <c r="S213" s="19">
        <f t="shared" si="4"/>
        <v>2.1</v>
      </c>
      <c r="T213" s="19">
        <f t="shared" si="5"/>
        <v>2.8000000000000003</v>
      </c>
      <c r="U213" s="19">
        <f t="shared" si="6"/>
        <v>3.5000000000000004</v>
      </c>
      <c r="V213" s="19">
        <f t="shared" si="10"/>
        <v>13.984721459451642</v>
      </c>
    </row>
    <row r="214" spans="2:22" x14ac:dyDescent="0.25">
      <c r="B214">
        <f t="shared" si="7"/>
        <v>33.6</v>
      </c>
      <c r="D214" s="5">
        <v>13</v>
      </c>
      <c r="E214" s="19">
        <f t="shared" si="8"/>
        <v>1.9384615384615387</v>
      </c>
      <c r="F214" s="19">
        <f t="shared" si="0"/>
        <v>2.5846153846153848</v>
      </c>
      <c r="G214" s="19">
        <f t="shared" si="9"/>
        <v>3.2307692307692308</v>
      </c>
      <c r="I214" s="5">
        <v>13</v>
      </c>
      <c r="J214" s="19">
        <f t="shared" si="1"/>
        <v>1.9384615384615387</v>
      </c>
      <c r="K214" s="19">
        <f t="shared" si="2"/>
        <v>2.5846153846153848</v>
      </c>
      <c r="L214" s="19">
        <f t="shared" si="3"/>
        <v>3.2307692307692308</v>
      </c>
      <c r="N214" s="5">
        <v>9</v>
      </c>
      <c r="O214" s="19" t="e">
        <f>O$215+((O$210-O$215)*1/9)</f>
        <v>#REF!</v>
      </c>
      <c r="R214" s="5">
        <v>13</v>
      </c>
      <c r="S214" s="19">
        <f t="shared" si="4"/>
        <v>1.9384615384615387</v>
      </c>
      <c r="T214" s="19">
        <f t="shared" si="5"/>
        <v>2.5846153846153848</v>
      </c>
      <c r="U214" s="19">
        <f t="shared" si="6"/>
        <v>3.2307692307692308</v>
      </c>
      <c r="V214" s="19">
        <f t="shared" si="10"/>
        <v>12.908973654878439</v>
      </c>
    </row>
    <row r="215" spans="2:22" x14ac:dyDescent="0.25">
      <c r="B215">
        <f t="shared" si="7"/>
        <v>33.6</v>
      </c>
      <c r="D215" s="5">
        <v>14</v>
      </c>
      <c r="E215" s="19">
        <f t="shared" si="8"/>
        <v>1.7999999999999998</v>
      </c>
      <c r="F215" s="19">
        <f t="shared" si="0"/>
        <v>2.4</v>
      </c>
      <c r="G215" s="19">
        <f t="shared" si="9"/>
        <v>3</v>
      </c>
      <c r="I215" s="5">
        <v>14</v>
      </c>
      <c r="J215" s="19">
        <f t="shared" si="1"/>
        <v>1.7999999999999998</v>
      </c>
      <c r="K215" s="19">
        <f t="shared" si="2"/>
        <v>2.4</v>
      </c>
      <c r="L215" s="19">
        <f t="shared" si="3"/>
        <v>3</v>
      </c>
      <c r="N215" s="5">
        <v>10</v>
      </c>
      <c r="O215" s="19" t="e">
        <f>SOA!C41</f>
        <v>#REF!</v>
      </c>
      <c r="P215" t="s">
        <v>62</v>
      </c>
      <c r="R215" s="5">
        <v>14</v>
      </c>
      <c r="S215" s="19">
        <f t="shared" si="4"/>
        <v>1.7999999999999998</v>
      </c>
      <c r="T215" s="19">
        <f t="shared" si="5"/>
        <v>2.4</v>
      </c>
      <c r="U215" s="19">
        <f t="shared" si="6"/>
        <v>3</v>
      </c>
      <c r="V215" s="19">
        <f t="shared" si="10"/>
        <v>11.986904108101408</v>
      </c>
    </row>
    <row r="216" spans="2:22" x14ac:dyDescent="0.25">
      <c r="B216">
        <f t="shared" si="7"/>
        <v>33.6</v>
      </c>
      <c r="D216" s="5">
        <v>15</v>
      </c>
      <c r="E216" s="19">
        <f t="shared" si="8"/>
        <v>1.6800000000000002</v>
      </c>
      <c r="F216" s="19">
        <f t="shared" si="0"/>
        <v>2.2400000000000002</v>
      </c>
      <c r="G216" s="19">
        <f t="shared" si="9"/>
        <v>2.8000000000000003</v>
      </c>
      <c r="I216" s="5">
        <v>15</v>
      </c>
      <c r="J216" s="19">
        <f t="shared" si="1"/>
        <v>1.6800000000000002</v>
      </c>
      <c r="K216" s="19">
        <f t="shared" si="2"/>
        <v>2.2400000000000002</v>
      </c>
      <c r="L216" s="19">
        <f t="shared" si="3"/>
        <v>2.8000000000000003</v>
      </c>
      <c r="N216" s="5">
        <v>11</v>
      </c>
      <c r="O216" s="19" t="e">
        <f>O$220+((O$215-O$220)*4/6)</f>
        <v>#REF!</v>
      </c>
      <c r="R216" s="5">
        <v>15</v>
      </c>
      <c r="S216" s="19">
        <f t="shared" si="4"/>
        <v>1.6800000000000002</v>
      </c>
      <c r="T216" s="19">
        <f t="shared" si="5"/>
        <v>2.2400000000000002</v>
      </c>
      <c r="U216" s="19">
        <f t="shared" si="6"/>
        <v>2.8000000000000003</v>
      </c>
      <c r="V216" s="19">
        <f t="shared" si="10"/>
        <v>11.187777167561313</v>
      </c>
    </row>
    <row r="217" spans="2:22" x14ac:dyDescent="0.25">
      <c r="B217">
        <f t="shared" si="7"/>
        <v>33.6</v>
      </c>
      <c r="D217" s="5">
        <v>16</v>
      </c>
      <c r="E217" s="19">
        <f t="shared" si="8"/>
        <v>1.5750000000000002</v>
      </c>
      <c r="F217" s="19">
        <f t="shared" si="0"/>
        <v>2.1</v>
      </c>
      <c r="G217" s="19">
        <f t="shared" si="9"/>
        <v>2.625</v>
      </c>
      <c r="I217" s="5">
        <v>16</v>
      </c>
      <c r="J217" s="19">
        <f t="shared" si="1"/>
        <v>1.5750000000000002</v>
      </c>
      <c r="K217" s="19">
        <f t="shared" si="2"/>
        <v>2.1</v>
      </c>
      <c r="L217" s="19">
        <f t="shared" si="3"/>
        <v>2.625</v>
      </c>
      <c r="N217" s="5">
        <v>12</v>
      </c>
      <c r="O217" s="19" t="e">
        <f>O$220+((O$215-O$220)*3/7)</f>
        <v>#REF!</v>
      </c>
      <c r="R217" s="5">
        <v>16</v>
      </c>
      <c r="S217" s="19">
        <f t="shared" si="4"/>
        <v>1.5750000000000002</v>
      </c>
      <c r="T217" s="19">
        <f t="shared" si="5"/>
        <v>2.1</v>
      </c>
      <c r="U217" s="19">
        <f t="shared" si="6"/>
        <v>2.625</v>
      </c>
      <c r="V217" s="19">
        <f t="shared" si="10"/>
        <v>10.488541094588731</v>
      </c>
    </row>
    <row r="218" spans="2:22" x14ac:dyDescent="0.25">
      <c r="B218">
        <f t="shared" si="7"/>
        <v>33.6</v>
      </c>
      <c r="D218" s="5">
        <v>17</v>
      </c>
      <c r="E218" s="19">
        <f t="shared" si="8"/>
        <v>1.4823529411764707</v>
      </c>
      <c r="F218" s="19">
        <f t="shared" si="0"/>
        <v>1.9764705882352942</v>
      </c>
      <c r="G218" s="19">
        <f t="shared" si="9"/>
        <v>2.4705882352941178</v>
      </c>
      <c r="I218" s="5">
        <v>17</v>
      </c>
      <c r="J218" s="19">
        <f t="shared" si="1"/>
        <v>1.4823529411764707</v>
      </c>
      <c r="K218" s="19">
        <f t="shared" si="2"/>
        <v>1.9764705882352942</v>
      </c>
      <c r="L218" s="19">
        <f t="shared" si="3"/>
        <v>2.4705882352941178</v>
      </c>
      <c r="N218" s="5">
        <v>13</v>
      </c>
      <c r="O218" s="19" t="e">
        <f>O$220+((O$215-O$220)*2/8)</f>
        <v>#REF!</v>
      </c>
      <c r="R218" s="5">
        <v>17</v>
      </c>
      <c r="S218" s="19">
        <f t="shared" si="4"/>
        <v>5.0000000000000003E-10</v>
      </c>
      <c r="T218" s="19">
        <f t="shared" si="5"/>
        <v>5.0000000000000003E-10</v>
      </c>
      <c r="U218" s="19">
        <f t="shared" si="6"/>
        <v>5.0000000000000003E-10</v>
      </c>
      <c r="V218" s="19">
        <f t="shared" si="10"/>
        <v>9.871568089024688</v>
      </c>
    </row>
    <row r="219" spans="2:22" x14ac:dyDescent="0.25">
      <c r="N219" s="5">
        <v>14</v>
      </c>
      <c r="O219" s="19" t="e">
        <f>O$220+((O$215-O$220)*1/9)</f>
        <v>#REF!</v>
      </c>
      <c r="R219" s="17">
        <v>18</v>
      </c>
      <c r="S219" s="19">
        <f t="shared" si="4"/>
        <v>5.0000000000000003E-10</v>
      </c>
      <c r="T219" s="19">
        <f t="shared" si="5"/>
        <v>5.0000000000000003E-10</v>
      </c>
      <c r="U219" s="19">
        <f t="shared" si="6"/>
        <v>5.0000000000000003E-10</v>
      </c>
      <c r="V219" s="19">
        <f t="shared" si="10"/>
        <v>9.3231476396344277</v>
      </c>
    </row>
    <row r="220" spans="2:22" x14ac:dyDescent="0.25">
      <c r="D220" s="23" t="s">
        <v>246</v>
      </c>
      <c r="N220" s="5">
        <v>15</v>
      </c>
      <c r="O220" s="19">
        <f>SOA!C42</f>
        <v>0</v>
      </c>
      <c r="P220" t="s">
        <v>62</v>
      </c>
      <c r="R220" s="17">
        <v>19</v>
      </c>
      <c r="S220" s="19">
        <f t="shared" si="4"/>
        <v>5.0000000000000003E-10</v>
      </c>
      <c r="T220" s="19">
        <f t="shared" si="5"/>
        <v>5.0000000000000003E-10</v>
      </c>
      <c r="U220" s="19">
        <f t="shared" si="6"/>
        <v>5.0000000000000003E-10</v>
      </c>
      <c r="V220" s="19">
        <f t="shared" si="10"/>
        <v>8.8324556586010363</v>
      </c>
    </row>
    <row r="221" spans="2:22" x14ac:dyDescent="0.25">
      <c r="N221" s="5">
        <v>16</v>
      </c>
      <c r="O221" s="19">
        <f>O$225+((O$220-O$225)*4/6)</f>
        <v>0</v>
      </c>
      <c r="R221" s="17">
        <v>20</v>
      </c>
      <c r="S221" s="19">
        <f t="shared" si="4"/>
        <v>5.0000000000000003E-10</v>
      </c>
      <c r="T221" s="19">
        <f t="shared" si="5"/>
        <v>5.0000000000000003E-10</v>
      </c>
      <c r="U221" s="19">
        <f t="shared" si="6"/>
        <v>5.0000000000000003E-10</v>
      </c>
      <c r="V221" s="19">
        <f t="shared" si="10"/>
        <v>8.3908328756709842</v>
      </c>
    </row>
    <row r="222" spans="2:22" x14ac:dyDescent="0.25">
      <c r="D222" s="23" t="s">
        <v>247</v>
      </c>
      <c r="E222">
        <v>0</v>
      </c>
      <c r="N222" s="5">
        <v>17</v>
      </c>
      <c r="O222" s="19">
        <f>O$225+((O$220-O$225)*3/7)</f>
        <v>0</v>
      </c>
    </row>
    <row r="223" spans="2:22" x14ac:dyDescent="0.25">
      <c r="D223" s="23" t="s">
        <v>248</v>
      </c>
      <c r="E223">
        <f>RsEFF*0.001</f>
        <v>1E-3</v>
      </c>
      <c r="N223" s="17">
        <v>18</v>
      </c>
      <c r="O223" s="19">
        <f>O$225+((O$220-O$225)*2/8)</f>
        <v>0</v>
      </c>
    </row>
    <row r="224" spans="2:22" x14ac:dyDescent="0.25">
      <c r="D224" s="23" t="s">
        <v>249</v>
      </c>
      <c r="E224">
        <f>VINMAX</f>
        <v>16</v>
      </c>
      <c r="N224" s="17">
        <v>19</v>
      </c>
      <c r="O224" s="19">
        <f>O$225+((O$220-O$225)*1/9)</f>
        <v>0</v>
      </c>
    </row>
    <row r="225" spans="4:16" x14ac:dyDescent="0.25">
      <c r="D225" s="23" t="s">
        <v>250</v>
      </c>
      <c r="E225" s="85"/>
      <c r="F225">
        <v>0.25</v>
      </c>
      <c r="N225" s="17">
        <v>20</v>
      </c>
      <c r="O225" s="19">
        <f>SOA!C43</f>
        <v>0</v>
      </c>
      <c r="P225" t="s">
        <v>62</v>
      </c>
    </row>
    <row r="227" spans="4:16" x14ac:dyDescent="0.25">
      <c r="D227" s="89" t="s">
        <v>219</v>
      </c>
    </row>
  </sheetData>
  <mergeCells count="3">
    <mergeCell ref="D57:G57"/>
    <mergeCell ref="D68:G68"/>
    <mergeCell ref="D83:H83"/>
  </mergeCells>
  <pageMargins left="0.7" right="0.7" top="0.75" bottom="0.75" header="0.3" footer="0.3"/>
  <pageSetup orientation="portrait" r:id="rId1"/>
  <ignoredErrors>
    <ignoredError sqref="F18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zoomScale="85" zoomScaleNormal="85" workbookViewId="0">
      <selection activeCell="O10" sqref="O10"/>
    </sheetView>
  </sheetViews>
  <sheetFormatPr defaultColWidth="9.33203125" defaultRowHeight="13.2" x14ac:dyDescent="0.25"/>
  <cols>
    <col min="1" max="1" width="11" style="39" customWidth="1"/>
    <col min="2" max="2" width="14.5546875" style="39" bestFit="1" customWidth="1"/>
    <col min="3" max="3" width="9.33203125" style="39"/>
    <col min="4" max="5" width="15" style="39" customWidth="1"/>
    <col min="6" max="6" width="15.44140625" style="39" customWidth="1"/>
    <col min="7" max="7" width="14.6640625" style="39" customWidth="1"/>
    <col min="8" max="8" width="10.6640625" style="39" customWidth="1"/>
    <col min="9" max="9" width="12.44140625" style="39" bestFit="1" customWidth="1"/>
    <col min="10" max="10" width="14.6640625" style="39" customWidth="1"/>
    <col min="11" max="11" width="12.6640625" style="39" customWidth="1"/>
    <col min="12" max="12" width="14.33203125" style="39" customWidth="1"/>
    <col min="13" max="13" width="20.6640625" style="39" customWidth="1"/>
    <col min="14" max="14" width="12.6640625" style="39" customWidth="1"/>
    <col min="15" max="15" width="10.33203125" style="39" bestFit="1" customWidth="1"/>
    <col min="16" max="16" width="18.6640625" style="39" customWidth="1"/>
    <col min="17" max="17" width="10.6640625" style="39" customWidth="1"/>
    <col min="18" max="16384" width="9.33203125" style="39"/>
  </cols>
  <sheetData>
    <row r="1" spans="1:25" x14ac:dyDescent="0.25">
      <c r="B1" s="39" t="s">
        <v>107</v>
      </c>
      <c r="C1" s="39" t="s">
        <v>225</v>
      </c>
      <c r="D1" s="39" t="s">
        <v>226</v>
      </c>
      <c r="F1" s="102" t="s">
        <v>254</v>
      </c>
      <c r="G1" s="102" t="s">
        <v>227</v>
      </c>
      <c r="H1" s="102" t="s">
        <v>228</v>
      </c>
      <c r="I1" s="102" t="s">
        <v>229</v>
      </c>
      <c r="J1" s="102" t="s">
        <v>230</v>
      </c>
      <c r="K1" s="102"/>
      <c r="L1" s="102"/>
      <c r="M1" s="102" t="s">
        <v>234</v>
      </c>
      <c r="N1" s="102"/>
      <c r="O1" s="102" t="s">
        <v>235</v>
      </c>
      <c r="Q1" s="39" t="s">
        <v>269</v>
      </c>
      <c r="R1" s="39" t="s">
        <v>270</v>
      </c>
    </row>
    <row r="2" spans="1:25" x14ac:dyDescent="0.25">
      <c r="B2" s="93">
        <v>1000000000</v>
      </c>
      <c r="C2" s="39">
        <f>'Design Calculator'!F34</f>
        <v>15</v>
      </c>
      <c r="D2" s="39" t="str">
        <f>IF( 'Design Calculator'!F67 = "Constant Current", "CC", "R")</f>
        <v>R</v>
      </c>
      <c r="F2" s="39" t="str">
        <f>'Design Calculator'!F69</f>
        <v>Yes</v>
      </c>
      <c r="G2" s="39">
        <f>'Design Calculator'!F68</f>
        <v>3</v>
      </c>
      <c r="H2" s="39">
        <f>'Design Calculator'!F66</f>
        <v>6</v>
      </c>
      <c r="I2" s="39">
        <f>RsEFF</f>
        <v>1</v>
      </c>
      <c r="J2" s="39">
        <f>'Device Parmaters'!E12</f>
        <v>2.0999999999999999E-3</v>
      </c>
      <c r="M2" s="93">
        <f>J114*1000</f>
        <v>6.3999999999999897</v>
      </c>
      <c r="N2" s="39" t="s">
        <v>8</v>
      </c>
      <c r="O2" s="97">
        <f>MIN(L10:L111)</f>
        <v>0.13739724564962102</v>
      </c>
      <c r="Q2" s="39">
        <f>'Device Parmaters'!E35/'Device Parmaters'!D35</f>
        <v>0</v>
      </c>
      <c r="R2" s="39">
        <f>'Device Parmaters'!C35/'Device Parmaters'!D35</f>
        <v>0</v>
      </c>
    </row>
    <row r="3" spans="1:25" x14ac:dyDescent="0.25">
      <c r="B3" s="93"/>
      <c r="M3" s="93"/>
      <c r="O3" s="97"/>
    </row>
    <row r="4" spans="1:25" x14ac:dyDescent="0.25">
      <c r="B4" s="93"/>
      <c r="D4" s="39" t="s">
        <v>261</v>
      </c>
      <c r="M4" s="93" t="s">
        <v>262</v>
      </c>
      <c r="N4" s="39">
        <f>MIN(M10:M114)</f>
        <v>46.919191919191924</v>
      </c>
      <c r="O4" s="97" t="s">
        <v>258</v>
      </c>
      <c r="P4" s="39" t="s">
        <v>271</v>
      </c>
      <c r="Q4" s="39">
        <f>MAX(O10:O114)</f>
        <v>28.443786982248518</v>
      </c>
      <c r="R4" s="39" t="s">
        <v>69</v>
      </c>
    </row>
    <row r="5" spans="1:25" x14ac:dyDescent="0.25">
      <c r="B5" s="93"/>
      <c r="M5" s="39" t="s">
        <v>263</v>
      </c>
      <c r="N5" s="39">
        <f>SUM(N10:N114)</f>
        <v>0.10466619329388567</v>
      </c>
      <c r="O5" s="97" t="s">
        <v>264</v>
      </c>
      <c r="P5" s="39" t="s">
        <v>273</v>
      </c>
      <c r="Q5" s="39">
        <f>MAX(P10:P114)</f>
        <v>21.333333333333332</v>
      </c>
      <c r="R5" s="39" t="s">
        <v>69</v>
      </c>
    </row>
    <row r="6" spans="1:25" x14ac:dyDescent="0.25">
      <c r="P6" s="39" t="s">
        <v>272</v>
      </c>
      <c r="Q6" s="39">
        <f>MAX(Q10:Q114)</f>
        <v>21.333333333333332</v>
      </c>
      <c r="R6" s="39" t="s">
        <v>69</v>
      </c>
    </row>
    <row r="7" spans="1:25" x14ac:dyDescent="0.25">
      <c r="A7" s="94" t="s">
        <v>130</v>
      </c>
      <c r="B7" s="95" t="s">
        <v>101</v>
      </c>
      <c r="C7" s="95" t="s">
        <v>102</v>
      </c>
      <c r="D7" s="95"/>
      <c r="E7" s="95" t="s">
        <v>469</v>
      </c>
      <c r="F7" s="95" t="s">
        <v>253</v>
      </c>
      <c r="G7" s="95" t="s">
        <v>232</v>
      </c>
      <c r="H7" s="95" t="s">
        <v>128</v>
      </c>
      <c r="I7" s="95" t="s">
        <v>231</v>
      </c>
      <c r="J7" s="96" t="s">
        <v>113</v>
      </c>
      <c r="K7" s="96" t="s">
        <v>298</v>
      </c>
      <c r="L7" s="94" t="s">
        <v>233</v>
      </c>
      <c r="M7" s="94" t="s">
        <v>265</v>
      </c>
      <c r="N7" s="94" t="s">
        <v>297</v>
      </c>
      <c r="O7" s="94" t="s">
        <v>266</v>
      </c>
      <c r="P7" s="39" t="s">
        <v>267</v>
      </c>
      <c r="Q7" s="39" t="s">
        <v>268</v>
      </c>
    </row>
    <row r="8" spans="1:25" x14ac:dyDescent="0.25">
      <c r="A8" s="94"/>
      <c r="B8" s="95"/>
      <c r="C8" s="95"/>
      <c r="D8" s="95"/>
      <c r="E8" s="95"/>
      <c r="F8" s="95"/>
      <c r="G8" s="95"/>
      <c r="H8" s="95"/>
      <c r="I8" s="95"/>
      <c r="J8" s="96"/>
      <c r="K8" s="126">
        <v>-10</v>
      </c>
      <c r="L8" s="94"/>
      <c r="M8" s="94"/>
      <c r="N8" s="94"/>
      <c r="O8" s="39">
        <v>0</v>
      </c>
    </row>
    <row r="9" spans="1:25" x14ac:dyDescent="0.25">
      <c r="A9" s="94"/>
      <c r="B9" s="95"/>
      <c r="C9" s="95"/>
      <c r="D9" s="95"/>
      <c r="E9" s="95"/>
      <c r="F9" s="95"/>
      <c r="G9" s="95"/>
      <c r="H9" s="95"/>
      <c r="I9" s="95"/>
      <c r="J9" s="96"/>
      <c r="K9" s="49">
        <v>-0.01</v>
      </c>
      <c r="L9" s="94"/>
      <c r="M9" s="94"/>
      <c r="N9" s="94"/>
      <c r="O9" s="39">
        <v>0</v>
      </c>
    </row>
    <row r="10" spans="1:25" x14ac:dyDescent="0.25">
      <c r="A10" s="39">
        <f t="shared" ref="A10:A41" si="0">VINMAX</f>
        <v>16</v>
      </c>
      <c r="B10" s="42">
        <f t="shared" ref="B10:B41" si="1">VINMAX*((ROW()-10)/104)</f>
        <v>0</v>
      </c>
      <c r="C10" s="40">
        <f t="shared" ref="C10:C41" si="2">IF(B10&gt;=$H$2,IF($D$2="CC", $G$2, B10/$G$2), 0)</f>
        <v>0</v>
      </c>
      <c r="D10" s="38"/>
      <c r="E10" s="40">
        <f>((('Device Parmaters'!$D$35)*COUTMAX)/(1000*'Design Calculator'!$F$70))+C10</f>
        <v>36.299999999999997</v>
      </c>
      <c r="F10" s="40">
        <f>I_Cout_ss+C10</f>
        <v>0.82499999999999996</v>
      </c>
      <c r="G10" s="38">
        <f>IF($F$2="YES", F10, E10)</f>
        <v>0.82499999999999996</v>
      </c>
      <c r="H10" s="40">
        <f t="shared" ref="H10:H41" si="3">G10-C10</f>
        <v>0.82499999999999996</v>
      </c>
      <c r="I10" s="41">
        <f>(COUTMAX/1000000)*(B10)/H10</f>
        <v>0</v>
      </c>
      <c r="J10" s="48">
        <f>I10</f>
        <v>0</v>
      </c>
      <c r="K10" s="126">
        <f>J10*1000</f>
        <v>0</v>
      </c>
      <c r="L10" s="97">
        <f>H10/G10</f>
        <v>1</v>
      </c>
      <c r="M10" s="39">
        <f t="shared" ref="M10:M41" si="4">1/COUTMAX*(E10/2-C10)*1000</f>
        <v>54.999999999999993</v>
      </c>
      <c r="N10" s="39">
        <f>I10*G10*(A10-B10)</f>
        <v>0</v>
      </c>
      <c r="O10" s="39">
        <f>G10*(A10-B10)</f>
        <v>13.2</v>
      </c>
      <c r="P10" s="39">
        <f t="shared" ref="P10:P41" si="5">(A10-B10)*(I_Cout_ss*$Q$2+C10)</f>
        <v>0</v>
      </c>
      <c r="Q10" s="39">
        <f t="shared" ref="Q10:Q41" si="6">(A10-B10)*(I_Cout_ss*$R$2+C10)</f>
        <v>0</v>
      </c>
    </row>
    <row r="11" spans="1:25" x14ac:dyDescent="0.25">
      <c r="A11" s="39">
        <f t="shared" si="0"/>
        <v>16</v>
      </c>
      <c r="B11" s="42">
        <f t="shared" si="1"/>
        <v>0.15384615384615385</v>
      </c>
      <c r="C11" s="40">
        <f t="shared" si="2"/>
        <v>0</v>
      </c>
      <c r="D11" s="38"/>
      <c r="E11" s="40">
        <f>((('Device Parmaters'!$D$35)*COUTMAX)/(1000*'Design Calculator'!$F$70))+C11</f>
        <v>36.299999999999997</v>
      </c>
      <c r="F11" s="40">
        <f t="shared" ref="F11:F41" si="7">I_Cout_ss+C11</f>
        <v>0.82499999999999996</v>
      </c>
      <c r="G11" s="38">
        <f t="shared" ref="G11:G74" si="8">IF($F$2="YES", F11, E11)</f>
        <v>0.82499999999999996</v>
      </c>
      <c r="H11" s="40">
        <f t="shared" si="3"/>
        <v>0.82499999999999996</v>
      </c>
      <c r="I11" s="41">
        <f t="shared" ref="I11:I42" si="9">(COUTMAX/1000000)*(B11-B10)/H11</f>
        <v>6.1538461538461549E-5</v>
      </c>
      <c r="J11" s="48">
        <f>J10+I11</f>
        <v>6.1538461538461549E-5</v>
      </c>
      <c r="K11" s="126">
        <f t="shared" ref="K11:K74" si="10">J11*1000</f>
        <v>6.1538461538461549E-2</v>
      </c>
      <c r="L11" s="97">
        <f t="shared" ref="L11:L74" si="11">H11/G11</f>
        <v>1</v>
      </c>
      <c r="M11" s="39">
        <f t="shared" si="4"/>
        <v>54.999999999999993</v>
      </c>
      <c r="N11" s="39">
        <f>I11*G11*(A11-B11)</f>
        <v>8.0449704142011847E-4</v>
      </c>
      <c r="O11" s="39">
        <f>G11*(A11-B11)</f>
        <v>13.073076923076924</v>
      </c>
      <c r="P11" s="39">
        <f t="shared" si="5"/>
        <v>0</v>
      </c>
      <c r="Q11" s="39">
        <f t="shared" si="6"/>
        <v>0</v>
      </c>
    </row>
    <row r="12" spans="1:25" x14ac:dyDescent="0.25">
      <c r="A12" s="39">
        <f t="shared" si="0"/>
        <v>16</v>
      </c>
      <c r="B12" s="42">
        <f t="shared" si="1"/>
        <v>0.30769230769230771</v>
      </c>
      <c r="C12" s="40">
        <f t="shared" si="2"/>
        <v>0</v>
      </c>
      <c r="D12" s="38"/>
      <c r="E12" s="40">
        <f>((('Device Parmaters'!$D$35)*COUTMAX)/(1000*'Design Calculator'!$F$70))+C12</f>
        <v>36.299999999999997</v>
      </c>
      <c r="F12" s="40">
        <f t="shared" si="7"/>
        <v>0.82499999999999996</v>
      </c>
      <c r="G12" s="38">
        <f t="shared" si="8"/>
        <v>0.82499999999999996</v>
      </c>
      <c r="H12" s="40">
        <f t="shared" si="3"/>
        <v>0.82499999999999996</v>
      </c>
      <c r="I12" s="41">
        <f t="shared" si="9"/>
        <v>6.1538461538461549E-5</v>
      </c>
      <c r="J12" s="48">
        <f t="shared" ref="J12:J75" si="12">J11+I12</f>
        <v>1.230769230769231E-4</v>
      </c>
      <c r="K12" s="126">
        <f t="shared" si="10"/>
        <v>0.1230769230769231</v>
      </c>
      <c r="L12" s="97">
        <f t="shared" si="11"/>
        <v>1</v>
      </c>
      <c r="M12" s="39">
        <f t="shared" si="4"/>
        <v>54.999999999999993</v>
      </c>
      <c r="N12" s="39">
        <f>I12*G12*(A12-B12)</f>
        <v>7.9668639053254435E-4</v>
      </c>
      <c r="O12" s="39">
        <f t="shared" ref="O12:O74" si="13">G12*(A12-B12)</f>
        <v>12.946153846153845</v>
      </c>
      <c r="P12" s="39">
        <f t="shared" si="5"/>
        <v>0</v>
      </c>
      <c r="Q12" s="39">
        <f t="shared" si="6"/>
        <v>0</v>
      </c>
      <c r="X12" s="372" t="s">
        <v>103</v>
      </c>
      <c r="Y12" s="372"/>
    </row>
    <row r="13" spans="1:25" x14ac:dyDescent="0.25">
      <c r="A13" s="39">
        <f t="shared" si="0"/>
        <v>16</v>
      </c>
      <c r="B13" s="42">
        <f t="shared" si="1"/>
        <v>0.46153846153846156</v>
      </c>
      <c r="C13" s="40">
        <f t="shared" si="2"/>
        <v>0</v>
      </c>
      <c r="D13" s="38"/>
      <c r="E13" s="40">
        <f>((('Device Parmaters'!$D$35)*COUTMAX)/(1000*'Design Calculator'!$F$70))+C13</f>
        <v>36.299999999999997</v>
      </c>
      <c r="F13" s="40">
        <f t="shared" si="7"/>
        <v>0.82499999999999996</v>
      </c>
      <c r="G13" s="38">
        <f>IF($F$2="YES", F13, E13)</f>
        <v>0.82499999999999996</v>
      </c>
      <c r="H13" s="40">
        <f t="shared" si="3"/>
        <v>0.82499999999999996</v>
      </c>
      <c r="I13" s="41">
        <f t="shared" si="9"/>
        <v>6.1538461538461549E-5</v>
      </c>
      <c r="J13" s="48">
        <f t="shared" si="12"/>
        <v>1.8461538461538463E-4</v>
      </c>
      <c r="K13" s="126">
        <f t="shared" si="10"/>
        <v>0.18461538461538463</v>
      </c>
      <c r="L13" s="97">
        <f t="shared" si="11"/>
        <v>1</v>
      </c>
      <c r="M13" s="39">
        <f t="shared" si="4"/>
        <v>54.999999999999993</v>
      </c>
      <c r="N13" s="39">
        <f>I13*G13*(A13-B13)</f>
        <v>7.8887573964497046E-4</v>
      </c>
      <c r="O13" s="39">
        <f t="shared" si="13"/>
        <v>12.819230769230769</v>
      </c>
      <c r="P13" s="39">
        <f t="shared" si="5"/>
        <v>0</v>
      </c>
      <c r="Q13" s="39">
        <f t="shared" si="6"/>
        <v>0</v>
      </c>
      <c r="X13" s="43" t="s">
        <v>104</v>
      </c>
      <c r="Y13" s="44">
        <v>0.3</v>
      </c>
    </row>
    <row r="14" spans="1:25" x14ac:dyDescent="0.25">
      <c r="A14" s="39">
        <f t="shared" si="0"/>
        <v>16</v>
      </c>
      <c r="B14" s="42">
        <f t="shared" si="1"/>
        <v>0.61538461538461542</v>
      </c>
      <c r="C14" s="40">
        <f t="shared" si="2"/>
        <v>0</v>
      </c>
      <c r="D14" s="38"/>
      <c r="E14" s="40">
        <f>((('Device Parmaters'!$D$35)*COUTMAX)/(1000*'Design Calculator'!$F$70))+C14</f>
        <v>36.299999999999997</v>
      </c>
      <c r="F14" s="40">
        <f t="shared" si="7"/>
        <v>0.82499999999999996</v>
      </c>
      <c r="G14" s="38">
        <f t="shared" si="8"/>
        <v>0.82499999999999996</v>
      </c>
      <c r="H14" s="40">
        <f t="shared" si="3"/>
        <v>0.82499999999999996</v>
      </c>
      <c r="I14" s="41">
        <f t="shared" si="9"/>
        <v>6.1538461538461549E-5</v>
      </c>
      <c r="J14" s="48">
        <f t="shared" si="12"/>
        <v>2.4615384615384619E-4</v>
      </c>
      <c r="K14" s="126">
        <f t="shared" si="10"/>
        <v>0.2461538461538462</v>
      </c>
      <c r="L14" s="97">
        <f t="shared" si="11"/>
        <v>1</v>
      </c>
      <c r="M14" s="39">
        <f t="shared" si="4"/>
        <v>54.999999999999993</v>
      </c>
      <c r="N14" s="39">
        <f t="shared" ref="N14:N74" si="14">I14*G14*(A14-B14)</f>
        <v>7.8106508875739656E-4</v>
      </c>
      <c r="O14" s="39">
        <f t="shared" si="13"/>
        <v>12.692307692307692</v>
      </c>
      <c r="P14" s="39">
        <f t="shared" si="5"/>
        <v>0</v>
      </c>
      <c r="Q14" s="39">
        <f t="shared" si="6"/>
        <v>0</v>
      </c>
      <c r="X14" s="43" t="s">
        <v>105</v>
      </c>
      <c r="Y14" s="44">
        <v>0.3</v>
      </c>
    </row>
    <row r="15" spans="1:25" x14ac:dyDescent="0.25">
      <c r="A15" s="39">
        <f t="shared" si="0"/>
        <v>16</v>
      </c>
      <c r="B15" s="42">
        <f t="shared" si="1"/>
        <v>0.76923076923076927</v>
      </c>
      <c r="C15" s="40">
        <f t="shared" si="2"/>
        <v>0</v>
      </c>
      <c r="D15" s="38"/>
      <c r="E15" s="40">
        <f>((('Device Parmaters'!$D$35)*COUTMAX)/(1000*'Design Calculator'!$F$70))+C15</f>
        <v>36.299999999999997</v>
      </c>
      <c r="F15" s="40">
        <f t="shared" si="7"/>
        <v>0.82499999999999996</v>
      </c>
      <c r="G15" s="38">
        <f t="shared" si="8"/>
        <v>0.82499999999999996</v>
      </c>
      <c r="H15" s="40">
        <f t="shared" si="3"/>
        <v>0.82499999999999996</v>
      </c>
      <c r="I15" s="41">
        <f t="shared" si="9"/>
        <v>6.1538461538461549E-5</v>
      </c>
      <c r="J15" s="48">
        <f t="shared" si="12"/>
        <v>3.0769230769230776E-4</v>
      </c>
      <c r="K15" s="126">
        <f t="shared" si="10"/>
        <v>0.30769230769230776</v>
      </c>
      <c r="L15" s="97">
        <f t="shared" si="11"/>
        <v>1</v>
      </c>
      <c r="M15" s="39">
        <f t="shared" si="4"/>
        <v>54.999999999999993</v>
      </c>
      <c r="N15" s="39">
        <f t="shared" si="14"/>
        <v>7.7325443786982245E-4</v>
      </c>
      <c r="O15" s="39">
        <f t="shared" si="13"/>
        <v>12.565384615384614</v>
      </c>
      <c r="P15" s="39">
        <f t="shared" si="5"/>
        <v>0</v>
      </c>
      <c r="Q15" s="39">
        <f t="shared" si="6"/>
        <v>0</v>
      </c>
      <c r="X15" s="43" t="s">
        <v>106</v>
      </c>
      <c r="Y15" s="44">
        <f>SQRT(Y14^2+Y13^2)</f>
        <v>0.42426406871192851</v>
      </c>
    </row>
    <row r="16" spans="1:25" x14ac:dyDescent="0.25">
      <c r="A16" s="39">
        <f t="shared" si="0"/>
        <v>16</v>
      </c>
      <c r="B16" s="42">
        <f t="shared" si="1"/>
        <v>0.92307692307692313</v>
      </c>
      <c r="C16" s="40">
        <f t="shared" si="2"/>
        <v>0</v>
      </c>
      <c r="D16" s="38"/>
      <c r="E16" s="40">
        <f>((('Device Parmaters'!$D$35)*COUTMAX)/(1000*'Design Calculator'!$F$70))+C16</f>
        <v>36.299999999999997</v>
      </c>
      <c r="F16" s="40">
        <f t="shared" si="7"/>
        <v>0.82499999999999996</v>
      </c>
      <c r="G16" s="38">
        <f t="shared" si="8"/>
        <v>0.82499999999999996</v>
      </c>
      <c r="H16" s="40">
        <f t="shared" si="3"/>
        <v>0.82499999999999996</v>
      </c>
      <c r="I16" s="41">
        <f t="shared" si="9"/>
        <v>6.1538461538461549E-5</v>
      </c>
      <c r="J16" s="48">
        <f t="shared" si="12"/>
        <v>3.6923076923076932E-4</v>
      </c>
      <c r="K16" s="126">
        <f t="shared" si="10"/>
        <v>0.36923076923076931</v>
      </c>
      <c r="L16" s="97">
        <f t="shared" si="11"/>
        <v>1</v>
      </c>
      <c r="M16" s="39">
        <f t="shared" si="4"/>
        <v>54.999999999999993</v>
      </c>
      <c r="N16" s="39">
        <f t="shared" si="14"/>
        <v>7.6544378698224856E-4</v>
      </c>
      <c r="O16" s="39">
        <f t="shared" si="13"/>
        <v>12.438461538461537</v>
      </c>
      <c r="P16" s="39">
        <f t="shared" si="5"/>
        <v>0</v>
      </c>
      <c r="Q16" s="39">
        <f t="shared" si="6"/>
        <v>0</v>
      </c>
      <c r="X16" s="44"/>
      <c r="Y16" s="44"/>
    </row>
    <row r="17" spans="1:25" x14ac:dyDescent="0.25">
      <c r="A17" s="39">
        <f t="shared" si="0"/>
        <v>16</v>
      </c>
      <c r="B17" s="42">
        <f t="shared" si="1"/>
        <v>1.0769230769230769</v>
      </c>
      <c r="C17" s="40">
        <f t="shared" si="2"/>
        <v>0</v>
      </c>
      <c r="D17" s="38"/>
      <c r="E17" s="40">
        <f>((('Device Parmaters'!$D$35)*COUTMAX)/(1000*'Design Calculator'!$F$70))+C17</f>
        <v>36.299999999999997</v>
      </c>
      <c r="F17" s="40">
        <f t="shared" si="7"/>
        <v>0.82499999999999996</v>
      </c>
      <c r="G17" s="38">
        <f t="shared" si="8"/>
        <v>0.82499999999999996</v>
      </c>
      <c r="H17" s="40">
        <f t="shared" si="3"/>
        <v>0.82499999999999996</v>
      </c>
      <c r="I17" s="41">
        <f t="shared" si="9"/>
        <v>6.1538461538461494E-5</v>
      </c>
      <c r="J17" s="48">
        <f t="shared" si="12"/>
        <v>4.3076923076923083E-4</v>
      </c>
      <c r="K17" s="126">
        <f t="shared" si="10"/>
        <v>0.43076923076923085</v>
      </c>
      <c r="L17" s="97">
        <f t="shared" si="11"/>
        <v>1</v>
      </c>
      <c r="M17" s="39">
        <f t="shared" si="4"/>
        <v>54.999999999999993</v>
      </c>
      <c r="N17" s="39">
        <f t="shared" si="14"/>
        <v>7.5763313609467401E-4</v>
      </c>
      <c r="O17" s="39">
        <f t="shared" si="13"/>
        <v>12.311538461538461</v>
      </c>
      <c r="P17" s="39">
        <f t="shared" si="5"/>
        <v>0</v>
      </c>
      <c r="Q17" s="39">
        <f t="shared" si="6"/>
        <v>0</v>
      </c>
      <c r="X17" s="43" t="s">
        <v>107</v>
      </c>
      <c r="Y17" s="44">
        <v>0.3</v>
      </c>
    </row>
    <row r="18" spans="1:25" x14ac:dyDescent="0.25">
      <c r="A18" s="39">
        <f t="shared" si="0"/>
        <v>16</v>
      </c>
      <c r="B18" s="42">
        <f t="shared" si="1"/>
        <v>1.2307692307692308</v>
      </c>
      <c r="C18" s="40">
        <f t="shared" si="2"/>
        <v>0</v>
      </c>
      <c r="D18" s="38"/>
      <c r="E18" s="40">
        <f>((('Device Parmaters'!$D$35)*COUTMAX)/(1000*'Design Calculator'!$F$70))+C18</f>
        <v>36.299999999999997</v>
      </c>
      <c r="F18" s="40">
        <f t="shared" si="7"/>
        <v>0.82499999999999996</v>
      </c>
      <c r="G18" s="38">
        <f t="shared" si="8"/>
        <v>0.82499999999999996</v>
      </c>
      <c r="H18" s="40">
        <f t="shared" si="3"/>
        <v>0.82499999999999996</v>
      </c>
      <c r="I18" s="41">
        <f t="shared" si="9"/>
        <v>6.1538461538461589E-5</v>
      </c>
      <c r="J18" s="48">
        <f t="shared" si="12"/>
        <v>4.9230769230769239E-4</v>
      </c>
      <c r="K18" s="126">
        <f t="shared" si="10"/>
        <v>0.49230769230769239</v>
      </c>
      <c r="L18" s="97">
        <f t="shared" si="11"/>
        <v>1</v>
      </c>
      <c r="M18" s="39">
        <f t="shared" si="4"/>
        <v>54.999999999999993</v>
      </c>
      <c r="N18" s="39">
        <f t="shared" si="14"/>
        <v>7.498224852071012E-4</v>
      </c>
      <c r="O18" s="39">
        <f t="shared" si="13"/>
        <v>12.184615384615384</v>
      </c>
      <c r="P18" s="39">
        <f t="shared" si="5"/>
        <v>0</v>
      </c>
      <c r="Q18" s="39">
        <f t="shared" si="6"/>
        <v>0</v>
      </c>
      <c r="X18" s="43" t="s">
        <v>108</v>
      </c>
      <c r="Y18" s="44">
        <f>MAX(Y15:Y17)</f>
        <v>0.42426406871192851</v>
      </c>
    </row>
    <row r="19" spans="1:25" x14ac:dyDescent="0.25">
      <c r="A19" s="39">
        <f t="shared" si="0"/>
        <v>16</v>
      </c>
      <c r="B19" s="42">
        <f t="shared" si="1"/>
        <v>1.3846153846153846</v>
      </c>
      <c r="C19" s="40">
        <f t="shared" si="2"/>
        <v>0</v>
      </c>
      <c r="D19" s="38"/>
      <c r="E19" s="40">
        <f>((('Device Parmaters'!$D$35)*COUTMAX)/(1000*'Design Calculator'!$F$70))+C19</f>
        <v>36.299999999999997</v>
      </c>
      <c r="F19" s="40">
        <f t="shared" si="7"/>
        <v>0.82499999999999996</v>
      </c>
      <c r="G19" s="38">
        <f t="shared" si="8"/>
        <v>0.82499999999999996</v>
      </c>
      <c r="H19" s="40">
        <f t="shared" si="3"/>
        <v>0.82499999999999996</v>
      </c>
      <c r="I19" s="41">
        <f t="shared" si="9"/>
        <v>6.1538461538461494E-5</v>
      </c>
      <c r="J19" s="48">
        <f t="shared" si="12"/>
        <v>5.538461538461539E-4</v>
      </c>
      <c r="K19" s="126">
        <f t="shared" si="10"/>
        <v>0.55384615384615388</v>
      </c>
      <c r="L19" s="97">
        <f t="shared" si="11"/>
        <v>1</v>
      </c>
      <c r="M19" s="39">
        <f t="shared" si="4"/>
        <v>54.999999999999993</v>
      </c>
      <c r="N19" s="39">
        <f t="shared" si="14"/>
        <v>7.4201183431952611E-4</v>
      </c>
      <c r="O19" s="39">
        <f t="shared" si="13"/>
        <v>12.057692307692307</v>
      </c>
      <c r="P19" s="39">
        <f t="shared" si="5"/>
        <v>0</v>
      </c>
      <c r="Q19" s="39">
        <f t="shared" si="6"/>
        <v>0</v>
      </c>
      <c r="X19" s="44"/>
      <c r="Y19" s="44"/>
    </row>
    <row r="20" spans="1:25" x14ac:dyDescent="0.25">
      <c r="A20" s="39">
        <f t="shared" si="0"/>
        <v>16</v>
      </c>
      <c r="B20" s="42">
        <f t="shared" si="1"/>
        <v>1.5384615384615385</v>
      </c>
      <c r="C20" s="40">
        <f t="shared" si="2"/>
        <v>0</v>
      </c>
      <c r="D20" s="38"/>
      <c r="E20" s="40">
        <f>((('Device Parmaters'!$D$35)*COUTMAX)/(1000*'Design Calculator'!$F$70))+C20</f>
        <v>36.299999999999997</v>
      </c>
      <c r="F20" s="40">
        <f t="shared" si="7"/>
        <v>0.82499999999999996</v>
      </c>
      <c r="G20" s="38">
        <f t="shared" si="8"/>
        <v>0.82499999999999996</v>
      </c>
      <c r="H20" s="40">
        <f t="shared" si="3"/>
        <v>0.82499999999999996</v>
      </c>
      <c r="I20" s="41">
        <f t="shared" si="9"/>
        <v>6.1538461538461589E-5</v>
      </c>
      <c r="J20" s="48">
        <f t="shared" si="12"/>
        <v>6.1538461538461551E-4</v>
      </c>
      <c r="K20" s="126">
        <f t="shared" si="10"/>
        <v>0.61538461538461553</v>
      </c>
      <c r="L20" s="97">
        <f t="shared" si="11"/>
        <v>1</v>
      </c>
      <c r="M20" s="39">
        <f t="shared" si="4"/>
        <v>54.999999999999993</v>
      </c>
      <c r="N20" s="39">
        <f t="shared" si="14"/>
        <v>7.3420118343195319E-4</v>
      </c>
      <c r="O20" s="39">
        <f t="shared" si="13"/>
        <v>11.930769230769231</v>
      </c>
      <c r="P20" s="39">
        <f t="shared" si="5"/>
        <v>0</v>
      </c>
      <c r="Q20" s="39">
        <f t="shared" si="6"/>
        <v>0</v>
      </c>
      <c r="X20" s="43" t="s">
        <v>109</v>
      </c>
      <c r="Y20" s="44">
        <v>0.2</v>
      </c>
    </row>
    <row r="21" spans="1:25" x14ac:dyDescent="0.25">
      <c r="A21" s="39">
        <f t="shared" si="0"/>
        <v>16</v>
      </c>
      <c r="B21" s="42">
        <f t="shared" si="1"/>
        <v>1.6923076923076923</v>
      </c>
      <c r="C21" s="40">
        <f t="shared" si="2"/>
        <v>0</v>
      </c>
      <c r="D21" s="38"/>
      <c r="E21" s="40">
        <f>((('Device Parmaters'!$D$35)*COUTMAX)/(1000*'Design Calculator'!$F$70))+C21</f>
        <v>36.299999999999997</v>
      </c>
      <c r="F21" s="40">
        <f t="shared" si="7"/>
        <v>0.82499999999999996</v>
      </c>
      <c r="G21" s="38">
        <f t="shared" si="8"/>
        <v>0.82499999999999996</v>
      </c>
      <c r="H21" s="40">
        <f t="shared" si="3"/>
        <v>0.82499999999999996</v>
      </c>
      <c r="I21" s="41">
        <f t="shared" si="9"/>
        <v>6.1538461538461494E-5</v>
      </c>
      <c r="J21" s="48">
        <f t="shared" si="12"/>
        <v>6.7692307692307702E-4</v>
      </c>
      <c r="K21" s="126">
        <f t="shared" si="10"/>
        <v>0.67692307692307707</v>
      </c>
      <c r="L21" s="97">
        <f t="shared" si="11"/>
        <v>1</v>
      </c>
      <c r="M21" s="39">
        <f t="shared" si="4"/>
        <v>54.999999999999993</v>
      </c>
      <c r="N21" s="39">
        <f t="shared" si="14"/>
        <v>7.2639053254437821E-4</v>
      </c>
      <c r="O21" s="39">
        <f t="shared" si="13"/>
        <v>11.803846153846154</v>
      </c>
      <c r="P21" s="39">
        <f t="shared" si="5"/>
        <v>0</v>
      </c>
      <c r="Q21" s="39">
        <f t="shared" si="6"/>
        <v>0</v>
      </c>
      <c r="X21" s="43" t="s">
        <v>110</v>
      </c>
      <c r="Y21" s="44">
        <v>0.2</v>
      </c>
    </row>
    <row r="22" spans="1:25" x14ac:dyDescent="0.25">
      <c r="A22" s="39">
        <f t="shared" si="0"/>
        <v>16</v>
      </c>
      <c r="B22" s="42">
        <f t="shared" si="1"/>
        <v>1.8461538461538463</v>
      </c>
      <c r="C22" s="40">
        <f t="shared" si="2"/>
        <v>0</v>
      </c>
      <c r="D22" s="38"/>
      <c r="E22" s="40">
        <f>((('Device Parmaters'!$D$35)*COUTMAX)/(1000*'Design Calculator'!$F$70))+C22</f>
        <v>36.299999999999997</v>
      </c>
      <c r="F22" s="40">
        <f t="shared" si="7"/>
        <v>0.82499999999999996</v>
      </c>
      <c r="G22" s="38">
        <f t="shared" si="8"/>
        <v>0.82499999999999996</v>
      </c>
      <c r="H22" s="40">
        <f t="shared" si="3"/>
        <v>0.82499999999999996</v>
      </c>
      <c r="I22" s="41">
        <f t="shared" si="9"/>
        <v>6.1538461538461589E-5</v>
      </c>
      <c r="J22" s="48">
        <f t="shared" si="12"/>
        <v>7.3846153846153864E-4</v>
      </c>
      <c r="K22" s="126">
        <f t="shared" si="10"/>
        <v>0.73846153846153861</v>
      </c>
      <c r="L22" s="97">
        <f t="shared" si="11"/>
        <v>1</v>
      </c>
      <c r="M22" s="39">
        <f t="shared" si="4"/>
        <v>54.999999999999993</v>
      </c>
      <c r="N22" s="39">
        <f t="shared" si="14"/>
        <v>7.1857988165680519E-4</v>
      </c>
      <c r="O22" s="39">
        <f t="shared" si="13"/>
        <v>11.676923076923076</v>
      </c>
      <c r="P22" s="39">
        <f t="shared" si="5"/>
        <v>0</v>
      </c>
      <c r="Q22" s="39">
        <f t="shared" si="6"/>
        <v>0</v>
      </c>
      <c r="X22" s="43" t="s">
        <v>106</v>
      </c>
      <c r="Y22" s="44">
        <f>SQRT(Y21^2+Y20^2)</f>
        <v>0.28284271247461906</v>
      </c>
    </row>
    <row r="23" spans="1:25" x14ac:dyDescent="0.25">
      <c r="A23" s="39">
        <f t="shared" si="0"/>
        <v>16</v>
      </c>
      <c r="B23" s="42">
        <f t="shared" si="1"/>
        <v>2</v>
      </c>
      <c r="C23" s="40">
        <f t="shared" si="2"/>
        <v>0</v>
      </c>
      <c r="D23" s="38"/>
      <c r="E23" s="40">
        <f>((('Device Parmaters'!$D$35)*COUTMAX)/(1000*'Design Calculator'!$F$70))+C23</f>
        <v>36.299999999999997</v>
      </c>
      <c r="F23" s="40">
        <f t="shared" si="7"/>
        <v>0.82499999999999996</v>
      </c>
      <c r="G23" s="38">
        <f t="shared" si="8"/>
        <v>0.82499999999999996</v>
      </c>
      <c r="H23" s="40">
        <f t="shared" si="3"/>
        <v>0.82499999999999996</v>
      </c>
      <c r="I23" s="41">
        <f t="shared" si="9"/>
        <v>6.1538461538461494E-5</v>
      </c>
      <c r="J23" s="48">
        <f t="shared" si="12"/>
        <v>8.0000000000000015E-4</v>
      </c>
      <c r="K23" s="126">
        <f t="shared" si="10"/>
        <v>0.80000000000000016</v>
      </c>
      <c r="L23" s="97">
        <f t="shared" si="11"/>
        <v>1</v>
      </c>
      <c r="M23" s="39">
        <f t="shared" si="4"/>
        <v>54.999999999999993</v>
      </c>
      <c r="N23" s="39">
        <f t="shared" si="14"/>
        <v>7.1076923076923021E-4</v>
      </c>
      <c r="O23" s="39">
        <f t="shared" si="13"/>
        <v>11.549999999999999</v>
      </c>
      <c r="P23" s="39">
        <f t="shared" si="5"/>
        <v>0</v>
      </c>
      <c r="Q23" s="39">
        <f t="shared" si="6"/>
        <v>0</v>
      </c>
      <c r="X23" s="44"/>
      <c r="Y23" s="44"/>
    </row>
    <row r="24" spans="1:25" x14ac:dyDescent="0.25">
      <c r="A24" s="39">
        <f t="shared" si="0"/>
        <v>16</v>
      </c>
      <c r="B24" s="42">
        <f t="shared" si="1"/>
        <v>2.1538461538461537</v>
      </c>
      <c r="C24" s="40">
        <f t="shared" si="2"/>
        <v>0</v>
      </c>
      <c r="D24" s="38"/>
      <c r="E24" s="40">
        <f>((('Device Parmaters'!$D$35)*COUTMAX)/(1000*'Design Calculator'!$F$70))+C24</f>
        <v>36.299999999999997</v>
      </c>
      <c r="F24" s="40">
        <f t="shared" si="7"/>
        <v>0.82499999999999996</v>
      </c>
      <c r="G24" s="38">
        <f t="shared" si="8"/>
        <v>0.82499999999999996</v>
      </c>
      <c r="H24" s="40">
        <f t="shared" si="3"/>
        <v>0.82499999999999996</v>
      </c>
      <c r="I24" s="41">
        <f t="shared" si="9"/>
        <v>6.1538461538461494E-5</v>
      </c>
      <c r="J24" s="48">
        <f t="shared" si="12"/>
        <v>8.6153846153846165E-4</v>
      </c>
      <c r="K24" s="126">
        <f t="shared" si="10"/>
        <v>0.8615384615384617</v>
      </c>
      <c r="L24" s="97">
        <f t="shared" si="11"/>
        <v>1</v>
      </c>
      <c r="M24" s="39">
        <f t="shared" si="4"/>
        <v>54.999999999999993</v>
      </c>
      <c r="N24" s="39">
        <f t="shared" si="14"/>
        <v>7.0295857988165631E-4</v>
      </c>
      <c r="O24" s="39">
        <f t="shared" si="13"/>
        <v>11.423076923076923</v>
      </c>
      <c r="P24" s="39">
        <f t="shared" si="5"/>
        <v>0</v>
      </c>
      <c r="Q24" s="39">
        <f t="shared" si="6"/>
        <v>0</v>
      </c>
      <c r="X24" s="43" t="s">
        <v>111</v>
      </c>
      <c r="Y24" s="44">
        <f>SQRT(Y18^2+Y22^2)</f>
        <v>0.50990195135927852</v>
      </c>
    </row>
    <row r="25" spans="1:25" x14ac:dyDescent="0.25">
      <c r="A25" s="39">
        <f t="shared" si="0"/>
        <v>16</v>
      </c>
      <c r="B25" s="42">
        <f t="shared" si="1"/>
        <v>2.3076923076923075</v>
      </c>
      <c r="C25" s="40">
        <f t="shared" si="2"/>
        <v>0</v>
      </c>
      <c r="D25" s="38"/>
      <c r="E25" s="40">
        <f>((('Device Parmaters'!$D$35)*COUTMAX)/(1000*'Design Calculator'!$F$70))+C25</f>
        <v>36.299999999999997</v>
      </c>
      <c r="F25" s="40">
        <f t="shared" si="7"/>
        <v>0.82499999999999996</v>
      </c>
      <c r="G25" s="38">
        <f t="shared" si="8"/>
        <v>0.82499999999999996</v>
      </c>
      <c r="H25" s="40">
        <f t="shared" si="3"/>
        <v>0.82499999999999996</v>
      </c>
      <c r="I25" s="41">
        <f t="shared" si="9"/>
        <v>6.1538461538461494E-5</v>
      </c>
      <c r="J25" s="48">
        <f t="shared" si="12"/>
        <v>9.2307692307692316E-4</v>
      </c>
      <c r="K25" s="126">
        <f t="shared" si="10"/>
        <v>0.92307692307692313</v>
      </c>
      <c r="L25" s="97">
        <f t="shared" si="11"/>
        <v>1</v>
      </c>
      <c r="M25" s="39">
        <f t="shared" si="4"/>
        <v>54.999999999999993</v>
      </c>
      <c r="N25" s="39">
        <f t="shared" si="14"/>
        <v>6.9514792899408242E-4</v>
      </c>
      <c r="O25" s="39">
        <f t="shared" si="13"/>
        <v>11.296153846153846</v>
      </c>
      <c r="P25" s="39">
        <f t="shared" si="5"/>
        <v>0</v>
      </c>
      <c r="Q25" s="39">
        <f t="shared" si="6"/>
        <v>0</v>
      </c>
    </row>
    <row r="26" spans="1:25" x14ac:dyDescent="0.25">
      <c r="A26" s="39">
        <f t="shared" si="0"/>
        <v>16</v>
      </c>
      <c r="B26" s="42">
        <f t="shared" si="1"/>
        <v>2.4615384615384617</v>
      </c>
      <c r="C26" s="40">
        <f t="shared" si="2"/>
        <v>0</v>
      </c>
      <c r="D26" s="38"/>
      <c r="E26" s="40">
        <f>((('Device Parmaters'!$D$35)*COUTMAX)/(1000*'Design Calculator'!$F$70))+C26</f>
        <v>36.299999999999997</v>
      </c>
      <c r="F26" s="40">
        <f t="shared" si="7"/>
        <v>0.82499999999999996</v>
      </c>
      <c r="G26" s="38">
        <f t="shared" si="8"/>
        <v>0.82499999999999996</v>
      </c>
      <c r="H26" s="40">
        <f t="shared" si="3"/>
        <v>0.82499999999999996</v>
      </c>
      <c r="I26" s="41">
        <f t="shared" si="9"/>
        <v>6.1538461538461671E-5</v>
      </c>
      <c r="J26" s="48">
        <f t="shared" si="12"/>
        <v>9.8461538461538478E-4</v>
      </c>
      <c r="K26" s="126">
        <f t="shared" si="10"/>
        <v>0.98461538461538478</v>
      </c>
      <c r="L26" s="97">
        <f t="shared" si="11"/>
        <v>1</v>
      </c>
      <c r="M26" s="39">
        <f t="shared" si="4"/>
        <v>54.999999999999993</v>
      </c>
      <c r="N26" s="39">
        <f t="shared" si="14"/>
        <v>6.8733727810651026E-4</v>
      </c>
      <c r="O26" s="39">
        <f t="shared" si="13"/>
        <v>11.169230769230769</v>
      </c>
      <c r="P26" s="39">
        <f t="shared" si="5"/>
        <v>0</v>
      </c>
      <c r="Q26" s="39">
        <f t="shared" si="6"/>
        <v>0</v>
      </c>
    </row>
    <row r="27" spans="1:25" x14ac:dyDescent="0.25">
      <c r="A27" s="39">
        <f t="shared" si="0"/>
        <v>16</v>
      </c>
      <c r="B27" s="42">
        <f t="shared" si="1"/>
        <v>2.6153846153846154</v>
      </c>
      <c r="C27" s="40">
        <f t="shared" si="2"/>
        <v>0</v>
      </c>
      <c r="D27" s="38"/>
      <c r="E27" s="40">
        <f>((('Device Parmaters'!$D$35)*COUTMAX)/(1000*'Design Calculator'!$F$70))+C27</f>
        <v>36.299999999999997</v>
      </c>
      <c r="F27" s="40">
        <f t="shared" si="7"/>
        <v>0.82499999999999996</v>
      </c>
      <c r="G27" s="38">
        <f t="shared" si="8"/>
        <v>0.82499999999999996</v>
      </c>
      <c r="H27" s="40">
        <f t="shared" si="3"/>
        <v>0.82499999999999996</v>
      </c>
      <c r="I27" s="41">
        <f t="shared" si="9"/>
        <v>6.1538461538461494E-5</v>
      </c>
      <c r="J27" s="48">
        <f t="shared" si="12"/>
        <v>1.0461538461538462E-3</v>
      </c>
      <c r="K27" s="126">
        <f t="shared" si="10"/>
        <v>1.0461538461538462</v>
      </c>
      <c r="L27" s="97">
        <f t="shared" si="11"/>
        <v>1</v>
      </c>
      <c r="M27" s="39">
        <f t="shared" si="4"/>
        <v>54.999999999999993</v>
      </c>
      <c r="N27" s="39">
        <f t="shared" si="14"/>
        <v>6.7952662721893441E-4</v>
      </c>
      <c r="O27" s="39">
        <f t="shared" si="13"/>
        <v>11.042307692307691</v>
      </c>
      <c r="P27" s="39">
        <f t="shared" si="5"/>
        <v>0</v>
      </c>
      <c r="Q27" s="39">
        <f t="shared" si="6"/>
        <v>0</v>
      </c>
    </row>
    <row r="28" spans="1:25" x14ac:dyDescent="0.25">
      <c r="A28" s="39">
        <f t="shared" si="0"/>
        <v>16</v>
      </c>
      <c r="B28" s="42">
        <f t="shared" si="1"/>
        <v>2.7692307692307692</v>
      </c>
      <c r="C28" s="40">
        <f t="shared" si="2"/>
        <v>0</v>
      </c>
      <c r="D28" s="38"/>
      <c r="E28" s="40">
        <f>((('Device Parmaters'!$D$35)*COUTMAX)/(1000*'Design Calculator'!$F$70))+C28</f>
        <v>36.299999999999997</v>
      </c>
      <c r="F28" s="40">
        <f t="shared" si="7"/>
        <v>0.82499999999999996</v>
      </c>
      <c r="G28" s="38">
        <f t="shared" si="8"/>
        <v>0.82499999999999996</v>
      </c>
      <c r="H28" s="40">
        <f t="shared" si="3"/>
        <v>0.82499999999999996</v>
      </c>
      <c r="I28" s="41">
        <f t="shared" si="9"/>
        <v>6.1538461538461494E-5</v>
      </c>
      <c r="J28" s="48">
        <f t="shared" si="12"/>
        <v>1.1076923076923076E-3</v>
      </c>
      <c r="K28" s="126">
        <f t="shared" si="10"/>
        <v>1.1076923076923075</v>
      </c>
      <c r="L28" s="97">
        <f t="shared" si="11"/>
        <v>1</v>
      </c>
      <c r="M28" s="39">
        <f t="shared" si="4"/>
        <v>54.999999999999993</v>
      </c>
      <c r="N28" s="39">
        <f t="shared" si="14"/>
        <v>6.7171597633136041E-4</v>
      </c>
      <c r="O28" s="39">
        <f t="shared" si="13"/>
        <v>10.915384615384614</v>
      </c>
      <c r="P28" s="39">
        <f t="shared" si="5"/>
        <v>0</v>
      </c>
      <c r="Q28" s="39">
        <f t="shared" si="6"/>
        <v>0</v>
      </c>
    </row>
    <row r="29" spans="1:25" x14ac:dyDescent="0.25">
      <c r="A29" s="39">
        <f t="shared" si="0"/>
        <v>16</v>
      </c>
      <c r="B29" s="42">
        <f t="shared" si="1"/>
        <v>2.9230769230769229</v>
      </c>
      <c r="C29" s="40">
        <f t="shared" si="2"/>
        <v>0</v>
      </c>
      <c r="D29" s="38"/>
      <c r="E29" s="40">
        <f>((('Device Parmaters'!$D$35)*COUTMAX)/(1000*'Design Calculator'!$F$70))+C29</f>
        <v>36.299999999999997</v>
      </c>
      <c r="F29" s="40">
        <f t="shared" si="7"/>
        <v>0.82499999999999996</v>
      </c>
      <c r="G29" s="38">
        <f t="shared" si="8"/>
        <v>0.82499999999999996</v>
      </c>
      <c r="H29" s="40">
        <f t="shared" si="3"/>
        <v>0.82499999999999996</v>
      </c>
      <c r="I29" s="41">
        <f t="shared" si="9"/>
        <v>6.1538461538461494E-5</v>
      </c>
      <c r="J29" s="48">
        <f t="shared" si="12"/>
        <v>1.169230769230769E-3</v>
      </c>
      <c r="K29" s="126">
        <f t="shared" si="10"/>
        <v>1.1692307692307691</v>
      </c>
      <c r="L29" s="97">
        <f t="shared" si="11"/>
        <v>1</v>
      </c>
      <c r="M29" s="39">
        <f t="shared" si="4"/>
        <v>54.999999999999993</v>
      </c>
      <c r="N29" s="39">
        <f t="shared" si="14"/>
        <v>6.6390532544378651E-4</v>
      </c>
      <c r="O29" s="39">
        <f t="shared" si="13"/>
        <v>10.788461538461538</v>
      </c>
      <c r="P29" s="39">
        <f t="shared" si="5"/>
        <v>0</v>
      </c>
      <c r="Q29" s="39">
        <f t="shared" si="6"/>
        <v>0</v>
      </c>
    </row>
    <row r="30" spans="1:25" x14ac:dyDescent="0.25">
      <c r="A30" s="39">
        <f t="shared" si="0"/>
        <v>16</v>
      </c>
      <c r="B30" s="42">
        <f t="shared" si="1"/>
        <v>3.0769230769230771</v>
      </c>
      <c r="C30" s="40">
        <f t="shared" si="2"/>
        <v>0</v>
      </c>
      <c r="D30" s="38"/>
      <c r="E30" s="40">
        <f>((('Device Parmaters'!$D$35)*COUTMAX)/(1000*'Design Calculator'!$F$70))+C30</f>
        <v>36.299999999999997</v>
      </c>
      <c r="F30" s="40">
        <f t="shared" si="7"/>
        <v>0.82499999999999996</v>
      </c>
      <c r="G30" s="38">
        <f t="shared" si="8"/>
        <v>0.82499999999999996</v>
      </c>
      <c r="H30" s="40">
        <f t="shared" si="3"/>
        <v>0.82499999999999996</v>
      </c>
      <c r="I30" s="41">
        <f t="shared" si="9"/>
        <v>6.1538461538461671E-5</v>
      </c>
      <c r="J30" s="48">
        <f t="shared" si="12"/>
        <v>1.2307692307692306E-3</v>
      </c>
      <c r="K30" s="126">
        <f t="shared" si="10"/>
        <v>1.2307692307692306</v>
      </c>
      <c r="L30" s="97">
        <f t="shared" si="11"/>
        <v>1</v>
      </c>
      <c r="M30" s="39">
        <f t="shared" si="4"/>
        <v>54.999999999999993</v>
      </c>
      <c r="N30" s="39">
        <f t="shared" si="14"/>
        <v>6.5609467455621435E-4</v>
      </c>
      <c r="O30" s="39">
        <f t="shared" si="13"/>
        <v>10.661538461538461</v>
      </c>
      <c r="P30" s="39">
        <f t="shared" si="5"/>
        <v>0</v>
      </c>
      <c r="Q30" s="39">
        <f t="shared" si="6"/>
        <v>0</v>
      </c>
    </row>
    <row r="31" spans="1:25" x14ac:dyDescent="0.25">
      <c r="A31" s="39">
        <f t="shared" si="0"/>
        <v>16</v>
      </c>
      <c r="B31" s="42">
        <f t="shared" si="1"/>
        <v>3.2307692307692308</v>
      </c>
      <c r="C31" s="40">
        <f t="shared" si="2"/>
        <v>0</v>
      </c>
      <c r="D31" s="38"/>
      <c r="E31" s="40">
        <f>((('Device Parmaters'!$D$35)*COUTMAX)/(1000*'Design Calculator'!$F$70))+C31</f>
        <v>36.299999999999997</v>
      </c>
      <c r="F31" s="40">
        <f t="shared" si="7"/>
        <v>0.82499999999999996</v>
      </c>
      <c r="G31" s="38">
        <f t="shared" si="8"/>
        <v>0.82499999999999996</v>
      </c>
      <c r="H31" s="40">
        <f t="shared" si="3"/>
        <v>0.82499999999999996</v>
      </c>
      <c r="I31" s="41">
        <f t="shared" si="9"/>
        <v>6.1538461538461494E-5</v>
      </c>
      <c r="J31" s="48">
        <f t="shared" si="12"/>
        <v>1.292307692307692E-3</v>
      </c>
      <c r="K31" s="126">
        <f t="shared" si="10"/>
        <v>1.2923076923076919</v>
      </c>
      <c r="L31" s="97">
        <f t="shared" si="11"/>
        <v>1</v>
      </c>
      <c r="M31" s="39">
        <f t="shared" si="4"/>
        <v>54.999999999999993</v>
      </c>
      <c r="N31" s="39">
        <f t="shared" si="14"/>
        <v>6.4828402366863861E-4</v>
      </c>
      <c r="O31" s="39">
        <f t="shared" si="13"/>
        <v>10.534615384615385</v>
      </c>
      <c r="P31" s="39">
        <f t="shared" si="5"/>
        <v>0</v>
      </c>
      <c r="Q31" s="39">
        <f t="shared" si="6"/>
        <v>0</v>
      </c>
    </row>
    <row r="32" spans="1:25" x14ac:dyDescent="0.25">
      <c r="A32" s="39">
        <f t="shared" si="0"/>
        <v>16</v>
      </c>
      <c r="B32" s="42">
        <f t="shared" si="1"/>
        <v>3.3846153846153846</v>
      </c>
      <c r="C32" s="40">
        <f t="shared" si="2"/>
        <v>0</v>
      </c>
      <c r="D32" s="38"/>
      <c r="E32" s="40">
        <f>((('Device Parmaters'!$D$35)*COUTMAX)/(1000*'Design Calculator'!$F$70))+C32</f>
        <v>36.299999999999997</v>
      </c>
      <c r="F32" s="40">
        <f t="shared" si="7"/>
        <v>0.82499999999999996</v>
      </c>
      <c r="G32" s="38">
        <f t="shared" si="8"/>
        <v>0.82499999999999996</v>
      </c>
      <c r="H32" s="40">
        <f t="shared" si="3"/>
        <v>0.82499999999999996</v>
      </c>
      <c r="I32" s="41">
        <f t="shared" si="9"/>
        <v>6.1538461538461494E-5</v>
      </c>
      <c r="J32" s="48">
        <f t="shared" si="12"/>
        <v>1.3538461538461534E-3</v>
      </c>
      <c r="K32" s="126">
        <f t="shared" si="10"/>
        <v>1.3538461538461535</v>
      </c>
      <c r="L32" s="97">
        <f t="shared" si="11"/>
        <v>1</v>
      </c>
      <c r="M32" s="39">
        <f t="shared" si="4"/>
        <v>54.999999999999993</v>
      </c>
      <c r="N32" s="39">
        <f t="shared" si="14"/>
        <v>6.4047337278106461E-4</v>
      </c>
      <c r="O32" s="39">
        <f t="shared" si="13"/>
        <v>10.407692307692306</v>
      </c>
      <c r="P32" s="39">
        <f t="shared" si="5"/>
        <v>0</v>
      </c>
      <c r="Q32" s="39">
        <f t="shared" si="6"/>
        <v>0</v>
      </c>
    </row>
    <row r="33" spans="1:17" x14ac:dyDescent="0.25">
      <c r="A33" s="39">
        <f t="shared" si="0"/>
        <v>16</v>
      </c>
      <c r="B33" s="42">
        <f t="shared" si="1"/>
        <v>3.5384615384615383</v>
      </c>
      <c r="C33" s="40">
        <f t="shared" si="2"/>
        <v>0</v>
      </c>
      <c r="D33" s="38"/>
      <c r="E33" s="40">
        <f>((('Device Parmaters'!$D$35)*COUTMAX)/(1000*'Design Calculator'!$F$70))+C33</f>
        <v>36.299999999999997</v>
      </c>
      <c r="F33" s="40">
        <f t="shared" si="7"/>
        <v>0.82499999999999996</v>
      </c>
      <c r="G33" s="38">
        <f t="shared" si="8"/>
        <v>0.82499999999999996</v>
      </c>
      <c r="H33" s="40">
        <f t="shared" si="3"/>
        <v>0.82499999999999996</v>
      </c>
      <c r="I33" s="41">
        <f t="shared" si="9"/>
        <v>6.1538461538461494E-5</v>
      </c>
      <c r="J33" s="48">
        <f t="shared" si="12"/>
        <v>1.4153846153846148E-3</v>
      </c>
      <c r="K33" s="126">
        <f t="shared" si="10"/>
        <v>1.4153846153846148</v>
      </c>
      <c r="L33" s="97">
        <f t="shared" si="11"/>
        <v>1</v>
      </c>
      <c r="M33" s="39">
        <f t="shared" si="4"/>
        <v>54.999999999999993</v>
      </c>
      <c r="N33" s="39">
        <f t="shared" si="14"/>
        <v>6.3266272189349071E-4</v>
      </c>
      <c r="O33" s="39">
        <f t="shared" si="13"/>
        <v>10.280769230769231</v>
      </c>
      <c r="P33" s="39">
        <f t="shared" si="5"/>
        <v>0</v>
      </c>
      <c r="Q33" s="39">
        <f t="shared" si="6"/>
        <v>0</v>
      </c>
    </row>
    <row r="34" spans="1:17" x14ac:dyDescent="0.25">
      <c r="A34" s="39">
        <f t="shared" si="0"/>
        <v>16</v>
      </c>
      <c r="B34" s="42">
        <f t="shared" si="1"/>
        <v>3.6923076923076925</v>
      </c>
      <c r="C34" s="40">
        <f t="shared" si="2"/>
        <v>0</v>
      </c>
      <c r="D34" s="38"/>
      <c r="E34" s="40">
        <f>((('Device Parmaters'!$D$35)*COUTMAX)/(1000*'Design Calculator'!$F$70))+C34</f>
        <v>36.299999999999997</v>
      </c>
      <c r="F34" s="40">
        <f t="shared" si="7"/>
        <v>0.82499999999999996</v>
      </c>
      <c r="G34" s="38">
        <f t="shared" si="8"/>
        <v>0.82499999999999996</v>
      </c>
      <c r="H34" s="40">
        <f t="shared" si="3"/>
        <v>0.82499999999999996</v>
      </c>
      <c r="I34" s="41">
        <f t="shared" si="9"/>
        <v>6.1538461538461671E-5</v>
      </c>
      <c r="J34" s="48">
        <f t="shared" si="12"/>
        <v>1.4769230769230764E-3</v>
      </c>
      <c r="K34" s="126">
        <f t="shared" si="10"/>
        <v>1.4769230769230763</v>
      </c>
      <c r="L34" s="97">
        <f t="shared" si="11"/>
        <v>1</v>
      </c>
      <c r="M34" s="39">
        <f t="shared" si="4"/>
        <v>54.999999999999993</v>
      </c>
      <c r="N34" s="39">
        <f t="shared" si="14"/>
        <v>6.2485207100591844E-4</v>
      </c>
      <c r="O34" s="39">
        <f t="shared" si="13"/>
        <v>10.153846153846152</v>
      </c>
      <c r="P34" s="39">
        <f t="shared" si="5"/>
        <v>0</v>
      </c>
      <c r="Q34" s="39">
        <f t="shared" si="6"/>
        <v>0</v>
      </c>
    </row>
    <row r="35" spans="1:17" x14ac:dyDescent="0.25">
      <c r="A35" s="39">
        <f t="shared" si="0"/>
        <v>16</v>
      </c>
      <c r="B35" s="42">
        <f t="shared" si="1"/>
        <v>3.8461538461538463</v>
      </c>
      <c r="C35" s="40">
        <f t="shared" si="2"/>
        <v>0</v>
      </c>
      <c r="D35" s="38"/>
      <c r="E35" s="40">
        <f>((('Device Parmaters'!$D$35)*COUTMAX)/(1000*'Design Calculator'!$F$70))+C35</f>
        <v>36.299999999999997</v>
      </c>
      <c r="F35" s="40">
        <f t="shared" si="7"/>
        <v>0.82499999999999996</v>
      </c>
      <c r="G35" s="38">
        <f t="shared" si="8"/>
        <v>0.82499999999999996</v>
      </c>
      <c r="H35" s="40">
        <f t="shared" si="3"/>
        <v>0.82499999999999996</v>
      </c>
      <c r="I35" s="41">
        <f t="shared" si="9"/>
        <v>6.1538461538461494E-5</v>
      </c>
      <c r="J35" s="48">
        <f t="shared" si="12"/>
        <v>1.5384615384615378E-3</v>
      </c>
      <c r="K35" s="126">
        <f t="shared" si="10"/>
        <v>1.5384615384615379</v>
      </c>
      <c r="L35" s="97">
        <f t="shared" si="11"/>
        <v>1</v>
      </c>
      <c r="M35" s="39">
        <f t="shared" si="4"/>
        <v>54.999999999999993</v>
      </c>
      <c r="N35" s="39">
        <f t="shared" si="14"/>
        <v>6.1704142011834271E-4</v>
      </c>
      <c r="O35" s="39">
        <f t="shared" si="13"/>
        <v>10.026923076923076</v>
      </c>
      <c r="P35" s="39">
        <f t="shared" si="5"/>
        <v>0</v>
      </c>
      <c r="Q35" s="39">
        <f t="shared" si="6"/>
        <v>0</v>
      </c>
    </row>
    <row r="36" spans="1:17" x14ac:dyDescent="0.25">
      <c r="A36" s="39">
        <f t="shared" si="0"/>
        <v>16</v>
      </c>
      <c r="B36" s="42">
        <f t="shared" si="1"/>
        <v>4</v>
      </c>
      <c r="C36" s="40">
        <f t="shared" si="2"/>
        <v>0</v>
      </c>
      <c r="D36" s="38"/>
      <c r="E36" s="40">
        <f>((('Device Parmaters'!$D$35)*COUTMAX)/(1000*'Design Calculator'!$F$70))+C36</f>
        <v>36.299999999999997</v>
      </c>
      <c r="F36" s="40">
        <f t="shared" si="7"/>
        <v>0.82499999999999996</v>
      </c>
      <c r="G36" s="38">
        <f t="shared" si="8"/>
        <v>0.82499999999999996</v>
      </c>
      <c r="H36" s="40">
        <f t="shared" si="3"/>
        <v>0.82499999999999996</v>
      </c>
      <c r="I36" s="41">
        <f t="shared" si="9"/>
        <v>6.1538461538461494E-5</v>
      </c>
      <c r="J36" s="48">
        <f t="shared" si="12"/>
        <v>1.5999999999999992E-3</v>
      </c>
      <c r="K36" s="126">
        <f t="shared" si="10"/>
        <v>1.5999999999999992</v>
      </c>
      <c r="L36" s="97">
        <f t="shared" si="11"/>
        <v>1</v>
      </c>
      <c r="M36" s="39">
        <f t="shared" si="4"/>
        <v>54.999999999999993</v>
      </c>
      <c r="N36" s="39">
        <f t="shared" si="14"/>
        <v>6.0923076923076881E-4</v>
      </c>
      <c r="O36" s="39">
        <f t="shared" si="13"/>
        <v>9.8999999999999986</v>
      </c>
      <c r="P36" s="39">
        <f t="shared" si="5"/>
        <v>0</v>
      </c>
      <c r="Q36" s="39">
        <f t="shared" si="6"/>
        <v>0</v>
      </c>
    </row>
    <row r="37" spans="1:17" x14ac:dyDescent="0.25">
      <c r="A37" s="39">
        <f t="shared" si="0"/>
        <v>16</v>
      </c>
      <c r="B37" s="42">
        <f t="shared" si="1"/>
        <v>4.1538461538461542</v>
      </c>
      <c r="C37" s="40">
        <f t="shared" si="2"/>
        <v>0</v>
      </c>
      <c r="D37" s="38"/>
      <c r="E37" s="40">
        <f>((('Device Parmaters'!$D$35)*COUTMAX)/(1000*'Design Calculator'!$F$70))+C37</f>
        <v>36.299999999999997</v>
      </c>
      <c r="F37" s="40">
        <f t="shared" si="7"/>
        <v>0.82499999999999996</v>
      </c>
      <c r="G37" s="38">
        <f t="shared" si="8"/>
        <v>0.82499999999999996</v>
      </c>
      <c r="H37" s="40">
        <f t="shared" si="3"/>
        <v>0.82499999999999996</v>
      </c>
      <c r="I37" s="41">
        <f t="shared" si="9"/>
        <v>6.1538461538461671E-5</v>
      </c>
      <c r="J37" s="48">
        <f t="shared" si="12"/>
        <v>1.6615384615384608E-3</v>
      </c>
      <c r="K37" s="126">
        <f t="shared" si="10"/>
        <v>1.6615384615384607</v>
      </c>
      <c r="L37" s="97">
        <f t="shared" si="11"/>
        <v>1</v>
      </c>
      <c r="M37" s="39">
        <f t="shared" si="4"/>
        <v>54.999999999999993</v>
      </c>
      <c r="N37" s="39">
        <f t="shared" si="14"/>
        <v>6.0142011834319654E-4</v>
      </c>
      <c r="O37" s="39">
        <f t="shared" si="13"/>
        <v>9.773076923076923</v>
      </c>
      <c r="P37" s="39">
        <f t="shared" si="5"/>
        <v>0</v>
      </c>
      <c r="Q37" s="39">
        <f t="shared" si="6"/>
        <v>0</v>
      </c>
    </row>
    <row r="38" spans="1:17" x14ac:dyDescent="0.25">
      <c r="A38" s="39">
        <f t="shared" si="0"/>
        <v>16</v>
      </c>
      <c r="B38" s="42">
        <f t="shared" si="1"/>
        <v>4.3076923076923075</v>
      </c>
      <c r="C38" s="40">
        <f t="shared" si="2"/>
        <v>0</v>
      </c>
      <c r="D38" s="38"/>
      <c r="E38" s="40">
        <f>((('Device Parmaters'!$D$35)*COUTMAX)/(1000*'Design Calculator'!$F$70))+C38</f>
        <v>36.299999999999997</v>
      </c>
      <c r="F38" s="40">
        <f t="shared" si="7"/>
        <v>0.82499999999999996</v>
      </c>
      <c r="G38" s="38">
        <f t="shared" si="8"/>
        <v>0.82499999999999996</v>
      </c>
      <c r="H38" s="40">
        <f t="shared" si="3"/>
        <v>0.82499999999999996</v>
      </c>
      <c r="I38" s="41">
        <f t="shared" si="9"/>
        <v>6.1538461538461318E-5</v>
      </c>
      <c r="J38" s="48">
        <f t="shared" si="12"/>
        <v>1.7230769230769222E-3</v>
      </c>
      <c r="K38" s="126">
        <f t="shared" si="10"/>
        <v>1.7230769230769223</v>
      </c>
      <c r="L38" s="97">
        <f t="shared" si="11"/>
        <v>1</v>
      </c>
      <c r="M38" s="39">
        <f t="shared" si="4"/>
        <v>54.999999999999993</v>
      </c>
      <c r="N38" s="39">
        <f t="shared" si="14"/>
        <v>5.9360946745561918E-4</v>
      </c>
      <c r="O38" s="39">
        <f t="shared" si="13"/>
        <v>9.6461538461538474</v>
      </c>
      <c r="P38" s="39">
        <f t="shared" si="5"/>
        <v>0</v>
      </c>
      <c r="Q38" s="39">
        <f t="shared" si="6"/>
        <v>0</v>
      </c>
    </row>
    <row r="39" spans="1:17" x14ac:dyDescent="0.25">
      <c r="A39" s="39">
        <f t="shared" si="0"/>
        <v>16</v>
      </c>
      <c r="B39" s="42">
        <f t="shared" si="1"/>
        <v>4.4615384615384617</v>
      </c>
      <c r="C39" s="40">
        <f t="shared" si="2"/>
        <v>0</v>
      </c>
      <c r="D39" s="38"/>
      <c r="E39" s="40">
        <f>((('Device Parmaters'!$D$35)*COUTMAX)/(1000*'Design Calculator'!$F$70))+C39</f>
        <v>36.299999999999997</v>
      </c>
      <c r="F39" s="40">
        <f t="shared" si="7"/>
        <v>0.82499999999999996</v>
      </c>
      <c r="G39" s="38">
        <f t="shared" si="8"/>
        <v>0.82499999999999996</v>
      </c>
      <c r="H39" s="40">
        <f t="shared" si="3"/>
        <v>0.82499999999999996</v>
      </c>
      <c r="I39" s="41">
        <f t="shared" si="9"/>
        <v>6.1538461538461671E-5</v>
      </c>
      <c r="J39" s="48">
        <f t="shared" si="12"/>
        <v>1.7846153846153838E-3</v>
      </c>
      <c r="K39" s="126">
        <f t="shared" si="10"/>
        <v>1.7846153846153838</v>
      </c>
      <c r="L39" s="97">
        <f t="shared" si="11"/>
        <v>1</v>
      </c>
      <c r="M39" s="39">
        <f t="shared" si="4"/>
        <v>54.999999999999993</v>
      </c>
      <c r="N39" s="39">
        <f t="shared" si="14"/>
        <v>5.8579881656804853E-4</v>
      </c>
      <c r="O39" s="39">
        <f t="shared" si="13"/>
        <v>9.5192307692307683</v>
      </c>
      <c r="P39" s="39">
        <f t="shared" si="5"/>
        <v>0</v>
      </c>
      <c r="Q39" s="39">
        <f t="shared" si="6"/>
        <v>0</v>
      </c>
    </row>
    <row r="40" spans="1:17" x14ac:dyDescent="0.25">
      <c r="A40" s="39">
        <f t="shared" si="0"/>
        <v>16</v>
      </c>
      <c r="B40" s="42">
        <f t="shared" si="1"/>
        <v>4.615384615384615</v>
      </c>
      <c r="C40" s="40">
        <f t="shared" si="2"/>
        <v>0</v>
      </c>
      <c r="D40" s="38"/>
      <c r="E40" s="40">
        <f>((('Device Parmaters'!$D$35)*COUTMAX)/(1000*'Design Calculator'!$F$70))+C40</f>
        <v>36.299999999999997</v>
      </c>
      <c r="F40" s="40">
        <f t="shared" si="7"/>
        <v>0.82499999999999996</v>
      </c>
      <c r="G40" s="38">
        <f t="shared" si="8"/>
        <v>0.82499999999999996</v>
      </c>
      <c r="H40" s="40">
        <f t="shared" si="3"/>
        <v>0.82499999999999996</v>
      </c>
      <c r="I40" s="41">
        <f t="shared" si="9"/>
        <v>6.1538461538461318E-5</v>
      </c>
      <c r="J40" s="48">
        <f t="shared" si="12"/>
        <v>1.8461538461538452E-3</v>
      </c>
      <c r="K40" s="126">
        <f t="shared" si="10"/>
        <v>1.8461538461538451</v>
      </c>
      <c r="L40" s="97">
        <f t="shared" si="11"/>
        <v>1</v>
      </c>
      <c r="M40" s="39">
        <f t="shared" si="4"/>
        <v>54.999999999999993</v>
      </c>
      <c r="N40" s="39">
        <f t="shared" si="14"/>
        <v>5.7798816568047128E-4</v>
      </c>
      <c r="O40" s="39">
        <f t="shared" si="13"/>
        <v>9.3923076923076927</v>
      </c>
      <c r="P40" s="39">
        <f t="shared" si="5"/>
        <v>0</v>
      </c>
      <c r="Q40" s="39">
        <f t="shared" si="6"/>
        <v>0</v>
      </c>
    </row>
    <row r="41" spans="1:17" x14ac:dyDescent="0.25">
      <c r="A41" s="39">
        <f t="shared" si="0"/>
        <v>16</v>
      </c>
      <c r="B41" s="42">
        <f t="shared" si="1"/>
        <v>4.7692307692307692</v>
      </c>
      <c r="C41" s="40">
        <f t="shared" si="2"/>
        <v>0</v>
      </c>
      <c r="D41" s="38"/>
      <c r="E41" s="40">
        <f>((('Device Parmaters'!$D$35)*COUTMAX)/(1000*'Design Calculator'!$F$70))+C41</f>
        <v>36.299999999999997</v>
      </c>
      <c r="F41" s="40">
        <f t="shared" si="7"/>
        <v>0.82499999999999996</v>
      </c>
      <c r="G41" s="38">
        <f t="shared" si="8"/>
        <v>0.82499999999999996</v>
      </c>
      <c r="H41" s="40">
        <f t="shared" si="3"/>
        <v>0.82499999999999996</v>
      </c>
      <c r="I41" s="41">
        <f t="shared" si="9"/>
        <v>6.1538461538461671E-5</v>
      </c>
      <c r="J41" s="48">
        <f t="shared" si="12"/>
        <v>1.9076923076923069E-3</v>
      </c>
      <c r="K41" s="126">
        <f t="shared" si="10"/>
        <v>1.9076923076923069</v>
      </c>
      <c r="L41" s="97">
        <f t="shared" si="11"/>
        <v>1</v>
      </c>
      <c r="M41" s="39">
        <f t="shared" si="4"/>
        <v>54.999999999999993</v>
      </c>
      <c r="N41" s="39">
        <f t="shared" si="14"/>
        <v>5.7017751479290053E-4</v>
      </c>
      <c r="O41" s="39">
        <f t="shared" si="13"/>
        <v>9.2653846153846136</v>
      </c>
      <c r="P41" s="39">
        <f t="shared" si="5"/>
        <v>0</v>
      </c>
      <c r="Q41" s="39">
        <f t="shared" si="6"/>
        <v>0</v>
      </c>
    </row>
    <row r="42" spans="1:17" x14ac:dyDescent="0.25">
      <c r="A42" s="39">
        <f t="shared" ref="A42:A73" si="15">VINMAX</f>
        <v>16</v>
      </c>
      <c r="B42" s="42">
        <f t="shared" ref="B42:B73" si="16">VINMAX*((ROW()-10)/104)</f>
        <v>4.9230769230769234</v>
      </c>
      <c r="C42" s="40">
        <f t="shared" ref="C42:C73" si="17">IF(B42&gt;=$H$2,IF($D$2="CC", $G$2, B42/$G$2), 0)</f>
        <v>0</v>
      </c>
      <c r="D42" s="38"/>
      <c r="E42" s="40">
        <f>((('Device Parmaters'!$D$35)*COUTMAX)/(1000*'Design Calculator'!$F$70))+C42</f>
        <v>36.299999999999997</v>
      </c>
      <c r="F42" s="40">
        <f t="shared" ref="F42:F73" si="18">I_Cout_ss+C42</f>
        <v>0.82499999999999996</v>
      </c>
      <c r="G42" s="38">
        <f t="shared" si="8"/>
        <v>0.82499999999999996</v>
      </c>
      <c r="H42" s="40">
        <f t="shared" ref="H42:H73" si="19">G42-C42</f>
        <v>0.82499999999999996</v>
      </c>
      <c r="I42" s="41">
        <f t="shared" si="9"/>
        <v>6.1538461538461671E-5</v>
      </c>
      <c r="J42" s="48">
        <f t="shared" si="12"/>
        <v>1.9692307692307687E-3</v>
      </c>
      <c r="K42" s="126">
        <f t="shared" si="10"/>
        <v>1.9692307692307687</v>
      </c>
      <c r="L42" s="97">
        <f t="shared" si="11"/>
        <v>1</v>
      </c>
      <c r="M42" s="39">
        <f t="shared" ref="M42:M73" si="20">1/COUTMAX*(E42/2-C42)*1000</f>
        <v>54.999999999999993</v>
      </c>
      <c r="N42" s="39">
        <f t="shared" si="14"/>
        <v>5.6236686390532663E-4</v>
      </c>
      <c r="O42" s="39">
        <f t="shared" si="13"/>
        <v>9.138461538461538</v>
      </c>
      <c r="P42" s="39">
        <f t="shared" ref="P42:P73" si="21">(A42-B42)*(I_Cout_ss*$Q$2+C42)</f>
        <v>0</v>
      </c>
      <c r="Q42" s="39">
        <f t="shared" ref="Q42:Q73" si="22">(A42-B42)*(I_Cout_ss*$R$2+C42)</f>
        <v>0</v>
      </c>
    </row>
    <row r="43" spans="1:17" x14ac:dyDescent="0.25">
      <c r="A43" s="39">
        <f t="shared" si="15"/>
        <v>16</v>
      </c>
      <c r="B43" s="42">
        <f t="shared" si="16"/>
        <v>5.0769230769230766</v>
      </c>
      <c r="C43" s="40">
        <f t="shared" si="17"/>
        <v>0</v>
      </c>
      <c r="D43" s="38"/>
      <c r="E43" s="40">
        <f>((('Device Parmaters'!$D$35)*COUTMAX)/(1000*'Design Calculator'!$F$70))+C43</f>
        <v>36.299999999999997</v>
      </c>
      <c r="F43" s="40">
        <f t="shared" si="18"/>
        <v>0.82499999999999996</v>
      </c>
      <c r="G43" s="38">
        <f t="shared" si="8"/>
        <v>0.82499999999999996</v>
      </c>
      <c r="H43" s="40">
        <f t="shared" si="19"/>
        <v>0.82499999999999996</v>
      </c>
      <c r="I43" s="41">
        <f t="shared" ref="I43:I74" si="23">(COUTMAX/1000000)*(B43-B42)/H43</f>
        <v>6.1538461538461318E-5</v>
      </c>
      <c r="J43" s="48">
        <f t="shared" si="12"/>
        <v>2.0307692307692301E-3</v>
      </c>
      <c r="K43" s="126">
        <f t="shared" si="10"/>
        <v>2.0307692307692302</v>
      </c>
      <c r="L43" s="97">
        <f t="shared" si="11"/>
        <v>1</v>
      </c>
      <c r="M43" s="39">
        <f t="shared" si="20"/>
        <v>54.999999999999993</v>
      </c>
      <c r="N43" s="39">
        <f t="shared" si="14"/>
        <v>5.5455621301774948E-4</v>
      </c>
      <c r="O43" s="39">
        <f t="shared" si="13"/>
        <v>9.0115384615384606</v>
      </c>
      <c r="P43" s="39">
        <f t="shared" si="21"/>
        <v>0</v>
      </c>
      <c r="Q43" s="39">
        <f t="shared" si="22"/>
        <v>0</v>
      </c>
    </row>
    <row r="44" spans="1:17" x14ac:dyDescent="0.25">
      <c r="A44" s="39">
        <f t="shared" si="15"/>
        <v>16</v>
      </c>
      <c r="B44" s="42">
        <f t="shared" si="16"/>
        <v>5.2307692307692308</v>
      </c>
      <c r="C44" s="40">
        <f t="shared" si="17"/>
        <v>0</v>
      </c>
      <c r="D44" s="38"/>
      <c r="E44" s="40">
        <f>((('Device Parmaters'!$D$35)*COUTMAX)/(1000*'Design Calculator'!$F$70))+C44</f>
        <v>36.299999999999997</v>
      </c>
      <c r="F44" s="40">
        <f t="shared" si="18"/>
        <v>0.82499999999999996</v>
      </c>
      <c r="G44" s="38">
        <f t="shared" si="8"/>
        <v>0.82499999999999996</v>
      </c>
      <c r="H44" s="40">
        <f t="shared" si="19"/>
        <v>0.82499999999999996</v>
      </c>
      <c r="I44" s="41">
        <f t="shared" si="23"/>
        <v>6.1538461538461671E-5</v>
      </c>
      <c r="J44" s="48">
        <f t="shared" si="12"/>
        <v>2.0923076923076919E-3</v>
      </c>
      <c r="K44" s="126">
        <f t="shared" si="10"/>
        <v>2.092307692307692</v>
      </c>
      <c r="L44" s="97">
        <f t="shared" si="11"/>
        <v>1</v>
      </c>
      <c r="M44" s="39">
        <f t="shared" si="20"/>
        <v>54.999999999999993</v>
      </c>
      <c r="N44" s="39">
        <f t="shared" si="14"/>
        <v>5.4674556213017873E-4</v>
      </c>
      <c r="O44" s="39">
        <f t="shared" si="13"/>
        <v>8.884615384615385</v>
      </c>
      <c r="P44" s="39">
        <f t="shared" si="21"/>
        <v>0</v>
      </c>
      <c r="Q44" s="39">
        <f t="shared" si="22"/>
        <v>0</v>
      </c>
    </row>
    <row r="45" spans="1:17" x14ac:dyDescent="0.25">
      <c r="A45" s="39">
        <f t="shared" si="15"/>
        <v>16</v>
      </c>
      <c r="B45" s="42">
        <f t="shared" si="16"/>
        <v>5.384615384615385</v>
      </c>
      <c r="C45" s="40">
        <f t="shared" si="17"/>
        <v>0</v>
      </c>
      <c r="D45" s="38"/>
      <c r="E45" s="40">
        <f>((('Device Parmaters'!$D$35)*COUTMAX)/(1000*'Design Calculator'!$F$70))+C45</f>
        <v>36.299999999999997</v>
      </c>
      <c r="F45" s="40">
        <f t="shared" si="18"/>
        <v>0.82499999999999996</v>
      </c>
      <c r="G45" s="38">
        <f t="shared" si="8"/>
        <v>0.82499999999999996</v>
      </c>
      <c r="H45" s="40">
        <f t="shared" si="19"/>
        <v>0.82499999999999996</v>
      </c>
      <c r="I45" s="41">
        <f t="shared" si="23"/>
        <v>6.1538461538461671E-5</v>
      </c>
      <c r="J45" s="48">
        <f t="shared" si="12"/>
        <v>2.1538461538461538E-3</v>
      </c>
      <c r="K45" s="126">
        <f t="shared" si="10"/>
        <v>2.1538461538461537</v>
      </c>
      <c r="L45" s="97">
        <f t="shared" si="11"/>
        <v>1</v>
      </c>
      <c r="M45" s="39">
        <f t="shared" si="20"/>
        <v>54.999999999999993</v>
      </c>
      <c r="N45" s="39">
        <f t="shared" si="14"/>
        <v>5.3893491124260462E-4</v>
      </c>
      <c r="O45" s="39">
        <f t="shared" si="13"/>
        <v>8.7576923076923077</v>
      </c>
      <c r="P45" s="39">
        <f t="shared" si="21"/>
        <v>0</v>
      </c>
      <c r="Q45" s="39">
        <f t="shared" si="22"/>
        <v>0</v>
      </c>
    </row>
    <row r="46" spans="1:17" x14ac:dyDescent="0.25">
      <c r="A46" s="39">
        <f t="shared" si="15"/>
        <v>16</v>
      </c>
      <c r="B46" s="42">
        <f t="shared" si="16"/>
        <v>5.5384615384615383</v>
      </c>
      <c r="C46" s="40">
        <f t="shared" si="17"/>
        <v>0</v>
      </c>
      <c r="D46" s="38"/>
      <c r="E46" s="40">
        <f>((('Device Parmaters'!$D$35)*COUTMAX)/(1000*'Design Calculator'!$F$70))+C46</f>
        <v>36.299999999999997</v>
      </c>
      <c r="F46" s="40">
        <f t="shared" si="18"/>
        <v>0.82499999999999996</v>
      </c>
      <c r="G46" s="38">
        <f t="shared" si="8"/>
        <v>0.82499999999999996</v>
      </c>
      <c r="H46" s="40">
        <f t="shared" si="19"/>
        <v>0.82499999999999996</v>
      </c>
      <c r="I46" s="41">
        <f t="shared" si="23"/>
        <v>6.1538461538461318E-5</v>
      </c>
      <c r="J46" s="48">
        <f t="shared" si="12"/>
        <v>2.2153846153846152E-3</v>
      </c>
      <c r="K46" s="126">
        <f t="shared" si="10"/>
        <v>2.2153846153846151</v>
      </c>
      <c r="L46" s="97">
        <f t="shared" si="11"/>
        <v>1</v>
      </c>
      <c r="M46" s="39">
        <f t="shared" si="20"/>
        <v>54.999999999999993</v>
      </c>
      <c r="N46" s="39">
        <f t="shared" si="14"/>
        <v>5.3112426035502769E-4</v>
      </c>
      <c r="O46" s="39">
        <f t="shared" si="13"/>
        <v>8.6307692307692303</v>
      </c>
      <c r="P46" s="39">
        <f t="shared" si="21"/>
        <v>0</v>
      </c>
      <c r="Q46" s="39">
        <f t="shared" si="22"/>
        <v>0</v>
      </c>
    </row>
    <row r="47" spans="1:17" x14ac:dyDescent="0.25">
      <c r="A47" s="39">
        <f t="shared" si="15"/>
        <v>16</v>
      </c>
      <c r="B47" s="42">
        <f t="shared" si="16"/>
        <v>5.6923076923076925</v>
      </c>
      <c r="C47" s="40">
        <f t="shared" si="17"/>
        <v>0</v>
      </c>
      <c r="D47" s="38"/>
      <c r="E47" s="40">
        <f>((('Device Parmaters'!$D$35)*COUTMAX)/(1000*'Design Calculator'!$F$70))+C47</f>
        <v>36.299999999999997</v>
      </c>
      <c r="F47" s="40">
        <f t="shared" si="18"/>
        <v>0.82499999999999996</v>
      </c>
      <c r="G47" s="38">
        <f t="shared" si="8"/>
        <v>0.82499999999999996</v>
      </c>
      <c r="H47" s="40">
        <f t="shared" si="19"/>
        <v>0.82499999999999996</v>
      </c>
      <c r="I47" s="41">
        <f t="shared" si="23"/>
        <v>6.1538461538461671E-5</v>
      </c>
      <c r="J47" s="48">
        <f t="shared" si="12"/>
        <v>2.276923076923077E-3</v>
      </c>
      <c r="K47" s="126">
        <f t="shared" si="10"/>
        <v>2.2769230769230768</v>
      </c>
      <c r="L47" s="97">
        <f t="shared" si="11"/>
        <v>1</v>
      </c>
      <c r="M47" s="39">
        <f t="shared" si="20"/>
        <v>54.999999999999993</v>
      </c>
      <c r="N47" s="39">
        <f t="shared" si="14"/>
        <v>5.2331360946745661E-4</v>
      </c>
      <c r="O47" s="39">
        <f t="shared" si="13"/>
        <v>8.5038461538461529</v>
      </c>
      <c r="P47" s="39">
        <f t="shared" si="21"/>
        <v>0</v>
      </c>
      <c r="Q47" s="39">
        <f t="shared" si="22"/>
        <v>0</v>
      </c>
    </row>
    <row r="48" spans="1:17" x14ac:dyDescent="0.25">
      <c r="A48" s="39">
        <f t="shared" si="15"/>
        <v>16</v>
      </c>
      <c r="B48" s="42">
        <f t="shared" si="16"/>
        <v>5.8461538461538458</v>
      </c>
      <c r="C48" s="40">
        <f t="shared" si="17"/>
        <v>0</v>
      </c>
      <c r="D48" s="38"/>
      <c r="E48" s="40">
        <f>((('Device Parmaters'!$D$35)*COUTMAX)/(1000*'Design Calculator'!$F$70))+C48</f>
        <v>36.299999999999997</v>
      </c>
      <c r="F48" s="40">
        <f t="shared" si="18"/>
        <v>0.82499999999999996</v>
      </c>
      <c r="G48" s="38">
        <f t="shared" si="8"/>
        <v>0.82499999999999996</v>
      </c>
      <c r="H48" s="40">
        <f t="shared" si="19"/>
        <v>0.82499999999999996</v>
      </c>
      <c r="I48" s="41">
        <f t="shared" si="23"/>
        <v>6.1538461538461318E-5</v>
      </c>
      <c r="J48" s="48">
        <f t="shared" si="12"/>
        <v>2.3384615384615384E-3</v>
      </c>
      <c r="K48" s="126">
        <f t="shared" si="10"/>
        <v>2.3384615384615386</v>
      </c>
      <c r="L48" s="97">
        <f t="shared" si="11"/>
        <v>1</v>
      </c>
      <c r="M48" s="39">
        <f t="shared" si="20"/>
        <v>54.999999999999993</v>
      </c>
      <c r="N48" s="39">
        <f t="shared" si="14"/>
        <v>5.1550295857987968E-4</v>
      </c>
      <c r="O48" s="39">
        <f t="shared" si="13"/>
        <v>8.3769230769230756</v>
      </c>
      <c r="P48" s="39">
        <f t="shared" si="21"/>
        <v>0</v>
      </c>
      <c r="Q48" s="39">
        <f t="shared" si="22"/>
        <v>0</v>
      </c>
    </row>
    <row r="49" spans="1:17" x14ac:dyDescent="0.25">
      <c r="A49" s="39">
        <f t="shared" si="15"/>
        <v>16</v>
      </c>
      <c r="B49" s="42">
        <f t="shared" si="16"/>
        <v>6</v>
      </c>
      <c r="C49" s="40">
        <f t="shared" si="17"/>
        <v>2</v>
      </c>
      <c r="D49" s="38"/>
      <c r="E49" s="40">
        <f>((('Device Parmaters'!$D$35)*COUTMAX)/(1000*'Design Calculator'!$F$70))+C49</f>
        <v>38.299999999999997</v>
      </c>
      <c r="F49" s="40">
        <f t="shared" si="18"/>
        <v>2.8250000000000002</v>
      </c>
      <c r="G49" s="38">
        <f t="shared" si="8"/>
        <v>2.8250000000000002</v>
      </c>
      <c r="H49" s="40">
        <f t="shared" si="19"/>
        <v>0.82500000000000018</v>
      </c>
      <c r="I49" s="41">
        <f t="shared" si="23"/>
        <v>6.1538461538461657E-5</v>
      </c>
      <c r="J49" s="48">
        <f t="shared" si="12"/>
        <v>2.4000000000000002E-3</v>
      </c>
      <c r="K49" s="126">
        <f t="shared" si="10"/>
        <v>2.4000000000000004</v>
      </c>
      <c r="L49" s="97">
        <f t="shared" si="11"/>
        <v>0.29203539823008856</v>
      </c>
      <c r="M49" s="39">
        <f t="shared" si="20"/>
        <v>51.969696969696962</v>
      </c>
      <c r="N49" s="39">
        <f t="shared" si="14"/>
        <v>1.738461538461542E-3</v>
      </c>
      <c r="O49" s="39">
        <f t="shared" si="13"/>
        <v>28.25</v>
      </c>
      <c r="P49" s="39">
        <f t="shared" si="21"/>
        <v>20</v>
      </c>
      <c r="Q49" s="39">
        <f t="shared" si="22"/>
        <v>20</v>
      </c>
    </row>
    <row r="50" spans="1:17" x14ac:dyDescent="0.25">
      <c r="A50" s="39">
        <f t="shared" si="15"/>
        <v>16</v>
      </c>
      <c r="B50" s="42">
        <f t="shared" si="16"/>
        <v>6.1538461538461542</v>
      </c>
      <c r="C50" s="40">
        <f t="shared" si="17"/>
        <v>2.0512820512820515</v>
      </c>
      <c r="D50" s="38"/>
      <c r="E50" s="40">
        <f>((('Device Parmaters'!$D$35)*COUTMAX)/(1000*'Design Calculator'!$F$70))+C50</f>
        <v>38.351282051282048</v>
      </c>
      <c r="F50" s="40">
        <f t="shared" si="18"/>
        <v>2.8762820512820513</v>
      </c>
      <c r="G50" s="38">
        <f t="shared" si="8"/>
        <v>2.8762820512820513</v>
      </c>
      <c r="H50" s="40">
        <f t="shared" si="19"/>
        <v>0.82499999999999973</v>
      </c>
      <c r="I50" s="41">
        <f t="shared" si="23"/>
        <v>6.1538461538461698E-5</v>
      </c>
      <c r="J50" s="48">
        <f t="shared" si="12"/>
        <v>2.4615384615384621E-3</v>
      </c>
      <c r="K50" s="126">
        <f t="shared" si="10"/>
        <v>2.4615384615384621</v>
      </c>
      <c r="L50" s="97">
        <f t="shared" si="11"/>
        <v>0.28682861600178283</v>
      </c>
      <c r="M50" s="39">
        <f t="shared" si="20"/>
        <v>51.891996891996889</v>
      </c>
      <c r="N50" s="39">
        <f t="shared" si="14"/>
        <v>1.7427886511910227E-3</v>
      </c>
      <c r="O50" s="39">
        <f t="shared" si="13"/>
        <v>28.320315581854047</v>
      </c>
      <c r="P50" s="39">
        <f t="shared" si="21"/>
        <v>20.197238658777124</v>
      </c>
      <c r="Q50" s="39">
        <f t="shared" si="22"/>
        <v>20.197238658777124</v>
      </c>
    </row>
    <row r="51" spans="1:17" x14ac:dyDescent="0.25">
      <c r="A51" s="39">
        <f t="shared" si="15"/>
        <v>16</v>
      </c>
      <c r="B51" s="42">
        <f t="shared" si="16"/>
        <v>6.3076923076923075</v>
      </c>
      <c r="C51" s="40">
        <f t="shared" si="17"/>
        <v>2.1025641025641026</v>
      </c>
      <c r="D51" s="38"/>
      <c r="E51" s="40">
        <f>((('Device Parmaters'!$D$35)*COUTMAX)/(1000*'Design Calculator'!$F$70))+C51</f>
        <v>38.402564102564099</v>
      </c>
      <c r="F51" s="40">
        <f t="shared" si="18"/>
        <v>2.9275641025641024</v>
      </c>
      <c r="G51" s="38">
        <f t="shared" si="8"/>
        <v>2.9275641025641024</v>
      </c>
      <c r="H51" s="40">
        <f t="shared" si="19"/>
        <v>0.82499999999999973</v>
      </c>
      <c r="I51" s="41">
        <f t="shared" si="23"/>
        <v>6.1538461538461345E-5</v>
      </c>
      <c r="J51" s="48">
        <f t="shared" si="12"/>
        <v>2.5230769230769235E-3</v>
      </c>
      <c r="K51" s="126">
        <f t="shared" si="10"/>
        <v>2.5230769230769234</v>
      </c>
      <c r="L51" s="97">
        <f t="shared" si="11"/>
        <v>0.28180424786511926</v>
      </c>
      <c r="M51" s="39">
        <f t="shared" si="20"/>
        <v>51.81429681429681</v>
      </c>
      <c r="N51" s="39">
        <f t="shared" si="14"/>
        <v>1.746144742831128E-3</v>
      </c>
      <c r="O51" s="39">
        <f t="shared" si="13"/>
        <v>28.374852071005918</v>
      </c>
      <c r="P51" s="39">
        <f t="shared" si="21"/>
        <v>20.378698224852073</v>
      </c>
      <c r="Q51" s="39">
        <f t="shared" si="22"/>
        <v>20.378698224852073</v>
      </c>
    </row>
    <row r="52" spans="1:17" x14ac:dyDescent="0.25">
      <c r="A52" s="39">
        <f t="shared" si="15"/>
        <v>16</v>
      </c>
      <c r="B52" s="42">
        <f t="shared" si="16"/>
        <v>6.4615384615384617</v>
      </c>
      <c r="C52" s="40">
        <f t="shared" si="17"/>
        <v>2.1538461538461537</v>
      </c>
      <c r="D52" s="38"/>
      <c r="E52" s="40">
        <f>((('Device Parmaters'!$D$35)*COUTMAX)/(1000*'Design Calculator'!$F$70))+C52</f>
        <v>38.45384615384615</v>
      </c>
      <c r="F52" s="40">
        <f t="shared" si="18"/>
        <v>2.9788461538461535</v>
      </c>
      <c r="G52" s="38">
        <f t="shared" si="8"/>
        <v>2.9788461538461535</v>
      </c>
      <c r="H52" s="40">
        <f t="shared" si="19"/>
        <v>0.82499999999999973</v>
      </c>
      <c r="I52" s="41">
        <f t="shared" si="23"/>
        <v>6.1538461538461698E-5</v>
      </c>
      <c r="J52" s="48">
        <f t="shared" si="12"/>
        <v>2.5846153846153853E-3</v>
      </c>
      <c r="K52" s="126">
        <f t="shared" si="10"/>
        <v>2.5846153846153852</v>
      </c>
      <c r="L52" s="97">
        <f t="shared" si="11"/>
        <v>0.27695287282117492</v>
      </c>
      <c r="M52" s="39">
        <f t="shared" si="20"/>
        <v>51.736596736596731</v>
      </c>
      <c r="N52" s="39">
        <f t="shared" si="14"/>
        <v>1.7485298133818887E-3</v>
      </c>
      <c r="O52" s="39">
        <f t="shared" si="13"/>
        <v>28.413609467455618</v>
      </c>
      <c r="P52" s="39">
        <f t="shared" si="21"/>
        <v>20.54437869822485</v>
      </c>
      <c r="Q52" s="39">
        <f t="shared" si="22"/>
        <v>20.54437869822485</v>
      </c>
    </row>
    <row r="53" spans="1:17" x14ac:dyDescent="0.25">
      <c r="A53" s="39">
        <f t="shared" si="15"/>
        <v>16</v>
      </c>
      <c r="B53" s="42">
        <f t="shared" si="16"/>
        <v>6.615384615384615</v>
      </c>
      <c r="C53" s="40">
        <f t="shared" si="17"/>
        <v>2.2051282051282048</v>
      </c>
      <c r="D53" s="38"/>
      <c r="E53" s="40">
        <f>((('Device Parmaters'!$D$35)*COUTMAX)/(1000*'Design Calculator'!$F$70))+C53</f>
        <v>38.505128205128202</v>
      </c>
      <c r="F53" s="40">
        <f t="shared" si="18"/>
        <v>3.0301282051282046</v>
      </c>
      <c r="G53" s="38">
        <f t="shared" si="8"/>
        <v>3.0301282051282046</v>
      </c>
      <c r="H53" s="40">
        <f t="shared" si="19"/>
        <v>0.82499999999999973</v>
      </c>
      <c r="I53" s="41">
        <f t="shared" si="23"/>
        <v>6.1538461538461345E-5</v>
      </c>
      <c r="J53" s="48">
        <f t="shared" si="12"/>
        <v>2.6461538461538467E-3</v>
      </c>
      <c r="K53" s="126">
        <f t="shared" si="10"/>
        <v>2.6461538461538465</v>
      </c>
      <c r="L53" s="97">
        <f t="shared" si="11"/>
        <v>0.27226570763697899</v>
      </c>
      <c r="M53" s="39">
        <f t="shared" si="20"/>
        <v>51.658896658896658</v>
      </c>
      <c r="N53" s="39">
        <f t="shared" si="14"/>
        <v>1.7499438628432655E-3</v>
      </c>
      <c r="O53" s="39">
        <f t="shared" si="13"/>
        <v>28.436587771203151</v>
      </c>
      <c r="P53" s="39">
        <f t="shared" si="21"/>
        <v>20.694280078895464</v>
      </c>
      <c r="Q53" s="39">
        <f t="shared" si="22"/>
        <v>20.694280078895464</v>
      </c>
    </row>
    <row r="54" spans="1:17" x14ac:dyDescent="0.25">
      <c r="A54" s="39">
        <f t="shared" si="15"/>
        <v>16</v>
      </c>
      <c r="B54" s="42">
        <f t="shared" si="16"/>
        <v>6.7692307692307692</v>
      </c>
      <c r="C54" s="40">
        <f t="shared" si="17"/>
        <v>2.2564102564102564</v>
      </c>
      <c r="D54" s="38"/>
      <c r="E54" s="40">
        <f>((('Device Parmaters'!$D$35)*COUTMAX)/(1000*'Design Calculator'!$F$70))+C54</f>
        <v>38.556410256410253</v>
      </c>
      <c r="F54" s="40">
        <f t="shared" si="18"/>
        <v>3.0814102564102566</v>
      </c>
      <c r="G54" s="38">
        <f t="shared" si="8"/>
        <v>3.0814102564102566</v>
      </c>
      <c r="H54" s="40">
        <f t="shared" si="19"/>
        <v>0.82500000000000018</v>
      </c>
      <c r="I54" s="41">
        <f t="shared" si="23"/>
        <v>6.1538461538461657E-5</v>
      </c>
      <c r="J54" s="48">
        <f t="shared" si="12"/>
        <v>2.7076923076923085E-3</v>
      </c>
      <c r="K54" s="126">
        <f t="shared" si="10"/>
        <v>2.7076923076923087</v>
      </c>
      <c r="L54" s="97">
        <f t="shared" si="11"/>
        <v>0.26773455377574373</v>
      </c>
      <c r="M54" s="39">
        <f t="shared" si="20"/>
        <v>51.581196581196579</v>
      </c>
      <c r="N54" s="39">
        <f t="shared" si="14"/>
        <v>1.7503868912152969E-3</v>
      </c>
      <c r="O54" s="39">
        <f t="shared" si="13"/>
        <v>28.443786982248518</v>
      </c>
      <c r="P54" s="39">
        <f t="shared" si="21"/>
        <v>20.828402366863902</v>
      </c>
      <c r="Q54" s="39">
        <f t="shared" si="22"/>
        <v>20.828402366863902</v>
      </c>
    </row>
    <row r="55" spans="1:17" x14ac:dyDescent="0.25">
      <c r="A55" s="39">
        <f t="shared" si="15"/>
        <v>16</v>
      </c>
      <c r="B55" s="42">
        <f t="shared" si="16"/>
        <v>6.9230769230769234</v>
      </c>
      <c r="C55" s="40">
        <f t="shared" si="17"/>
        <v>2.3076923076923079</v>
      </c>
      <c r="D55" s="38"/>
      <c r="E55" s="40">
        <f>((('Device Parmaters'!$D$35)*COUTMAX)/(1000*'Design Calculator'!$F$70))+C55</f>
        <v>38.607692307692304</v>
      </c>
      <c r="F55" s="40">
        <f t="shared" si="18"/>
        <v>3.1326923076923077</v>
      </c>
      <c r="G55" s="38">
        <f t="shared" si="8"/>
        <v>3.1326923076923077</v>
      </c>
      <c r="H55" s="40">
        <f t="shared" si="19"/>
        <v>0.82499999999999973</v>
      </c>
      <c r="I55" s="41">
        <f t="shared" si="23"/>
        <v>6.1538461538461698E-5</v>
      </c>
      <c r="J55" s="48">
        <f t="shared" si="12"/>
        <v>2.7692307692307704E-3</v>
      </c>
      <c r="K55" s="126">
        <f t="shared" si="10"/>
        <v>2.7692307692307705</v>
      </c>
      <c r="L55" s="97">
        <f t="shared" si="11"/>
        <v>0.26335174953959478</v>
      </c>
      <c r="M55" s="39">
        <f t="shared" si="20"/>
        <v>51.503496503496507</v>
      </c>
      <c r="N55" s="39">
        <f t="shared" si="14"/>
        <v>1.7498588984979561E-3</v>
      </c>
      <c r="O55" s="39">
        <f t="shared" si="13"/>
        <v>28.435207100591715</v>
      </c>
      <c r="P55" s="39">
        <f t="shared" si="21"/>
        <v>20.946745562130179</v>
      </c>
      <c r="Q55" s="39">
        <f t="shared" si="22"/>
        <v>20.946745562130179</v>
      </c>
    </row>
    <row r="56" spans="1:17" x14ac:dyDescent="0.25">
      <c r="A56" s="39">
        <f t="shared" si="15"/>
        <v>16</v>
      </c>
      <c r="B56" s="42">
        <f t="shared" si="16"/>
        <v>7.0769230769230766</v>
      </c>
      <c r="C56" s="40">
        <f t="shared" si="17"/>
        <v>2.358974358974359</v>
      </c>
      <c r="D56" s="38"/>
      <c r="E56" s="40">
        <f>((('Device Parmaters'!$D$35)*COUTMAX)/(1000*'Design Calculator'!$F$70))+C56</f>
        <v>38.658974358974355</v>
      </c>
      <c r="F56" s="40">
        <f t="shared" si="18"/>
        <v>3.1839743589743588</v>
      </c>
      <c r="G56" s="38">
        <f t="shared" si="8"/>
        <v>3.1839743589743588</v>
      </c>
      <c r="H56" s="40">
        <f t="shared" si="19"/>
        <v>0.82499999999999973</v>
      </c>
      <c r="I56" s="41">
        <f t="shared" si="23"/>
        <v>6.1538461538461345E-5</v>
      </c>
      <c r="J56" s="48">
        <f t="shared" si="12"/>
        <v>2.8307692307692318E-3</v>
      </c>
      <c r="K56" s="126">
        <f t="shared" si="10"/>
        <v>2.8307692307692318</v>
      </c>
      <c r="L56" s="97">
        <f t="shared" si="11"/>
        <v>0.25911012683712498</v>
      </c>
      <c r="M56" s="39">
        <f t="shared" si="20"/>
        <v>51.42579642579642</v>
      </c>
      <c r="N56" s="39">
        <f t="shared" si="14"/>
        <v>1.7483598846912401E-3</v>
      </c>
      <c r="O56" s="39">
        <f t="shared" si="13"/>
        <v>28.410848126232739</v>
      </c>
      <c r="P56" s="39">
        <f t="shared" si="21"/>
        <v>21.049309664694281</v>
      </c>
      <c r="Q56" s="39">
        <f t="shared" si="22"/>
        <v>21.049309664694281</v>
      </c>
    </row>
    <row r="57" spans="1:17" x14ac:dyDescent="0.25">
      <c r="A57" s="39">
        <f t="shared" si="15"/>
        <v>16</v>
      </c>
      <c r="B57" s="42">
        <f t="shared" si="16"/>
        <v>7.2307692307692308</v>
      </c>
      <c r="C57" s="40">
        <f t="shared" si="17"/>
        <v>2.4102564102564101</v>
      </c>
      <c r="D57" s="38"/>
      <c r="E57" s="40">
        <f>((('Device Parmaters'!$D$35)*COUTMAX)/(1000*'Design Calculator'!$F$70))+C57</f>
        <v>38.710256410256406</v>
      </c>
      <c r="F57" s="40">
        <f t="shared" si="18"/>
        <v>3.2352564102564099</v>
      </c>
      <c r="G57" s="38">
        <f t="shared" si="8"/>
        <v>3.2352564102564099</v>
      </c>
      <c r="H57" s="40">
        <f t="shared" si="19"/>
        <v>0.82499999999999973</v>
      </c>
      <c r="I57" s="41">
        <f t="shared" si="23"/>
        <v>6.1538461538461698E-5</v>
      </c>
      <c r="J57" s="48">
        <f t="shared" si="12"/>
        <v>2.8923076923076936E-3</v>
      </c>
      <c r="K57" s="126">
        <f t="shared" si="10"/>
        <v>2.8923076923076936</v>
      </c>
      <c r="L57" s="97">
        <f t="shared" si="11"/>
        <v>0.25500297206261141</v>
      </c>
      <c r="M57" s="39">
        <f t="shared" si="20"/>
        <v>51.348096348096348</v>
      </c>
      <c r="N57" s="39">
        <f t="shared" si="14"/>
        <v>1.7458898497951798E-3</v>
      </c>
      <c r="O57" s="39">
        <f t="shared" si="13"/>
        <v>28.370710059171596</v>
      </c>
      <c r="P57" s="39">
        <f t="shared" si="21"/>
        <v>21.136094674556215</v>
      </c>
      <c r="Q57" s="39">
        <f t="shared" si="22"/>
        <v>21.136094674556215</v>
      </c>
    </row>
    <row r="58" spans="1:17" x14ac:dyDescent="0.25">
      <c r="A58" s="39">
        <f t="shared" si="15"/>
        <v>16</v>
      </c>
      <c r="B58" s="42">
        <f t="shared" si="16"/>
        <v>7.384615384615385</v>
      </c>
      <c r="C58" s="40">
        <f t="shared" si="17"/>
        <v>2.4615384615384617</v>
      </c>
      <c r="D58" s="38"/>
      <c r="E58" s="40">
        <f>((('Device Parmaters'!$D$35)*COUTMAX)/(1000*'Design Calculator'!$F$70))+C58</f>
        <v>38.761538461538457</v>
      </c>
      <c r="F58" s="40">
        <f t="shared" si="18"/>
        <v>3.2865384615384619</v>
      </c>
      <c r="G58" s="38">
        <f t="shared" si="8"/>
        <v>3.2865384615384619</v>
      </c>
      <c r="H58" s="40">
        <f t="shared" si="19"/>
        <v>0.82500000000000018</v>
      </c>
      <c r="I58" s="41">
        <f t="shared" si="23"/>
        <v>6.1538461538461657E-5</v>
      </c>
      <c r="J58" s="48">
        <f t="shared" si="12"/>
        <v>2.9538461538461554E-3</v>
      </c>
      <c r="K58" s="126">
        <f t="shared" si="10"/>
        <v>2.9538461538461553</v>
      </c>
      <c r="L58" s="97">
        <f t="shared" si="11"/>
        <v>0.2510239906377999</v>
      </c>
      <c r="M58" s="39">
        <f t="shared" si="20"/>
        <v>51.270396270396255</v>
      </c>
      <c r="N58" s="39">
        <f t="shared" si="14"/>
        <v>1.742448793809744E-3</v>
      </c>
      <c r="O58" s="39">
        <f t="shared" si="13"/>
        <v>28.314792899408285</v>
      </c>
      <c r="P58" s="39">
        <f t="shared" si="21"/>
        <v>21.207100591715978</v>
      </c>
      <c r="Q58" s="39">
        <f t="shared" si="22"/>
        <v>21.207100591715978</v>
      </c>
    </row>
    <row r="59" spans="1:17" x14ac:dyDescent="0.25">
      <c r="A59" s="39">
        <f t="shared" si="15"/>
        <v>16</v>
      </c>
      <c r="B59" s="42">
        <f t="shared" si="16"/>
        <v>7.5384615384615383</v>
      </c>
      <c r="C59" s="40">
        <f t="shared" si="17"/>
        <v>2.5128205128205128</v>
      </c>
      <c r="D59" s="38"/>
      <c r="E59" s="40">
        <f>((('Device Parmaters'!$D$35)*COUTMAX)/(1000*'Design Calculator'!$F$70))+C59</f>
        <v>38.812820512820508</v>
      </c>
      <c r="F59" s="40">
        <f t="shared" si="18"/>
        <v>3.337820512820513</v>
      </c>
      <c r="G59" s="38">
        <f t="shared" si="8"/>
        <v>3.337820512820513</v>
      </c>
      <c r="H59" s="40">
        <f t="shared" si="19"/>
        <v>0.82500000000000018</v>
      </c>
      <c r="I59" s="41">
        <f t="shared" si="23"/>
        <v>6.1538461538461305E-5</v>
      </c>
      <c r="J59" s="48">
        <f t="shared" si="12"/>
        <v>3.0153846153846168E-3</v>
      </c>
      <c r="K59" s="126">
        <f t="shared" si="10"/>
        <v>3.0153846153846167</v>
      </c>
      <c r="L59" s="97">
        <f t="shared" si="11"/>
        <v>0.24716727482235457</v>
      </c>
      <c r="M59" s="39">
        <f t="shared" si="20"/>
        <v>51.192696192696189</v>
      </c>
      <c r="N59" s="39">
        <f t="shared" si="14"/>
        <v>1.7380367167349352E-3</v>
      </c>
      <c r="O59" s="39">
        <f t="shared" si="13"/>
        <v>28.243096646942803</v>
      </c>
      <c r="P59" s="39">
        <f t="shared" si="21"/>
        <v>21.262327416173569</v>
      </c>
      <c r="Q59" s="39">
        <f t="shared" si="22"/>
        <v>21.262327416173569</v>
      </c>
    </row>
    <row r="60" spans="1:17" x14ac:dyDescent="0.25">
      <c r="A60" s="39">
        <f t="shared" si="15"/>
        <v>16</v>
      </c>
      <c r="B60" s="42">
        <f t="shared" si="16"/>
        <v>7.6923076923076925</v>
      </c>
      <c r="C60" s="40">
        <f t="shared" si="17"/>
        <v>2.5641025641025643</v>
      </c>
      <c r="D60" s="38"/>
      <c r="E60" s="40">
        <f>((('Device Parmaters'!$D$35)*COUTMAX)/(1000*'Design Calculator'!$F$70))+C60</f>
        <v>38.864102564102559</v>
      </c>
      <c r="F60" s="40">
        <f t="shared" si="18"/>
        <v>3.3891025641025641</v>
      </c>
      <c r="G60" s="38">
        <f t="shared" si="8"/>
        <v>3.3891025641025641</v>
      </c>
      <c r="H60" s="40">
        <f t="shared" si="19"/>
        <v>0.82499999999999973</v>
      </c>
      <c r="I60" s="41">
        <f t="shared" si="23"/>
        <v>6.1538461538461698E-5</v>
      </c>
      <c r="J60" s="48">
        <f t="shared" si="12"/>
        <v>3.0769230769230787E-3</v>
      </c>
      <c r="K60" s="126">
        <f t="shared" si="10"/>
        <v>3.0769230769230789</v>
      </c>
      <c r="L60" s="97">
        <f t="shared" si="11"/>
        <v>0.24342727444675613</v>
      </c>
      <c r="M60" s="39">
        <f t="shared" si="20"/>
        <v>51.114996114996103</v>
      </c>
      <c r="N60" s="39">
        <f t="shared" si="14"/>
        <v>1.7326536185707825E-3</v>
      </c>
      <c r="O60" s="39">
        <f t="shared" si="13"/>
        <v>28.155621301775145</v>
      </c>
      <c r="P60" s="39">
        <f t="shared" si="21"/>
        <v>21.301775147928993</v>
      </c>
      <c r="Q60" s="39">
        <f t="shared" si="22"/>
        <v>21.301775147928993</v>
      </c>
    </row>
    <row r="61" spans="1:17" x14ac:dyDescent="0.25">
      <c r="A61" s="39">
        <f t="shared" si="15"/>
        <v>16</v>
      </c>
      <c r="B61" s="42">
        <f t="shared" si="16"/>
        <v>7.8461538461538458</v>
      </c>
      <c r="C61" s="40">
        <f t="shared" si="17"/>
        <v>2.6153846153846154</v>
      </c>
      <c r="D61" s="38"/>
      <c r="E61" s="40">
        <f>((('Device Parmaters'!$D$35)*COUTMAX)/(1000*'Design Calculator'!$F$70))+C61</f>
        <v>38.91538461538461</v>
      </c>
      <c r="F61" s="40">
        <f t="shared" si="18"/>
        <v>3.4403846153846152</v>
      </c>
      <c r="G61" s="38">
        <f t="shared" si="8"/>
        <v>3.4403846153846152</v>
      </c>
      <c r="H61" s="40">
        <f t="shared" si="19"/>
        <v>0.82499999999999973</v>
      </c>
      <c r="I61" s="41">
        <f t="shared" si="23"/>
        <v>6.1538461538461345E-5</v>
      </c>
      <c r="J61" s="48">
        <f t="shared" si="12"/>
        <v>3.1384615384615401E-3</v>
      </c>
      <c r="K61" s="126">
        <f t="shared" si="10"/>
        <v>3.1384615384615402</v>
      </c>
      <c r="L61" s="97">
        <f t="shared" si="11"/>
        <v>0.23979877026271654</v>
      </c>
      <c r="M61" s="39">
        <f t="shared" si="20"/>
        <v>51.037296037296024</v>
      </c>
      <c r="N61" s="39">
        <f>I61*G61*(A61-B61)</f>
        <v>1.726299499317245E-3</v>
      </c>
      <c r="O61" s="39">
        <f t="shared" si="13"/>
        <v>28.052366863905323</v>
      </c>
      <c r="P61" s="39">
        <f t="shared" si="21"/>
        <v>21.325443786982248</v>
      </c>
      <c r="Q61" s="39">
        <f t="shared" si="22"/>
        <v>21.325443786982248</v>
      </c>
    </row>
    <row r="62" spans="1:17" x14ac:dyDescent="0.25">
      <c r="A62" s="39">
        <f t="shared" si="15"/>
        <v>16</v>
      </c>
      <c r="B62" s="42">
        <f t="shared" si="16"/>
        <v>8</v>
      </c>
      <c r="C62" s="40">
        <f t="shared" si="17"/>
        <v>2.6666666666666665</v>
      </c>
      <c r="D62" s="38"/>
      <c r="E62" s="40">
        <f>((('Device Parmaters'!$D$35)*COUTMAX)/(1000*'Design Calculator'!$F$70))+C62</f>
        <v>38.966666666666661</v>
      </c>
      <c r="F62" s="40">
        <f t="shared" si="18"/>
        <v>3.4916666666666663</v>
      </c>
      <c r="G62" s="38">
        <f t="shared" si="8"/>
        <v>3.4916666666666663</v>
      </c>
      <c r="H62" s="40">
        <f t="shared" si="19"/>
        <v>0.82499999999999973</v>
      </c>
      <c r="I62" s="41">
        <f t="shared" si="23"/>
        <v>6.1538461538461698E-5</v>
      </c>
      <c r="J62" s="48">
        <f t="shared" si="12"/>
        <v>3.2000000000000019E-3</v>
      </c>
      <c r="K62" s="126">
        <f t="shared" si="10"/>
        <v>3.200000000000002</v>
      </c>
      <c r="L62" s="97">
        <f t="shared" si="11"/>
        <v>0.23627684964200474</v>
      </c>
      <c r="M62" s="39">
        <f t="shared" si="20"/>
        <v>50.959595959595944</v>
      </c>
      <c r="N62" s="39">
        <f t="shared" si="14"/>
        <v>1.7189743589743633E-3</v>
      </c>
      <c r="O62" s="39">
        <f t="shared" si="13"/>
        <v>27.93333333333333</v>
      </c>
      <c r="P62" s="39">
        <f t="shared" si="21"/>
        <v>21.333333333333332</v>
      </c>
      <c r="Q62" s="39">
        <f t="shared" si="22"/>
        <v>21.333333333333332</v>
      </c>
    </row>
    <row r="63" spans="1:17" x14ac:dyDescent="0.25">
      <c r="A63" s="39">
        <f t="shared" si="15"/>
        <v>16</v>
      </c>
      <c r="B63" s="42">
        <f t="shared" si="16"/>
        <v>8.1538461538461533</v>
      </c>
      <c r="C63" s="40">
        <f t="shared" si="17"/>
        <v>2.7179487179487176</v>
      </c>
      <c r="D63" s="38"/>
      <c r="E63" s="40">
        <f>((('Device Parmaters'!$D$35)*COUTMAX)/(1000*'Design Calculator'!$F$70))+C63</f>
        <v>39.017948717948713</v>
      </c>
      <c r="F63" s="40">
        <f t="shared" si="18"/>
        <v>3.5429487179487174</v>
      </c>
      <c r="G63" s="38">
        <f t="shared" si="8"/>
        <v>3.5429487179487174</v>
      </c>
      <c r="H63" s="40">
        <f t="shared" si="19"/>
        <v>0.82499999999999973</v>
      </c>
      <c r="I63" s="41">
        <f t="shared" si="23"/>
        <v>6.1538461538461345E-5</v>
      </c>
      <c r="J63" s="48">
        <f t="shared" si="12"/>
        <v>3.2615384615384633E-3</v>
      </c>
      <c r="K63" s="126">
        <f t="shared" si="10"/>
        <v>3.2615384615384633</v>
      </c>
      <c r="L63" s="97">
        <f t="shared" si="11"/>
        <v>0.23285688438574267</v>
      </c>
      <c r="M63" s="39">
        <f t="shared" si="20"/>
        <v>50.881895881895872</v>
      </c>
      <c r="N63" s="39">
        <f t="shared" si="14"/>
        <v>1.7106781975420975E-3</v>
      </c>
      <c r="O63" s="39">
        <f t="shared" si="13"/>
        <v>27.798520710059169</v>
      </c>
      <c r="P63" s="39">
        <f t="shared" si="21"/>
        <v>21.325443786982248</v>
      </c>
      <c r="Q63" s="39">
        <f t="shared" si="22"/>
        <v>21.325443786982248</v>
      </c>
    </row>
    <row r="64" spans="1:17" x14ac:dyDescent="0.25">
      <c r="A64" s="39">
        <f t="shared" si="15"/>
        <v>16</v>
      </c>
      <c r="B64" s="42">
        <f t="shared" si="16"/>
        <v>8.3076923076923084</v>
      </c>
      <c r="C64" s="40">
        <f t="shared" si="17"/>
        <v>2.7692307692307696</v>
      </c>
      <c r="D64" s="38"/>
      <c r="E64" s="40">
        <f>((('Device Parmaters'!$D$35)*COUTMAX)/(1000*'Design Calculator'!$F$70))+C64</f>
        <v>39.069230769230764</v>
      </c>
      <c r="F64" s="40">
        <f t="shared" si="18"/>
        <v>3.5942307692307693</v>
      </c>
      <c r="G64" s="38">
        <f t="shared" si="8"/>
        <v>3.5942307692307693</v>
      </c>
      <c r="H64" s="40">
        <f t="shared" si="19"/>
        <v>0.82499999999999973</v>
      </c>
      <c r="I64" s="41">
        <f t="shared" si="23"/>
        <v>6.153846153846205E-5</v>
      </c>
      <c r="J64" s="48">
        <f t="shared" si="12"/>
        <v>3.3230769230769251E-3</v>
      </c>
      <c r="K64" s="126">
        <f t="shared" si="10"/>
        <v>3.323076923076925</v>
      </c>
      <c r="L64" s="97">
        <f t="shared" si="11"/>
        <v>0.22953451043338677</v>
      </c>
      <c r="M64" s="39">
        <f t="shared" si="20"/>
        <v>50.8041958041958</v>
      </c>
      <c r="N64" s="39">
        <f t="shared" si="14"/>
        <v>1.7014110150204965E-3</v>
      </c>
      <c r="O64" s="39">
        <f t="shared" si="13"/>
        <v>27.647928994082839</v>
      </c>
      <c r="P64" s="39">
        <f t="shared" si="21"/>
        <v>21.301775147928996</v>
      </c>
      <c r="Q64" s="39">
        <f t="shared" si="22"/>
        <v>21.301775147928996</v>
      </c>
    </row>
    <row r="65" spans="1:17" x14ac:dyDescent="0.25">
      <c r="A65" s="39">
        <f t="shared" si="15"/>
        <v>16</v>
      </c>
      <c r="B65" s="42">
        <f t="shared" si="16"/>
        <v>8.4615384615384617</v>
      </c>
      <c r="C65" s="40">
        <f t="shared" si="17"/>
        <v>2.8205128205128207</v>
      </c>
      <c r="D65" s="38"/>
      <c r="E65" s="40">
        <f>((('Device Parmaters'!$D$35)*COUTMAX)/(1000*'Design Calculator'!$F$70))+C65</f>
        <v>39.120512820512815</v>
      </c>
      <c r="F65" s="40">
        <f t="shared" si="18"/>
        <v>3.6455128205128204</v>
      </c>
      <c r="G65" s="38">
        <f t="shared" si="8"/>
        <v>3.6455128205128204</v>
      </c>
      <c r="H65" s="40">
        <f t="shared" si="19"/>
        <v>0.82499999999999973</v>
      </c>
      <c r="I65" s="41">
        <f t="shared" si="23"/>
        <v>6.1538461538461345E-5</v>
      </c>
      <c r="J65" s="48">
        <f t="shared" si="12"/>
        <v>3.3846153846153865E-3</v>
      </c>
      <c r="K65" s="126">
        <f t="shared" si="10"/>
        <v>3.3846153846153864</v>
      </c>
      <c r="L65" s="97">
        <f t="shared" si="11"/>
        <v>0.22630560928433263</v>
      </c>
      <c r="M65" s="39">
        <f t="shared" si="20"/>
        <v>50.726495726495713</v>
      </c>
      <c r="N65" s="39">
        <f t="shared" si="14"/>
        <v>1.6911728114094924E-3</v>
      </c>
      <c r="O65" s="39">
        <f t="shared" si="13"/>
        <v>27.481558185404339</v>
      </c>
      <c r="P65" s="39">
        <f t="shared" si="21"/>
        <v>21.262327416173569</v>
      </c>
      <c r="Q65" s="39">
        <f t="shared" si="22"/>
        <v>21.262327416173569</v>
      </c>
    </row>
    <row r="66" spans="1:17" x14ac:dyDescent="0.25">
      <c r="A66" s="39">
        <f t="shared" si="15"/>
        <v>16</v>
      </c>
      <c r="B66" s="42">
        <f t="shared" si="16"/>
        <v>8.615384615384615</v>
      </c>
      <c r="C66" s="40">
        <f t="shared" si="17"/>
        <v>2.8717948717948718</v>
      </c>
      <c r="D66" s="38"/>
      <c r="E66" s="40">
        <f>((('Device Parmaters'!$D$35)*COUTMAX)/(1000*'Design Calculator'!$F$70))+C66</f>
        <v>39.171794871794866</v>
      </c>
      <c r="F66" s="40">
        <f t="shared" si="18"/>
        <v>3.6967948717948715</v>
      </c>
      <c r="G66" s="38">
        <f t="shared" si="8"/>
        <v>3.6967948717948715</v>
      </c>
      <c r="H66" s="40">
        <f t="shared" si="19"/>
        <v>0.82499999999999973</v>
      </c>
      <c r="I66" s="41">
        <f t="shared" si="23"/>
        <v>6.1538461538461345E-5</v>
      </c>
      <c r="J66" s="48">
        <f t="shared" si="12"/>
        <v>3.4461538461538479E-3</v>
      </c>
      <c r="K66" s="126">
        <f t="shared" si="10"/>
        <v>3.4461538461538481</v>
      </c>
      <c r="L66" s="97">
        <f t="shared" si="11"/>
        <v>0.22316629096584006</v>
      </c>
      <c r="M66" s="39">
        <f t="shared" si="20"/>
        <v>50.648795648795641</v>
      </c>
      <c r="N66" s="39">
        <f t="shared" si="14"/>
        <v>1.6799635867091435E-3</v>
      </c>
      <c r="O66" s="39">
        <f t="shared" si="13"/>
        <v>27.29940828402367</v>
      </c>
      <c r="P66" s="39">
        <f t="shared" si="21"/>
        <v>21.207100591715978</v>
      </c>
      <c r="Q66" s="39">
        <f t="shared" si="22"/>
        <v>21.207100591715978</v>
      </c>
    </row>
    <row r="67" spans="1:17" x14ac:dyDescent="0.25">
      <c r="A67" s="39">
        <f t="shared" si="15"/>
        <v>16</v>
      </c>
      <c r="B67" s="42">
        <f t="shared" si="16"/>
        <v>8.7692307692307701</v>
      </c>
      <c r="C67" s="40">
        <f t="shared" si="17"/>
        <v>2.9230769230769234</v>
      </c>
      <c r="D67" s="38"/>
      <c r="E67" s="40">
        <f>((('Device Parmaters'!$D$35)*COUTMAX)/(1000*'Design Calculator'!$F$70))+C67</f>
        <v>39.223076923076917</v>
      </c>
      <c r="F67" s="40">
        <f t="shared" si="18"/>
        <v>3.7480769230769235</v>
      </c>
      <c r="G67" s="38">
        <f t="shared" si="8"/>
        <v>3.7480769230769235</v>
      </c>
      <c r="H67" s="40">
        <f t="shared" si="19"/>
        <v>0.82500000000000018</v>
      </c>
      <c r="I67" s="41">
        <f t="shared" si="23"/>
        <v>6.1538461538462009E-5</v>
      </c>
      <c r="J67" s="48">
        <f t="shared" si="12"/>
        <v>3.5076923076923098E-3</v>
      </c>
      <c r="K67" s="126">
        <f t="shared" si="10"/>
        <v>3.5076923076923099</v>
      </c>
      <c r="L67" s="97">
        <f t="shared" si="11"/>
        <v>0.22011287839917909</v>
      </c>
      <c r="M67" s="39">
        <f t="shared" si="20"/>
        <v>50.571095571095562</v>
      </c>
      <c r="N67" s="39">
        <f t="shared" si="14"/>
        <v>1.6677833409194482E-3</v>
      </c>
      <c r="O67" s="39">
        <f t="shared" si="13"/>
        <v>27.10147928994083</v>
      </c>
      <c r="P67" s="39">
        <f t="shared" si="21"/>
        <v>21.136094674556212</v>
      </c>
      <c r="Q67" s="39">
        <f t="shared" si="22"/>
        <v>21.136094674556212</v>
      </c>
    </row>
    <row r="68" spans="1:17" x14ac:dyDescent="0.25">
      <c r="A68" s="39">
        <f t="shared" si="15"/>
        <v>16</v>
      </c>
      <c r="B68" s="42">
        <f t="shared" si="16"/>
        <v>8.9230769230769234</v>
      </c>
      <c r="C68" s="40">
        <f t="shared" si="17"/>
        <v>2.9743589743589745</v>
      </c>
      <c r="D68" s="38"/>
      <c r="E68" s="40">
        <f>((('Device Parmaters'!$D$35)*COUTMAX)/(1000*'Design Calculator'!$F$70))+C68</f>
        <v>39.274358974358975</v>
      </c>
      <c r="F68" s="40">
        <f t="shared" si="18"/>
        <v>3.7993589743589746</v>
      </c>
      <c r="G68" s="38">
        <f t="shared" si="8"/>
        <v>3.7993589743589746</v>
      </c>
      <c r="H68" s="40">
        <f t="shared" si="19"/>
        <v>0.82500000000000018</v>
      </c>
      <c r="I68" s="41">
        <f t="shared" si="23"/>
        <v>6.1538461538461305E-5</v>
      </c>
      <c r="J68" s="48">
        <f t="shared" si="12"/>
        <v>3.5692307692307712E-3</v>
      </c>
      <c r="K68" s="126">
        <f t="shared" si="10"/>
        <v>3.5692307692307712</v>
      </c>
      <c r="L68" s="97">
        <f t="shared" si="11"/>
        <v>0.21714189303188799</v>
      </c>
      <c r="M68" s="39">
        <f t="shared" si="20"/>
        <v>50.493395493395496</v>
      </c>
      <c r="N68" s="39">
        <f t="shared" si="14"/>
        <v>1.6546320740403518E-3</v>
      </c>
      <c r="O68" s="39">
        <f t="shared" si="13"/>
        <v>26.887771203155818</v>
      </c>
      <c r="P68" s="39">
        <f t="shared" si="21"/>
        <v>21.049309664694281</v>
      </c>
      <c r="Q68" s="39">
        <f t="shared" si="22"/>
        <v>21.049309664694281</v>
      </c>
    </row>
    <row r="69" spans="1:17" x14ac:dyDescent="0.25">
      <c r="A69" s="39">
        <f t="shared" si="15"/>
        <v>16</v>
      </c>
      <c r="B69" s="42">
        <f t="shared" si="16"/>
        <v>9.0769230769230766</v>
      </c>
      <c r="C69" s="40">
        <f t="shared" si="17"/>
        <v>3.0256410256410255</v>
      </c>
      <c r="D69" s="38"/>
      <c r="E69" s="40">
        <f>((('Device Parmaters'!$D$35)*COUTMAX)/(1000*'Design Calculator'!$F$70))+C69</f>
        <v>39.325641025641019</v>
      </c>
      <c r="F69" s="40">
        <f t="shared" si="18"/>
        <v>3.8506410256410257</v>
      </c>
      <c r="G69" s="38">
        <f t="shared" si="8"/>
        <v>3.8506410256410257</v>
      </c>
      <c r="H69" s="40">
        <f t="shared" si="19"/>
        <v>0.82500000000000018</v>
      </c>
      <c r="I69" s="41">
        <f t="shared" si="23"/>
        <v>6.1538461538461305E-5</v>
      </c>
      <c r="J69" s="48">
        <f t="shared" si="12"/>
        <v>3.6307692307692326E-3</v>
      </c>
      <c r="K69" s="126">
        <f t="shared" si="10"/>
        <v>3.6307692307692325</v>
      </c>
      <c r="L69" s="97">
        <f t="shared" si="11"/>
        <v>0.21425004161811223</v>
      </c>
      <c r="M69" s="39">
        <f t="shared" si="20"/>
        <v>50.415695415695403</v>
      </c>
      <c r="N69" s="39">
        <f t="shared" si="14"/>
        <v>1.6405097860719101E-3</v>
      </c>
      <c r="O69" s="39">
        <f t="shared" si="13"/>
        <v>26.658284023668642</v>
      </c>
      <c r="P69" s="39">
        <f t="shared" si="21"/>
        <v>20.946745562130179</v>
      </c>
      <c r="Q69" s="39">
        <f t="shared" si="22"/>
        <v>20.946745562130179</v>
      </c>
    </row>
    <row r="70" spans="1:17" x14ac:dyDescent="0.25">
      <c r="A70" s="39">
        <f t="shared" si="15"/>
        <v>16</v>
      </c>
      <c r="B70" s="42">
        <f t="shared" si="16"/>
        <v>9.2307692307692299</v>
      </c>
      <c r="C70" s="40">
        <f t="shared" si="17"/>
        <v>3.0769230769230766</v>
      </c>
      <c r="D70" s="38"/>
      <c r="E70" s="40">
        <f>((('Device Parmaters'!$D$35)*COUTMAX)/(1000*'Design Calculator'!$F$70))+C70</f>
        <v>39.376923076923077</v>
      </c>
      <c r="F70" s="40">
        <f t="shared" si="18"/>
        <v>3.9019230769230768</v>
      </c>
      <c r="G70" s="38">
        <f t="shared" si="8"/>
        <v>3.9019230769230768</v>
      </c>
      <c r="H70" s="40">
        <f t="shared" si="19"/>
        <v>0.82500000000000018</v>
      </c>
      <c r="I70" s="41">
        <f t="shared" si="23"/>
        <v>6.1538461538461305E-5</v>
      </c>
      <c r="J70" s="48">
        <f t="shared" si="12"/>
        <v>3.692307692307694E-3</v>
      </c>
      <c r="K70" s="126">
        <f t="shared" si="10"/>
        <v>3.6923076923076938</v>
      </c>
      <c r="L70" s="97">
        <f t="shared" si="11"/>
        <v>0.21143420404139976</v>
      </c>
      <c r="M70" s="39">
        <f t="shared" si="20"/>
        <v>50.337995337995338</v>
      </c>
      <c r="N70" s="39">
        <f t="shared" si="14"/>
        <v>1.6254164770141042E-3</v>
      </c>
      <c r="O70" s="39">
        <f t="shared" si="13"/>
        <v>26.413017751479291</v>
      </c>
      <c r="P70" s="39">
        <f t="shared" si="21"/>
        <v>20.828402366863905</v>
      </c>
      <c r="Q70" s="39">
        <f t="shared" si="22"/>
        <v>20.828402366863905</v>
      </c>
    </row>
    <row r="71" spans="1:17" x14ac:dyDescent="0.25">
      <c r="A71" s="39">
        <f t="shared" si="15"/>
        <v>16</v>
      </c>
      <c r="B71" s="42">
        <f t="shared" si="16"/>
        <v>9.384615384615385</v>
      </c>
      <c r="C71" s="40">
        <f t="shared" si="17"/>
        <v>3.1282051282051282</v>
      </c>
      <c r="D71" s="38"/>
      <c r="E71" s="40">
        <f>((('Device Parmaters'!$D$35)*COUTMAX)/(1000*'Design Calculator'!$F$70))+C71</f>
        <v>39.428205128205128</v>
      </c>
      <c r="F71" s="40">
        <f t="shared" si="18"/>
        <v>3.9532051282051279</v>
      </c>
      <c r="G71" s="38">
        <f t="shared" si="8"/>
        <v>3.9532051282051279</v>
      </c>
      <c r="H71" s="40">
        <f t="shared" si="19"/>
        <v>0.82499999999999973</v>
      </c>
      <c r="I71" s="41">
        <f t="shared" si="23"/>
        <v>6.153846153846205E-5</v>
      </c>
      <c r="J71" s="48">
        <f t="shared" si="12"/>
        <v>3.7538461538461562E-3</v>
      </c>
      <c r="K71" s="126">
        <f t="shared" si="10"/>
        <v>3.7538461538461561</v>
      </c>
      <c r="L71" s="97">
        <f t="shared" si="11"/>
        <v>0.20869142208529262</v>
      </c>
      <c r="M71" s="39">
        <f t="shared" si="20"/>
        <v>50.260295260295258</v>
      </c>
      <c r="N71" s="39">
        <f t="shared" si="14"/>
        <v>1.6093521468669529E-3</v>
      </c>
      <c r="O71" s="39">
        <f t="shared" si="13"/>
        <v>26.151972386587769</v>
      </c>
      <c r="P71" s="39">
        <f t="shared" si="21"/>
        <v>20.694280078895464</v>
      </c>
      <c r="Q71" s="39">
        <f t="shared" si="22"/>
        <v>20.694280078895464</v>
      </c>
    </row>
    <row r="72" spans="1:17" x14ac:dyDescent="0.25">
      <c r="A72" s="39">
        <f t="shared" si="15"/>
        <v>16</v>
      </c>
      <c r="B72" s="42">
        <f t="shared" si="16"/>
        <v>9.5384615384615383</v>
      </c>
      <c r="C72" s="40">
        <f t="shared" si="17"/>
        <v>3.1794871794871793</v>
      </c>
      <c r="D72" s="38"/>
      <c r="E72" s="40">
        <f>((('Device Parmaters'!$D$35)*COUTMAX)/(1000*'Design Calculator'!$F$70))+C72</f>
        <v>39.47948717948718</v>
      </c>
      <c r="F72" s="40">
        <f t="shared" si="18"/>
        <v>4.004487179487179</v>
      </c>
      <c r="G72" s="38">
        <f t="shared" si="8"/>
        <v>4.004487179487179</v>
      </c>
      <c r="H72" s="40">
        <f t="shared" si="19"/>
        <v>0.82499999999999973</v>
      </c>
      <c r="I72" s="41">
        <f t="shared" si="23"/>
        <v>6.1538461538461345E-5</v>
      </c>
      <c r="J72" s="48">
        <f t="shared" si="12"/>
        <v>3.8153846153846176E-3</v>
      </c>
      <c r="K72" s="126">
        <f t="shared" si="10"/>
        <v>3.8153846153846178</v>
      </c>
      <c r="L72" s="97">
        <f t="shared" si="11"/>
        <v>0.206018889066752</v>
      </c>
      <c r="M72" s="39">
        <f t="shared" si="20"/>
        <v>50.182595182595186</v>
      </c>
      <c r="N72" s="39">
        <f t="shared" si="14"/>
        <v>1.5923167956304E-3</v>
      </c>
      <c r="O72" s="39">
        <f t="shared" si="13"/>
        <v>25.875147928994082</v>
      </c>
      <c r="P72" s="39">
        <f t="shared" si="21"/>
        <v>20.54437869822485</v>
      </c>
      <c r="Q72" s="39">
        <f t="shared" si="22"/>
        <v>20.54437869822485</v>
      </c>
    </row>
    <row r="73" spans="1:17" x14ac:dyDescent="0.25">
      <c r="A73" s="39">
        <f t="shared" si="15"/>
        <v>16</v>
      </c>
      <c r="B73" s="42">
        <f t="shared" si="16"/>
        <v>9.6923076923076916</v>
      </c>
      <c r="C73" s="40">
        <f t="shared" si="17"/>
        <v>3.2307692307692304</v>
      </c>
      <c r="D73" s="38"/>
      <c r="E73" s="40">
        <f>((('Device Parmaters'!$D$35)*COUTMAX)/(1000*'Design Calculator'!$F$70))+C73</f>
        <v>39.530769230769231</v>
      </c>
      <c r="F73" s="40">
        <f t="shared" si="18"/>
        <v>4.0557692307692301</v>
      </c>
      <c r="G73" s="38">
        <f t="shared" si="8"/>
        <v>4.0557692307692301</v>
      </c>
      <c r="H73" s="40">
        <f t="shared" si="19"/>
        <v>0.82499999999999973</v>
      </c>
      <c r="I73" s="41">
        <f t="shared" si="23"/>
        <v>6.1538461538461345E-5</v>
      </c>
      <c r="J73" s="48">
        <f t="shared" si="12"/>
        <v>3.876923076923079E-3</v>
      </c>
      <c r="K73" s="126">
        <f t="shared" si="10"/>
        <v>3.8769230769230791</v>
      </c>
      <c r="L73" s="97">
        <f t="shared" si="11"/>
        <v>0.20341394025604548</v>
      </c>
      <c r="M73" s="39">
        <f t="shared" si="20"/>
        <v>50.104895104895107</v>
      </c>
      <c r="N73" s="39">
        <f t="shared" si="14"/>
        <v>1.5743104233045012E-3</v>
      </c>
      <c r="O73" s="39">
        <f t="shared" si="13"/>
        <v>25.582544378698223</v>
      </c>
      <c r="P73" s="39">
        <f t="shared" si="21"/>
        <v>20.378698224852069</v>
      </c>
      <c r="Q73" s="39">
        <f t="shared" si="22"/>
        <v>20.378698224852069</v>
      </c>
    </row>
    <row r="74" spans="1:17" x14ac:dyDescent="0.25">
      <c r="A74" s="39">
        <f t="shared" ref="A74:A105" si="24">VINMAX</f>
        <v>16</v>
      </c>
      <c r="B74" s="42">
        <f t="shared" ref="B74:B105" si="25">VINMAX*((ROW()-10)/104)</f>
        <v>9.8461538461538467</v>
      </c>
      <c r="C74" s="40">
        <f t="shared" ref="C74:C105" si="26">IF(B74&gt;=$H$2,IF($D$2="CC", $G$2, B74/$G$2), 0)</f>
        <v>3.2820512820512824</v>
      </c>
      <c r="D74" s="38"/>
      <c r="E74" s="40">
        <f>((('Device Parmaters'!$D$35)*COUTMAX)/(1000*'Design Calculator'!$F$70))+C74</f>
        <v>39.582051282051282</v>
      </c>
      <c r="F74" s="40">
        <f t="shared" ref="F74:F105" si="27">I_Cout_ss+C74</f>
        <v>4.1070512820512821</v>
      </c>
      <c r="G74" s="38">
        <f t="shared" si="8"/>
        <v>4.1070512820512821</v>
      </c>
      <c r="H74" s="40">
        <f t="shared" ref="H74:H105" si="28">G74-C74</f>
        <v>0.82499999999999973</v>
      </c>
      <c r="I74" s="41">
        <f t="shared" si="23"/>
        <v>6.153846153846205E-5</v>
      </c>
      <c r="J74" s="48">
        <f t="shared" si="12"/>
        <v>3.9384615384615409E-3</v>
      </c>
      <c r="K74" s="126">
        <f t="shared" si="10"/>
        <v>3.9384615384615409</v>
      </c>
      <c r="L74" s="97">
        <f t="shared" si="11"/>
        <v>0.20087404401435924</v>
      </c>
      <c r="M74" s="39">
        <f t="shared" ref="M74:M105" si="29">1/COUTMAX*(E74/2-C74)*1000</f>
        <v>50.027195027195027</v>
      </c>
      <c r="N74" s="39">
        <f t="shared" si="14"/>
        <v>1.5553330298892557E-3</v>
      </c>
      <c r="O74" s="39">
        <f t="shared" si="13"/>
        <v>25.274161735700197</v>
      </c>
      <c r="P74" s="39">
        <f t="shared" ref="P74:P105" si="30">(A74-B74)*(I_Cout_ss*$Q$2+C74)</f>
        <v>20.19723865877712</v>
      </c>
      <c r="Q74" s="39">
        <f t="shared" ref="Q74:Q105" si="31">(A74-B74)*(I_Cout_ss*$R$2+C74)</f>
        <v>20.19723865877712</v>
      </c>
    </row>
    <row r="75" spans="1:17" x14ac:dyDescent="0.25">
      <c r="A75" s="39">
        <f t="shared" si="24"/>
        <v>16</v>
      </c>
      <c r="B75" s="42">
        <f t="shared" si="25"/>
        <v>10</v>
      </c>
      <c r="C75" s="40">
        <f t="shared" si="26"/>
        <v>3.3333333333333335</v>
      </c>
      <c r="D75" s="38"/>
      <c r="E75" s="40">
        <f>((('Device Parmaters'!$D$35)*COUTMAX)/(1000*'Design Calculator'!$F$70))+C75</f>
        <v>39.633333333333333</v>
      </c>
      <c r="F75" s="40">
        <f t="shared" si="27"/>
        <v>4.1583333333333332</v>
      </c>
      <c r="G75" s="38">
        <f t="shared" ref="G75:G110" si="32">IF($F$2="YES", F75, E75)</f>
        <v>4.1583333333333332</v>
      </c>
      <c r="H75" s="40">
        <f t="shared" si="28"/>
        <v>0.82499999999999973</v>
      </c>
      <c r="I75" s="41">
        <f t="shared" ref="I75:I106" si="33">(COUTMAX/1000000)*(B75-B74)/H75</f>
        <v>6.1538461538461345E-5</v>
      </c>
      <c r="J75" s="48">
        <f t="shared" si="12"/>
        <v>4.0000000000000018E-3</v>
      </c>
      <c r="K75" s="126">
        <f t="shared" ref="K75:K114" si="34">J75*1000</f>
        <v>4.0000000000000018</v>
      </c>
      <c r="L75" s="97">
        <f t="shared" ref="L75:L110" si="35">H75/G75</f>
        <v>0.1983967935871743</v>
      </c>
      <c r="M75" s="39">
        <f t="shared" si="29"/>
        <v>49.949494949494955</v>
      </c>
      <c r="N75" s="39">
        <f t="shared" ref="N75:N110" si="36">I75*G75*(A75-B75)</f>
        <v>1.5353846153846108E-3</v>
      </c>
      <c r="O75" s="39">
        <f t="shared" ref="O75:O114" si="37">G75*(A75-B75)</f>
        <v>24.95</v>
      </c>
      <c r="P75" s="39">
        <f t="shared" si="30"/>
        <v>20</v>
      </c>
      <c r="Q75" s="39">
        <f t="shared" si="31"/>
        <v>20</v>
      </c>
    </row>
    <row r="76" spans="1:17" x14ac:dyDescent="0.25">
      <c r="A76" s="39">
        <f t="shared" si="24"/>
        <v>16</v>
      </c>
      <c r="B76" s="42">
        <f t="shared" si="25"/>
        <v>10.153846153846153</v>
      </c>
      <c r="C76" s="40">
        <f t="shared" si="26"/>
        <v>3.3846153846153846</v>
      </c>
      <c r="D76" s="38"/>
      <c r="E76" s="40">
        <f>((('Device Parmaters'!$D$35)*COUTMAX)/(1000*'Design Calculator'!$F$70))+C76</f>
        <v>39.684615384615384</v>
      </c>
      <c r="F76" s="40">
        <f t="shared" si="27"/>
        <v>4.2096153846153843</v>
      </c>
      <c r="G76" s="38">
        <f t="shared" si="32"/>
        <v>4.2096153846153843</v>
      </c>
      <c r="H76" s="40">
        <f t="shared" si="28"/>
        <v>0.82499999999999973</v>
      </c>
      <c r="I76" s="41">
        <f t="shared" si="33"/>
        <v>6.1538461538461345E-5</v>
      </c>
      <c r="J76" s="48">
        <f t="shared" ref="J76:J110" si="38">J75+I76</f>
        <v>4.0615384615384628E-3</v>
      </c>
      <c r="K76" s="126">
        <f t="shared" si="34"/>
        <v>4.0615384615384631</v>
      </c>
      <c r="L76" s="97">
        <f t="shared" si="35"/>
        <v>0.1959798994974874</v>
      </c>
      <c r="M76" s="39">
        <f t="shared" si="29"/>
        <v>49.871794871794876</v>
      </c>
      <c r="N76" s="39">
        <f t="shared" si="36"/>
        <v>1.5144651797906188E-3</v>
      </c>
      <c r="O76" s="39">
        <f t="shared" si="37"/>
        <v>24.610059171597634</v>
      </c>
      <c r="P76" s="39">
        <f t="shared" si="30"/>
        <v>19.786982248520712</v>
      </c>
      <c r="Q76" s="39">
        <f t="shared" si="31"/>
        <v>19.786982248520712</v>
      </c>
    </row>
    <row r="77" spans="1:17" x14ac:dyDescent="0.25">
      <c r="A77" s="39">
        <f t="shared" si="24"/>
        <v>16</v>
      </c>
      <c r="B77" s="42">
        <f t="shared" si="25"/>
        <v>10.307692307692308</v>
      </c>
      <c r="C77" s="40">
        <f t="shared" si="26"/>
        <v>3.4358974358974361</v>
      </c>
      <c r="D77" s="38"/>
      <c r="E77" s="40">
        <f>((('Device Parmaters'!$D$35)*COUTMAX)/(1000*'Design Calculator'!$F$70))+C77</f>
        <v>39.735897435897435</v>
      </c>
      <c r="F77" s="40">
        <f t="shared" si="27"/>
        <v>4.2608974358974363</v>
      </c>
      <c r="G77" s="38">
        <f t="shared" si="32"/>
        <v>4.2608974358974363</v>
      </c>
      <c r="H77" s="40">
        <f t="shared" si="28"/>
        <v>0.82500000000000018</v>
      </c>
      <c r="I77" s="41">
        <f t="shared" si="33"/>
        <v>6.1538461538462009E-5</v>
      </c>
      <c r="J77" s="48">
        <f t="shared" si="38"/>
        <v>4.1230769230769246E-3</v>
      </c>
      <c r="K77" s="126">
        <f t="shared" si="34"/>
        <v>4.1230769230769244</v>
      </c>
      <c r="L77" s="97">
        <f t="shared" si="35"/>
        <v>0.19362118248834062</v>
      </c>
      <c r="M77" s="39">
        <f t="shared" si="29"/>
        <v>49.794094794094804</v>
      </c>
      <c r="N77" s="39">
        <f t="shared" si="36"/>
        <v>1.4925747231072787E-3</v>
      </c>
      <c r="O77" s="39">
        <f t="shared" si="37"/>
        <v>24.254339250493096</v>
      </c>
      <c r="P77" s="39">
        <f t="shared" si="30"/>
        <v>19.558185404339248</v>
      </c>
      <c r="Q77" s="39">
        <f t="shared" si="31"/>
        <v>19.558185404339248</v>
      </c>
    </row>
    <row r="78" spans="1:17" x14ac:dyDescent="0.25">
      <c r="A78" s="39">
        <f t="shared" si="24"/>
        <v>16</v>
      </c>
      <c r="B78" s="42">
        <f t="shared" si="25"/>
        <v>10.461538461538462</v>
      </c>
      <c r="C78" s="40">
        <f t="shared" si="26"/>
        <v>3.4871794871794872</v>
      </c>
      <c r="D78" s="38"/>
      <c r="E78" s="40">
        <f>((('Device Parmaters'!$D$35)*COUTMAX)/(1000*'Design Calculator'!$F$70))+C78</f>
        <v>39.787179487179486</v>
      </c>
      <c r="F78" s="40">
        <f t="shared" si="27"/>
        <v>4.3121794871794874</v>
      </c>
      <c r="G78" s="38">
        <f t="shared" si="32"/>
        <v>4.3121794871794874</v>
      </c>
      <c r="H78" s="40">
        <f t="shared" si="28"/>
        <v>0.82500000000000018</v>
      </c>
      <c r="I78" s="41">
        <f t="shared" si="33"/>
        <v>6.1538461538461305E-5</v>
      </c>
      <c r="J78" s="48">
        <f t="shared" si="38"/>
        <v>4.1846153846153856E-3</v>
      </c>
      <c r="K78" s="126">
        <f t="shared" si="34"/>
        <v>4.1846153846153857</v>
      </c>
      <c r="L78" s="97">
        <f t="shared" si="35"/>
        <v>0.19131856696893121</v>
      </c>
      <c r="M78" s="39">
        <f t="shared" si="29"/>
        <v>49.71639471639471</v>
      </c>
      <c r="N78" s="39">
        <f t="shared" si="36"/>
        <v>1.4697132453345416E-3</v>
      </c>
      <c r="O78" s="39">
        <f t="shared" si="37"/>
        <v>23.882840236686391</v>
      </c>
      <c r="P78" s="39">
        <f t="shared" si="30"/>
        <v>19.31360946745562</v>
      </c>
      <c r="Q78" s="39">
        <f t="shared" si="31"/>
        <v>19.31360946745562</v>
      </c>
    </row>
    <row r="79" spans="1:17" x14ac:dyDescent="0.25">
      <c r="A79" s="39">
        <f t="shared" si="24"/>
        <v>16</v>
      </c>
      <c r="B79" s="42">
        <f t="shared" si="25"/>
        <v>10.615384615384615</v>
      </c>
      <c r="C79" s="40">
        <f t="shared" si="26"/>
        <v>3.5384615384615383</v>
      </c>
      <c r="D79" s="38"/>
      <c r="E79" s="40">
        <f>((('Device Parmaters'!$D$35)*COUTMAX)/(1000*'Design Calculator'!$F$70))+C79</f>
        <v>39.838461538461537</v>
      </c>
      <c r="F79" s="40">
        <f t="shared" si="27"/>
        <v>4.3634615384615385</v>
      </c>
      <c r="G79" s="38">
        <f t="shared" si="32"/>
        <v>4.3634615384615385</v>
      </c>
      <c r="H79" s="40">
        <f t="shared" si="28"/>
        <v>0.82500000000000018</v>
      </c>
      <c r="I79" s="41">
        <f t="shared" si="33"/>
        <v>6.1538461538461305E-5</v>
      </c>
      <c r="J79" s="48">
        <f t="shared" si="38"/>
        <v>4.2461538461538465E-3</v>
      </c>
      <c r="K79" s="126">
        <f t="shared" si="34"/>
        <v>4.2461538461538462</v>
      </c>
      <c r="L79" s="97">
        <f t="shared" si="35"/>
        <v>0.18907007492287356</v>
      </c>
      <c r="M79" s="39">
        <f t="shared" si="29"/>
        <v>49.638694638694645</v>
      </c>
      <c r="N79" s="39">
        <f t="shared" si="36"/>
        <v>1.4458807464724573E-3</v>
      </c>
      <c r="O79" s="39">
        <f t="shared" si="37"/>
        <v>23.495562130177518</v>
      </c>
      <c r="P79" s="39">
        <f t="shared" si="30"/>
        <v>19.053254437869825</v>
      </c>
      <c r="Q79" s="39">
        <f t="shared" si="31"/>
        <v>19.053254437869825</v>
      </c>
    </row>
    <row r="80" spans="1:17" x14ac:dyDescent="0.25">
      <c r="A80" s="39">
        <f t="shared" si="24"/>
        <v>16</v>
      </c>
      <c r="B80" s="42">
        <f t="shared" si="25"/>
        <v>10.76923076923077</v>
      </c>
      <c r="C80" s="40">
        <f t="shared" si="26"/>
        <v>3.5897435897435899</v>
      </c>
      <c r="D80" s="38"/>
      <c r="E80" s="40">
        <f>((('Device Parmaters'!$D$35)*COUTMAX)/(1000*'Design Calculator'!$F$70))+C80</f>
        <v>39.889743589743588</v>
      </c>
      <c r="F80" s="40">
        <f t="shared" si="27"/>
        <v>4.4147435897435896</v>
      </c>
      <c r="G80" s="38">
        <f t="shared" si="32"/>
        <v>4.4147435897435896</v>
      </c>
      <c r="H80" s="40">
        <f t="shared" si="28"/>
        <v>0.82499999999999973</v>
      </c>
      <c r="I80" s="41">
        <f t="shared" si="33"/>
        <v>6.153846153846205E-5</v>
      </c>
      <c r="J80" s="48">
        <f t="shared" si="38"/>
        <v>4.3076923076923084E-3</v>
      </c>
      <c r="K80" s="126">
        <f t="shared" si="34"/>
        <v>4.3076923076923084</v>
      </c>
      <c r="L80" s="97">
        <f t="shared" si="35"/>
        <v>0.18687382024103377</v>
      </c>
      <c r="M80" s="39">
        <f t="shared" si="29"/>
        <v>49.560994560994551</v>
      </c>
      <c r="N80" s="39">
        <f t="shared" si="36"/>
        <v>1.421077226521025E-3</v>
      </c>
      <c r="O80" s="39">
        <f t="shared" si="37"/>
        <v>23.092504930966467</v>
      </c>
      <c r="P80" s="39">
        <f t="shared" si="30"/>
        <v>18.77712031558185</v>
      </c>
      <c r="Q80" s="39">
        <f t="shared" si="31"/>
        <v>18.77712031558185</v>
      </c>
    </row>
    <row r="81" spans="1:17" x14ac:dyDescent="0.25">
      <c r="A81" s="39">
        <f t="shared" si="24"/>
        <v>16</v>
      </c>
      <c r="B81" s="42">
        <f t="shared" si="25"/>
        <v>10.923076923076923</v>
      </c>
      <c r="C81" s="40">
        <f t="shared" si="26"/>
        <v>3.641025641025641</v>
      </c>
      <c r="D81" s="38"/>
      <c r="E81" s="40">
        <f>((('Device Parmaters'!$D$35)*COUTMAX)/(1000*'Design Calculator'!$F$70))+C81</f>
        <v>39.941025641025639</v>
      </c>
      <c r="F81" s="40">
        <f t="shared" si="27"/>
        <v>4.4660256410256407</v>
      </c>
      <c r="G81" s="38">
        <f t="shared" si="32"/>
        <v>4.4660256410256407</v>
      </c>
      <c r="H81" s="40">
        <f t="shared" si="28"/>
        <v>0.82499999999999973</v>
      </c>
      <c r="I81" s="41">
        <f t="shared" si="33"/>
        <v>6.1538461538461345E-5</v>
      </c>
      <c r="J81" s="48">
        <f t="shared" si="38"/>
        <v>4.3692307692307693E-3</v>
      </c>
      <c r="K81" s="126">
        <f t="shared" si="34"/>
        <v>4.3692307692307697</v>
      </c>
      <c r="L81" s="97">
        <f t="shared" si="35"/>
        <v>0.18472800344481122</v>
      </c>
      <c r="M81" s="39">
        <f t="shared" si="29"/>
        <v>49.483294483294479</v>
      </c>
      <c r="N81" s="39">
        <f t="shared" si="36"/>
        <v>1.3953026854801958E-3</v>
      </c>
      <c r="O81" s="39">
        <f t="shared" si="37"/>
        <v>22.67366863905325</v>
      </c>
      <c r="P81" s="39">
        <f t="shared" si="30"/>
        <v>18.485207100591715</v>
      </c>
      <c r="Q81" s="39">
        <f t="shared" si="31"/>
        <v>18.485207100591715</v>
      </c>
    </row>
    <row r="82" spans="1:17" x14ac:dyDescent="0.25">
      <c r="A82" s="39">
        <f t="shared" si="24"/>
        <v>16</v>
      </c>
      <c r="B82" s="42">
        <f t="shared" si="25"/>
        <v>11.076923076923077</v>
      </c>
      <c r="C82" s="40">
        <f t="shared" si="26"/>
        <v>3.6923076923076921</v>
      </c>
      <c r="D82" s="38"/>
      <c r="E82" s="40">
        <f>((('Device Parmaters'!$D$35)*COUTMAX)/(1000*'Design Calculator'!$F$70))+C82</f>
        <v>39.992307692307691</v>
      </c>
      <c r="F82" s="40">
        <f t="shared" si="27"/>
        <v>4.5173076923076918</v>
      </c>
      <c r="G82" s="38">
        <f t="shared" si="32"/>
        <v>4.5173076923076918</v>
      </c>
      <c r="H82" s="40">
        <f t="shared" si="28"/>
        <v>0.82499999999999973</v>
      </c>
      <c r="I82" s="41">
        <f t="shared" si="33"/>
        <v>6.1538461538461345E-5</v>
      </c>
      <c r="J82" s="48">
        <f t="shared" si="38"/>
        <v>4.4307692307692303E-3</v>
      </c>
      <c r="K82" s="126">
        <f t="shared" si="34"/>
        <v>4.4307692307692301</v>
      </c>
      <c r="L82" s="97">
        <f t="shared" si="35"/>
        <v>0.18263090676883775</v>
      </c>
      <c r="M82" s="39">
        <f t="shared" si="29"/>
        <v>49.4055944055944</v>
      </c>
      <c r="N82" s="39">
        <f t="shared" si="36"/>
        <v>1.3685571233500182E-3</v>
      </c>
      <c r="O82" s="39">
        <f t="shared" si="37"/>
        <v>22.23905325443787</v>
      </c>
      <c r="P82" s="39">
        <f t="shared" si="30"/>
        <v>18.177514792899409</v>
      </c>
      <c r="Q82" s="39">
        <f t="shared" si="31"/>
        <v>18.177514792899409</v>
      </c>
    </row>
    <row r="83" spans="1:17" x14ac:dyDescent="0.25">
      <c r="A83" s="39">
        <f t="shared" si="24"/>
        <v>16</v>
      </c>
      <c r="B83" s="42">
        <f t="shared" si="25"/>
        <v>11.23076923076923</v>
      </c>
      <c r="C83" s="40">
        <f t="shared" si="26"/>
        <v>3.7435897435897432</v>
      </c>
      <c r="D83" s="38"/>
      <c r="E83" s="40">
        <f>((('Device Parmaters'!$D$35)*COUTMAX)/(1000*'Design Calculator'!$F$70))+C83</f>
        <v>40.043589743589742</v>
      </c>
      <c r="F83" s="40">
        <f t="shared" si="27"/>
        <v>4.5685897435897429</v>
      </c>
      <c r="G83" s="38">
        <f t="shared" si="32"/>
        <v>4.5685897435897429</v>
      </c>
      <c r="H83" s="40">
        <f t="shared" si="28"/>
        <v>0.82499999999999973</v>
      </c>
      <c r="I83" s="41">
        <f t="shared" si="33"/>
        <v>6.1538461538461345E-5</v>
      </c>
      <c r="J83" s="48">
        <f t="shared" si="38"/>
        <v>4.4923076923076913E-3</v>
      </c>
      <c r="K83" s="126">
        <f t="shared" si="34"/>
        <v>4.4923076923076914</v>
      </c>
      <c r="L83" s="97">
        <f t="shared" si="35"/>
        <v>0.18058088957485616</v>
      </c>
      <c r="M83" s="39">
        <f t="shared" si="29"/>
        <v>49.32789432789432</v>
      </c>
      <c r="N83" s="39">
        <f t="shared" si="36"/>
        <v>1.3408405401304766E-3</v>
      </c>
      <c r="O83" s="39">
        <f t="shared" si="37"/>
        <v>21.788658777120315</v>
      </c>
      <c r="P83" s="39">
        <f t="shared" si="30"/>
        <v>17.854043392504931</v>
      </c>
      <c r="Q83" s="39">
        <f t="shared" si="31"/>
        <v>17.854043392504931</v>
      </c>
    </row>
    <row r="84" spans="1:17" x14ac:dyDescent="0.25">
      <c r="A84" s="39">
        <f t="shared" si="24"/>
        <v>16</v>
      </c>
      <c r="B84" s="42">
        <f t="shared" si="25"/>
        <v>11.384615384615385</v>
      </c>
      <c r="C84" s="40">
        <f t="shared" si="26"/>
        <v>3.7948717948717952</v>
      </c>
      <c r="D84" s="38"/>
      <c r="E84" s="40">
        <f>((('Device Parmaters'!$D$35)*COUTMAX)/(1000*'Design Calculator'!$F$70))+C84</f>
        <v>40.094871794871793</v>
      </c>
      <c r="F84" s="40">
        <f t="shared" si="27"/>
        <v>4.6198717948717949</v>
      </c>
      <c r="G84" s="38">
        <f t="shared" si="32"/>
        <v>4.6198717948717949</v>
      </c>
      <c r="H84" s="40">
        <f t="shared" si="28"/>
        <v>0.82499999999999973</v>
      </c>
      <c r="I84" s="41">
        <f t="shared" si="33"/>
        <v>6.153846153846205E-5</v>
      </c>
      <c r="J84" s="48">
        <f t="shared" si="38"/>
        <v>4.5538461538461531E-3</v>
      </c>
      <c r="K84" s="126">
        <f t="shared" si="34"/>
        <v>4.5538461538461528</v>
      </c>
      <c r="L84" s="97">
        <f t="shared" si="35"/>
        <v>0.17857638407104198</v>
      </c>
      <c r="M84" s="39">
        <f t="shared" si="29"/>
        <v>49.250194250194241</v>
      </c>
      <c r="N84" s="39">
        <f t="shared" si="36"/>
        <v>1.3121529358215856E-3</v>
      </c>
      <c r="O84" s="39">
        <f t="shared" si="37"/>
        <v>21.322485207100591</v>
      </c>
      <c r="P84" s="39">
        <f t="shared" si="30"/>
        <v>17.514792899408285</v>
      </c>
      <c r="Q84" s="39">
        <f t="shared" si="31"/>
        <v>17.514792899408285</v>
      </c>
    </row>
    <row r="85" spans="1:17" x14ac:dyDescent="0.25">
      <c r="A85" s="39">
        <f t="shared" si="24"/>
        <v>16</v>
      </c>
      <c r="B85" s="42">
        <f t="shared" si="25"/>
        <v>11.538461538461538</v>
      </c>
      <c r="C85" s="40">
        <f t="shared" si="26"/>
        <v>3.8461538461538463</v>
      </c>
      <c r="D85" s="38"/>
      <c r="E85" s="40">
        <f>((('Device Parmaters'!$D$35)*COUTMAX)/(1000*'Design Calculator'!$F$70))+C85</f>
        <v>40.146153846153844</v>
      </c>
      <c r="F85" s="40">
        <f t="shared" si="27"/>
        <v>4.671153846153846</v>
      </c>
      <c r="G85" s="38">
        <f t="shared" si="32"/>
        <v>4.671153846153846</v>
      </c>
      <c r="H85" s="40">
        <f t="shared" si="28"/>
        <v>0.82499999999999973</v>
      </c>
      <c r="I85" s="41">
        <f t="shared" si="33"/>
        <v>6.1538461538461345E-5</v>
      </c>
      <c r="J85" s="48">
        <f t="shared" si="38"/>
        <v>4.6153846153846141E-3</v>
      </c>
      <c r="K85" s="126">
        <f t="shared" si="34"/>
        <v>4.6153846153846141</v>
      </c>
      <c r="L85" s="97">
        <f t="shared" si="35"/>
        <v>0.17661589131329761</v>
      </c>
      <c r="M85" s="39">
        <f t="shared" si="29"/>
        <v>49.172494172494169</v>
      </c>
      <c r="N85" s="39">
        <f t="shared" si="36"/>
        <v>1.2824943104233005E-3</v>
      </c>
      <c r="O85" s="39">
        <f t="shared" si="37"/>
        <v>20.840532544378696</v>
      </c>
      <c r="P85" s="39">
        <f t="shared" si="30"/>
        <v>17.159763313609467</v>
      </c>
      <c r="Q85" s="39">
        <f t="shared" si="31"/>
        <v>17.159763313609467</v>
      </c>
    </row>
    <row r="86" spans="1:17" x14ac:dyDescent="0.25">
      <c r="A86" s="39">
        <f t="shared" si="24"/>
        <v>16</v>
      </c>
      <c r="B86" s="42">
        <f t="shared" si="25"/>
        <v>11.692307692307692</v>
      </c>
      <c r="C86" s="40">
        <f t="shared" si="26"/>
        <v>3.8974358974358974</v>
      </c>
      <c r="D86" s="38"/>
      <c r="E86" s="40">
        <f>((('Device Parmaters'!$D$35)*COUTMAX)/(1000*'Design Calculator'!$F$70))+C86</f>
        <v>40.197435897435895</v>
      </c>
      <c r="F86" s="40">
        <f t="shared" si="27"/>
        <v>4.7224358974358971</v>
      </c>
      <c r="G86" s="38">
        <f t="shared" si="32"/>
        <v>4.7224358974358971</v>
      </c>
      <c r="H86" s="40">
        <f t="shared" si="28"/>
        <v>0.82499999999999973</v>
      </c>
      <c r="I86" s="41">
        <f t="shared" si="33"/>
        <v>6.1538461538461345E-5</v>
      </c>
      <c r="J86" s="48">
        <f t="shared" si="38"/>
        <v>4.676923076923075E-3</v>
      </c>
      <c r="K86" s="126">
        <f t="shared" si="34"/>
        <v>4.6769230769230754</v>
      </c>
      <c r="L86" s="97">
        <f t="shared" si="35"/>
        <v>0.1746979774670829</v>
      </c>
      <c r="M86" s="39">
        <f t="shared" si="29"/>
        <v>49.094794094794096</v>
      </c>
      <c r="N86" s="39">
        <f t="shared" si="36"/>
        <v>1.2518646639356661E-3</v>
      </c>
      <c r="O86" s="39">
        <f t="shared" si="37"/>
        <v>20.342800788954637</v>
      </c>
      <c r="P86" s="39">
        <f t="shared" si="30"/>
        <v>16.788954635108485</v>
      </c>
      <c r="Q86" s="39">
        <f t="shared" si="31"/>
        <v>16.788954635108485</v>
      </c>
    </row>
    <row r="87" spans="1:17" x14ac:dyDescent="0.25">
      <c r="A87" s="39">
        <f t="shared" si="24"/>
        <v>16</v>
      </c>
      <c r="B87" s="42">
        <f t="shared" si="25"/>
        <v>11.846153846153847</v>
      </c>
      <c r="C87" s="40">
        <f t="shared" si="26"/>
        <v>3.9487179487179489</v>
      </c>
      <c r="D87" s="38"/>
      <c r="E87" s="40">
        <f>((('Device Parmaters'!$D$35)*COUTMAX)/(1000*'Design Calculator'!$F$70))+C87</f>
        <v>40.248717948717946</v>
      </c>
      <c r="F87" s="40">
        <f t="shared" si="27"/>
        <v>4.7737179487179491</v>
      </c>
      <c r="G87" s="38">
        <f t="shared" si="32"/>
        <v>4.7737179487179491</v>
      </c>
      <c r="H87" s="40">
        <f t="shared" si="28"/>
        <v>0.82500000000000018</v>
      </c>
      <c r="I87" s="41">
        <f t="shared" si="33"/>
        <v>6.1538461538462009E-5</v>
      </c>
      <c r="J87" s="48">
        <f t="shared" si="38"/>
        <v>4.7384615384615369E-3</v>
      </c>
      <c r="K87" s="126">
        <f t="shared" si="34"/>
        <v>4.7384615384615367</v>
      </c>
      <c r="L87" s="97">
        <f t="shared" si="35"/>
        <v>0.17282127031019204</v>
      </c>
      <c r="M87" s="39">
        <f t="shared" si="29"/>
        <v>49.01709401709401</v>
      </c>
      <c r="N87" s="39">
        <f t="shared" si="36"/>
        <v>1.2202639963586801E-3</v>
      </c>
      <c r="O87" s="39">
        <f t="shared" si="37"/>
        <v>19.829289940828403</v>
      </c>
      <c r="P87" s="39">
        <f t="shared" si="30"/>
        <v>16.402366863905325</v>
      </c>
      <c r="Q87" s="39">
        <f t="shared" si="31"/>
        <v>16.402366863905325</v>
      </c>
    </row>
    <row r="88" spans="1:17" x14ac:dyDescent="0.25">
      <c r="A88" s="39">
        <f t="shared" si="24"/>
        <v>16</v>
      </c>
      <c r="B88" s="42">
        <f t="shared" si="25"/>
        <v>12</v>
      </c>
      <c r="C88" s="40">
        <f t="shared" si="26"/>
        <v>4</v>
      </c>
      <c r="D88" s="38"/>
      <c r="E88" s="40">
        <f>((('Device Parmaters'!$D$35)*COUTMAX)/(1000*'Design Calculator'!$F$70))+C88</f>
        <v>40.299999999999997</v>
      </c>
      <c r="F88" s="40">
        <f t="shared" si="27"/>
        <v>4.8250000000000002</v>
      </c>
      <c r="G88" s="38">
        <f t="shared" si="32"/>
        <v>4.8250000000000002</v>
      </c>
      <c r="H88" s="40">
        <f t="shared" si="28"/>
        <v>0.82500000000000018</v>
      </c>
      <c r="I88" s="41">
        <f t="shared" si="33"/>
        <v>6.1538461538461305E-5</v>
      </c>
      <c r="J88" s="48">
        <f t="shared" si="38"/>
        <v>4.7999999999999978E-3</v>
      </c>
      <c r="K88" s="126">
        <f t="shared" si="34"/>
        <v>4.799999999999998</v>
      </c>
      <c r="L88" s="97">
        <f t="shared" si="35"/>
        <v>0.17098445595854925</v>
      </c>
      <c r="M88" s="39">
        <f t="shared" si="29"/>
        <v>48.939393939393938</v>
      </c>
      <c r="N88" s="39">
        <f t="shared" si="36"/>
        <v>1.1876923076923032E-3</v>
      </c>
      <c r="O88" s="39">
        <f t="shared" si="37"/>
        <v>19.3</v>
      </c>
      <c r="P88" s="39">
        <f t="shared" si="30"/>
        <v>16</v>
      </c>
      <c r="Q88" s="39">
        <f t="shared" si="31"/>
        <v>16</v>
      </c>
    </row>
    <row r="89" spans="1:17" x14ac:dyDescent="0.25">
      <c r="A89" s="39">
        <f t="shared" si="24"/>
        <v>16</v>
      </c>
      <c r="B89" s="42">
        <f t="shared" si="25"/>
        <v>12.153846153846153</v>
      </c>
      <c r="C89" s="40">
        <f t="shared" si="26"/>
        <v>4.0512820512820511</v>
      </c>
      <c r="D89" s="38"/>
      <c r="E89" s="40">
        <f>((('Device Parmaters'!$D$35)*COUTMAX)/(1000*'Design Calculator'!$F$70))+C89</f>
        <v>40.351282051282048</v>
      </c>
      <c r="F89" s="40">
        <f t="shared" si="27"/>
        <v>4.8762820512820513</v>
      </c>
      <c r="G89" s="38">
        <f t="shared" si="32"/>
        <v>4.8762820512820513</v>
      </c>
      <c r="H89" s="40">
        <f t="shared" si="28"/>
        <v>0.82500000000000018</v>
      </c>
      <c r="I89" s="41">
        <f t="shared" si="33"/>
        <v>6.1538461538461305E-5</v>
      </c>
      <c r="J89" s="48">
        <f t="shared" si="38"/>
        <v>4.8615384615384588E-3</v>
      </c>
      <c r="K89" s="126">
        <f t="shared" si="34"/>
        <v>4.8615384615384585</v>
      </c>
      <c r="L89" s="97">
        <f t="shared" si="35"/>
        <v>0.16918627579860659</v>
      </c>
      <c r="M89" s="39">
        <f t="shared" si="29"/>
        <v>48.861693861693858</v>
      </c>
      <c r="N89" s="39">
        <f t="shared" si="36"/>
        <v>1.1541495979365761E-3</v>
      </c>
      <c r="O89" s="39">
        <f t="shared" si="37"/>
        <v>18.754930966469431</v>
      </c>
      <c r="P89" s="39">
        <f t="shared" si="30"/>
        <v>15.581854043392507</v>
      </c>
      <c r="Q89" s="39">
        <f t="shared" si="31"/>
        <v>15.581854043392507</v>
      </c>
    </row>
    <row r="90" spans="1:17" x14ac:dyDescent="0.25">
      <c r="A90" s="39">
        <f t="shared" si="24"/>
        <v>16</v>
      </c>
      <c r="B90" s="42">
        <f t="shared" si="25"/>
        <v>12.307692307692308</v>
      </c>
      <c r="C90" s="40">
        <f t="shared" si="26"/>
        <v>4.1025641025641031</v>
      </c>
      <c r="D90" s="38"/>
      <c r="E90" s="40">
        <f>((('Device Parmaters'!$D$35)*COUTMAX)/(1000*'Design Calculator'!$F$70))+C90</f>
        <v>40.402564102564099</v>
      </c>
      <c r="F90" s="40">
        <f t="shared" si="27"/>
        <v>4.9275641025641033</v>
      </c>
      <c r="G90" s="38">
        <f t="shared" si="32"/>
        <v>4.9275641025641033</v>
      </c>
      <c r="H90" s="40">
        <f t="shared" si="28"/>
        <v>0.82500000000000018</v>
      </c>
      <c r="I90" s="41">
        <f t="shared" si="33"/>
        <v>6.1538461538462009E-5</v>
      </c>
      <c r="J90" s="48">
        <f t="shared" si="38"/>
        <v>4.9230769230769206E-3</v>
      </c>
      <c r="K90" s="126">
        <f t="shared" si="34"/>
        <v>4.9230769230769207</v>
      </c>
      <c r="L90" s="97">
        <f t="shared" si="35"/>
        <v>0.16742552361129182</v>
      </c>
      <c r="M90" s="39">
        <f t="shared" si="29"/>
        <v>48.783993783993779</v>
      </c>
      <c r="N90" s="39">
        <f t="shared" si="36"/>
        <v>1.119635867091497E-3</v>
      </c>
      <c r="O90" s="39">
        <f t="shared" si="37"/>
        <v>18.194082840236685</v>
      </c>
      <c r="P90" s="39">
        <f t="shared" si="30"/>
        <v>15.147928994082839</v>
      </c>
      <c r="Q90" s="39">
        <f t="shared" si="31"/>
        <v>15.147928994082839</v>
      </c>
    </row>
    <row r="91" spans="1:17" x14ac:dyDescent="0.25">
      <c r="A91" s="39">
        <f t="shared" si="24"/>
        <v>16</v>
      </c>
      <c r="B91" s="42">
        <f t="shared" si="25"/>
        <v>12.461538461538462</v>
      </c>
      <c r="C91" s="40">
        <f t="shared" si="26"/>
        <v>4.1538461538461542</v>
      </c>
      <c r="D91" s="38"/>
      <c r="E91" s="40">
        <f>((('Device Parmaters'!$D$35)*COUTMAX)/(1000*'Design Calculator'!$F$70))+C91</f>
        <v>40.45384615384615</v>
      </c>
      <c r="F91" s="40">
        <f t="shared" si="27"/>
        <v>4.9788461538461544</v>
      </c>
      <c r="G91" s="38">
        <f t="shared" si="32"/>
        <v>4.9788461538461544</v>
      </c>
      <c r="H91" s="40">
        <f t="shared" si="28"/>
        <v>0.82500000000000018</v>
      </c>
      <c r="I91" s="41">
        <f t="shared" si="33"/>
        <v>6.1538461538461305E-5</v>
      </c>
      <c r="J91" s="48">
        <f t="shared" si="38"/>
        <v>4.9846153846153816E-3</v>
      </c>
      <c r="K91" s="126">
        <f t="shared" si="34"/>
        <v>4.984615384615382</v>
      </c>
      <c r="L91" s="97">
        <f t="shared" si="35"/>
        <v>0.16570104287369641</v>
      </c>
      <c r="M91" s="39">
        <f t="shared" si="29"/>
        <v>48.7062937062937</v>
      </c>
      <c r="N91" s="39">
        <f t="shared" si="36"/>
        <v>1.0841511151570282E-3</v>
      </c>
      <c r="O91" s="39">
        <f t="shared" si="37"/>
        <v>17.617455621301776</v>
      </c>
      <c r="P91" s="39">
        <f t="shared" si="30"/>
        <v>14.698224852071007</v>
      </c>
      <c r="Q91" s="39">
        <f t="shared" si="31"/>
        <v>14.698224852071007</v>
      </c>
    </row>
    <row r="92" spans="1:17" x14ac:dyDescent="0.25">
      <c r="A92" s="39">
        <f t="shared" si="24"/>
        <v>16</v>
      </c>
      <c r="B92" s="42">
        <f t="shared" si="25"/>
        <v>12.615384615384615</v>
      </c>
      <c r="C92" s="40">
        <f t="shared" si="26"/>
        <v>4.2051282051282053</v>
      </c>
      <c r="D92" s="38"/>
      <c r="E92" s="40">
        <f>((('Device Parmaters'!$D$35)*COUTMAX)/(1000*'Design Calculator'!$F$70))+C92</f>
        <v>40.505128205128202</v>
      </c>
      <c r="F92" s="40">
        <f t="shared" si="27"/>
        <v>5.0301282051282055</v>
      </c>
      <c r="G92" s="38">
        <f t="shared" si="32"/>
        <v>5.0301282051282055</v>
      </c>
      <c r="H92" s="40">
        <f t="shared" si="28"/>
        <v>0.82500000000000018</v>
      </c>
      <c r="I92" s="41">
        <f t="shared" si="33"/>
        <v>6.1538461538461305E-5</v>
      </c>
      <c r="J92" s="48">
        <f t="shared" si="38"/>
        <v>5.0461538461538426E-3</v>
      </c>
      <c r="K92" s="126">
        <f t="shared" si="34"/>
        <v>5.0461538461538424</v>
      </c>
      <c r="L92" s="97">
        <f t="shared" si="35"/>
        <v>0.16401172422581881</v>
      </c>
      <c r="M92" s="39">
        <f t="shared" si="29"/>
        <v>48.628593628593627</v>
      </c>
      <c r="N92" s="39">
        <f t="shared" si="36"/>
        <v>1.0476953421332082E-3</v>
      </c>
      <c r="O92" s="39">
        <f t="shared" si="37"/>
        <v>17.025049309664698</v>
      </c>
      <c r="P92" s="39">
        <f t="shared" si="30"/>
        <v>14.232741617357004</v>
      </c>
      <c r="Q92" s="39">
        <f t="shared" si="31"/>
        <v>14.232741617357004</v>
      </c>
    </row>
    <row r="93" spans="1:17" x14ac:dyDescent="0.25">
      <c r="A93" s="39">
        <f t="shared" si="24"/>
        <v>16</v>
      </c>
      <c r="B93" s="42">
        <f t="shared" si="25"/>
        <v>12.76923076923077</v>
      </c>
      <c r="C93" s="40">
        <f t="shared" si="26"/>
        <v>4.2564102564102564</v>
      </c>
      <c r="D93" s="38"/>
      <c r="E93" s="40">
        <f>((('Device Parmaters'!$D$35)*COUTMAX)/(1000*'Design Calculator'!$F$70))+C93</f>
        <v>40.556410256410253</v>
      </c>
      <c r="F93" s="40">
        <f t="shared" si="27"/>
        <v>5.0814102564102566</v>
      </c>
      <c r="G93" s="38">
        <f t="shared" si="32"/>
        <v>5.0814102564102566</v>
      </c>
      <c r="H93" s="40">
        <f t="shared" si="28"/>
        <v>0.82500000000000018</v>
      </c>
      <c r="I93" s="41">
        <f t="shared" si="33"/>
        <v>6.1538461538462009E-5</v>
      </c>
      <c r="J93" s="48">
        <f t="shared" si="38"/>
        <v>5.1076923076923044E-3</v>
      </c>
      <c r="K93" s="126">
        <f t="shared" si="34"/>
        <v>5.1076923076923046</v>
      </c>
      <c r="L93" s="97">
        <f t="shared" si="35"/>
        <v>0.16235650309070268</v>
      </c>
      <c r="M93" s="39">
        <f t="shared" si="29"/>
        <v>48.550893550893548</v>
      </c>
      <c r="N93" s="39">
        <f t="shared" si="36"/>
        <v>1.0102685480200349E-3</v>
      </c>
      <c r="O93" s="39">
        <f t="shared" si="37"/>
        <v>16.416863905325439</v>
      </c>
      <c r="P93" s="39">
        <f t="shared" si="30"/>
        <v>13.751479289940825</v>
      </c>
      <c r="Q93" s="39">
        <f t="shared" si="31"/>
        <v>13.751479289940825</v>
      </c>
    </row>
    <row r="94" spans="1:17" x14ac:dyDescent="0.25">
      <c r="A94" s="39">
        <f t="shared" si="24"/>
        <v>16</v>
      </c>
      <c r="B94" s="42">
        <f t="shared" si="25"/>
        <v>12.923076923076923</v>
      </c>
      <c r="C94" s="40">
        <f t="shared" si="26"/>
        <v>4.3076923076923075</v>
      </c>
      <c r="D94" s="38"/>
      <c r="E94" s="40">
        <f>((('Device Parmaters'!$D$35)*COUTMAX)/(1000*'Design Calculator'!$F$70))+C94</f>
        <v>40.607692307692304</v>
      </c>
      <c r="F94" s="40">
        <f t="shared" si="27"/>
        <v>5.1326923076923077</v>
      </c>
      <c r="G94" s="38">
        <f t="shared" si="32"/>
        <v>5.1326923076923077</v>
      </c>
      <c r="H94" s="40">
        <f t="shared" si="28"/>
        <v>0.82500000000000018</v>
      </c>
      <c r="I94" s="41">
        <f t="shared" si="33"/>
        <v>6.1538461538461305E-5</v>
      </c>
      <c r="J94" s="48">
        <f t="shared" si="38"/>
        <v>5.1692307692307654E-3</v>
      </c>
      <c r="K94" s="126">
        <f t="shared" si="34"/>
        <v>5.1692307692307651</v>
      </c>
      <c r="L94" s="97">
        <f t="shared" si="35"/>
        <v>0.16073435743724246</v>
      </c>
      <c r="M94" s="39">
        <f t="shared" si="29"/>
        <v>48.473193473193469</v>
      </c>
      <c r="N94" s="39">
        <f t="shared" si="36"/>
        <v>9.7187073281747467E-4</v>
      </c>
      <c r="O94" s="39">
        <f t="shared" si="37"/>
        <v>15.792899408284022</v>
      </c>
      <c r="P94" s="39">
        <f t="shared" si="30"/>
        <v>13.254437869822484</v>
      </c>
      <c r="Q94" s="39">
        <f t="shared" si="31"/>
        <v>13.254437869822484</v>
      </c>
    </row>
    <row r="95" spans="1:17" x14ac:dyDescent="0.25">
      <c r="A95" s="39">
        <f t="shared" si="24"/>
        <v>16</v>
      </c>
      <c r="B95" s="42">
        <f t="shared" si="25"/>
        <v>13.076923076923077</v>
      </c>
      <c r="C95" s="40">
        <f t="shared" si="26"/>
        <v>4.3589743589743586</v>
      </c>
      <c r="D95" s="38"/>
      <c r="E95" s="40">
        <f>((('Device Parmaters'!$D$35)*COUTMAX)/(1000*'Design Calculator'!$F$70))+C95</f>
        <v>40.658974358974355</v>
      </c>
      <c r="F95" s="40">
        <f t="shared" si="27"/>
        <v>5.1839743589743588</v>
      </c>
      <c r="G95" s="38">
        <f t="shared" si="32"/>
        <v>5.1839743589743588</v>
      </c>
      <c r="H95" s="40">
        <f t="shared" si="28"/>
        <v>0.82500000000000018</v>
      </c>
      <c r="I95" s="41">
        <f t="shared" si="33"/>
        <v>6.1538461538461305E-5</v>
      </c>
      <c r="J95" s="48">
        <f t="shared" si="38"/>
        <v>5.2307692307692263E-3</v>
      </c>
      <c r="K95" s="126">
        <f t="shared" si="34"/>
        <v>5.2307692307692264</v>
      </c>
      <c r="L95" s="97">
        <f t="shared" si="35"/>
        <v>0.15914430567577598</v>
      </c>
      <c r="M95" s="39">
        <f t="shared" si="29"/>
        <v>48.395493395493389</v>
      </c>
      <c r="N95" s="39">
        <f t="shared" si="36"/>
        <v>9.3250189652556176E-4</v>
      </c>
      <c r="O95" s="39">
        <f t="shared" si="37"/>
        <v>15.153155818540435</v>
      </c>
      <c r="P95" s="39">
        <f t="shared" si="30"/>
        <v>12.741617357001973</v>
      </c>
      <c r="Q95" s="39">
        <f t="shared" si="31"/>
        <v>12.741617357001973</v>
      </c>
    </row>
    <row r="96" spans="1:17" x14ac:dyDescent="0.25">
      <c r="A96" s="39">
        <f t="shared" si="24"/>
        <v>16</v>
      </c>
      <c r="B96" s="42">
        <f t="shared" si="25"/>
        <v>13.23076923076923</v>
      </c>
      <c r="C96" s="40">
        <f t="shared" si="26"/>
        <v>4.4102564102564097</v>
      </c>
      <c r="D96" s="38"/>
      <c r="E96" s="40">
        <f>((('Device Parmaters'!$D$35)*COUTMAX)/(1000*'Design Calculator'!$F$70))+C96</f>
        <v>40.710256410256406</v>
      </c>
      <c r="F96" s="40">
        <f t="shared" si="27"/>
        <v>5.2352564102564099</v>
      </c>
      <c r="G96" s="38">
        <f t="shared" si="32"/>
        <v>5.2352564102564099</v>
      </c>
      <c r="H96" s="40">
        <f t="shared" si="28"/>
        <v>0.82500000000000018</v>
      </c>
      <c r="I96" s="41">
        <f t="shared" si="33"/>
        <v>6.1538461538461305E-5</v>
      </c>
      <c r="J96" s="48">
        <f t="shared" si="38"/>
        <v>5.2923076923076873E-3</v>
      </c>
      <c r="K96" s="126">
        <f t="shared" si="34"/>
        <v>5.2923076923076877</v>
      </c>
      <c r="L96" s="97">
        <f t="shared" si="35"/>
        <v>0.15758540467736015</v>
      </c>
      <c r="M96" s="39">
        <f t="shared" si="29"/>
        <v>48.317793317793317</v>
      </c>
      <c r="N96" s="39">
        <f t="shared" si="36"/>
        <v>8.9216203914428444E-4</v>
      </c>
      <c r="O96" s="39">
        <f t="shared" si="37"/>
        <v>14.497633136094677</v>
      </c>
      <c r="P96" s="39">
        <f t="shared" si="30"/>
        <v>12.213017751479292</v>
      </c>
      <c r="Q96" s="39">
        <f t="shared" si="31"/>
        <v>12.213017751479292</v>
      </c>
    </row>
    <row r="97" spans="1:17" x14ac:dyDescent="0.25">
      <c r="A97" s="39">
        <f t="shared" si="24"/>
        <v>16</v>
      </c>
      <c r="B97" s="42">
        <f t="shared" si="25"/>
        <v>13.384615384615385</v>
      </c>
      <c r="C97" s="40">
        <f t="shared" si="26"/>
        <v>4.4615384615384617</v>
      </c>
      <c r="D97" s="38"/>
      <c r="E97" s="40">
        <f>((('Device Parmaters'!$D$35)*COUTMAX)/(1000*'Design Calculator'!$F$70))+C97</f>
        <v>40.761538461538457</v>
      </c>
      <c r="F97" s="40">
        <f t="shared" si="27"/>
        <v>5.2865384615384619</v>
      </c>
      <c r="G97" s="38">
        <f t="shared" si="32"/>
        <v>5.2865384615384619</v>
      </c>
      <c r="H97" s="40">
        <f t="shared" si="28"/>
        <v>0.82500000000000018</v>
      </c>
      <c r="I97" s="41">
        <f t="shared" si="33"/>
        <v>6.1538461538462009E-5</v>
      </c>
      <c r="J97" s="48">
        <f t="shared" si="38"/>
        <v>5.3538461538461491E-3</v>
      </c>
      <c r="K97" s="126">
        <f t="shared" si="34"/>
        <v>5.353846153846149</v>
      </c>
      <c r="L97" s="97">
        <f t="shared" si="35"/>
        <v>0.15605674790833032</v>
      </c>
      <c r="M97" s="39">
        <f t="shared" si="29"/>
        <v>48.240093240093238</v>
      </c>
      <c r="N97" s="39">
        <f t="shared" si="36"/>
        <v>8.5085116067365235E-4</v>
      </c>
      <c r="O97" s="39">
        <f t="shared" si="37"/>
        <v>13.826331360946744</v>
      </c>
      <c r="P97" s="39">
        <f t="shared" si="30"/>
        <v>11.668639053254436</v>
      </c>
      <c r="Q97" s="39">
        <f t="shared" si="31"/>
        <v>11.668639053254436</v>
      </c>
    </row>
    <row r="98" spans="1:17" x14ac:dyDescent="0.25">
      <c r="A98" s="39">
        <f t="shared" si="24"/>
        <v>16</v>
      </c>
      <c r="B98" s="42">
        <f t="shared" si="25"/>
        <v>13.538461538461538</v>
      </c>
      <c r="C98" s="40">
        <f t="shared" si="26"/>
        <v>4.5128205128205128</v>
      </c>
      <c r="D98" s="38"/>
      <c r="E98" s="40">
        <f>((('Device Parmaters'!$D$35)*COUTMAX)/(1000*'Design Calculator'!$F$70))+C98</f>
        <v>40.812820512820508</v>
      </c>
      <c r="F98" s="40">
        <f t="shared" si="27"/>
        <v>5.337820512820513</v>
      </c>
      <c r="G98" s="38">
        <f t="shared" si="32"/>
        <v>5.337820512820513</v>
      </c>
      <c r="H98" s="40">
        <f t="shared" si="28"/>
        <v>0.82500000000000018</v>
      </c>
      <c r="I98" s="41">
        <f t="shared" si="33"/>
        <v>6.1538461538461305E-5</v>
      </c>
      <c r="J98" s="48">
        <f t="shared" si="38"/>
        <v>5.4153846153846101E-3</v>
      </c>
      <c r="K98" s="126">
        <f t="shared" si="34"/>
        <v>5.4153846153846104</v>
      </c>
      <c r="L98" s="97">
        <f t="shared" si="35"/>
        <v>0.15455746367239104</v>
      </c>
      <c r="M98" s="39">
        <f t="shared" si="29"/>
        <v>48.162393162393151</v>
      </c>
      <c r="N98" s="39">
        <f t="shared" si="36"/>
        <v>8.0856926111363676E-4</v>
      </c>
      <c r="O98" s="39">
        <f t="shared" si="37"/>
        <v>13.139250493096648</v>
      </c>
      <c r="P98" s="39">
        <f t="shared" si="30"/>
        <v>11.108481262327416</v>
      </c>
      <c r="Q98" s="39">
        <f t="shared" si="31"/>
        <v>11.108481262327416</v>
      </c>
    </row>
    <row r="99" spans="1:17" x14ac:dyDescent="0.25">
      <c r="A99" s="39">
        <f t="shared" si="24"/>
        <v>16</v>
      </c>
      <c r="B99" s="42">
        <f t="shared" si="25"/>
        <v>13.692307692307692</v>
      </c>
      <c r="C99" s="40">
        <f t="shared" si="26"/>
        <v>4.5641025641025639</v>
      </c>
      <c r="D99" s="38"/>
      <c r="E99" s="40">
        <f>((('Device Parmaters'!$D$35)*COUTMAX)/(1000*'Design Calculator'!$F$70))+C99</f>
        <v>40.864102564102559</v>
      </c>
      <c r="F99" s="40">
        <f t="shared" si="27"/>
        <v>5.3891025641025641</v>
      </c>
      <c r="G99" s="38">
        <f t="shared" si="32"/>
        <v>5.3891025641025641</v>
      </c>
      <c r="H99" s="40">
        <f t="shared" si="28"/>
        <v>0.82500000000000018</v>
      </c>
      <c r="I99" s="41">
        <f t="shared" si="33"/>
        <v>6.1538461538461305E-5</v>
      </c>
      <c r="J99" s="48">
        <f t="shared" si="38"/>
        <v>5.4769230769230711E-3</v>
      </c>
      <c r="K99" s="126">
        <f t="shared" si="34"/>
        <v>5.4769230769230708</v>
      </c>
      <c r="L99" s="97">
        <f t="shared" si="35"/>
        <v>0.15308671345307484</v>
      </c>
      <c r="M99" s="39">
        <f t="shared" si="29"/>
        <v>48.084693084693079</v>
      </c>
      <c r="N99" s="39">
        <f t="shared" si="36"/>
        <v>7.6531634046426674E-4</v>
      </c>
      <c r="O99" s="39">
        <f t="shared" si="37"/>
        <v>12.436390532544383</v>
      </c>
      <c r="P99" s="39">
        <f t="shared" si="30"/>
        <v>10.532544378698228</v>
      </c>
      <c r="Q99" s="39">
        <f t="shared" si="31"/>
        <v>10.532544378698228</v>
      </c>
    </row>
    <row r="100" spans="1:17" x14ac:dyDescent="0.25">
      <c r="A100" s="39">
        <f t="shared" si="24"/>
        <v>16</v>
      </c>
      <c r="B100" s="42">
        <f t="shared" si="25"/>
        <v>13.846153846153847</v>
      </c>
      <c r="C100" s="40">
        <f t="shared" si="26"/>
        <v>4.6153846153846159</v>
      </c>
      <c r="D100" s="38"/>
      <c r="E100" s="40">
        <f>((('Device Parmaters'!$D$35)*COUTMAX)/(1000*'Design Calculator'!$F$70))+C100</f>
        <v>40.91538461538461</v>
      </c>
      <c r="F100" s="40">
        <f t="shared" si="27"/>
        <v>5.440384615384616</v>
      </c>
      <c r="G100" s="38">
        <f t="shared" si="32"/>
        <v>5.440384615384616</v>
      </c>
      <c r="H100" s="40">
        <f t="shared" si="28"/>
        <v>0.82500000000000018</v>
      </c>
      <c r="I100" s="41">
        <f t="shared" si="33"/>
        <v>6.1538461538462009E-5</v>
      </c>
      <c r="J100" s="48">
        <f t="shared" si="38"/>
        <v>5.5384615384615329E-3</v>
      </c>
      <c r="K100" s="126">
        <f t="shared" si="34"/>
        <v>5.538461538461533</v>
      </c>
      <c r="L100" s="97">
        <f t="shared" si="35"/>
        <v>0.15164369034994699</v>
      </c>
      <c r="M100" s="39">
        <f t="shared" si="29"/>
        <v>48.006993006992992</v>
      </c>
      <c r="N100" s="39">
        <f t="shared" si="36"/>
        <v>7.2109239872554022E-4</v>
      </c>
      <c r="O100" s="39">
        <f t="shared" si="37"/>
        <v>11.717751479289939</v>
      </c>
      <c r="P100" s="39">
        <f t="shared" si="30"/>
        <v>9.9408284023668632</v>
      </c>
      <c r="Q100" s="39">
        <f t="shared" si="31"/>
        <v>9.9408284023668632</v>
      </c>
    </row>
    <row r="101" spans="1:17" x14ac:dyDescent="0.25">
      <c r="A101" s="39">
        <f t="shared" si="24"/>
        <v>16</v>
      </c>
      <c r="B101" s="42">
        <f t="shared" si="25"/>
        <v>14</v>
      </c>
      <c r="C101" s="40">
        <f t="shared" si="26"/>
        <v>4.666666666666667</v>
      </c>
      <c r="D101" s="38"/>
      <c r="E101" s="40">
        <f>((('Device Parmaters'!$D$35)*COUTMAX)/(1000*'Design Calculator'!$F$70))+C101</f>
        <v>40.966666666666661</v>
      </c>
      <c r="F101" s="40">
        <f t="shared" si="27"/>
        <v>5.4916666666666671</v>
      </c>
      <c r="G101" s="38">
        <f t="shared" si="32"/>
        <v>5.4916666666666671</v>
      </c>
      <c r="H101" s="40">
        <f t="shared" si="28"/>
        <v>0.82500000000000018</v>
      </c>
      <c r="I101" s="41">
        <f t="shared" si="33"/>
        <v>6.1538461538461305E-5</v>
      </c>
      <c r="J101" s="48">
        <f t="shared" si="38"/>
        <v>5.5999999999999939E-3</v>
      </c>
      <c r="K101" s="126">
        <f t="shared" si="34"/>
        <v>5.5999999999999943</v>
      </c>
      <c r="L101" s="97">
        <f t="shared" si="35"/>
        <v>0.15022761760242795</v>
      </c>
      <c r="M101" s="39">
        <f t="shared" si="29"/>
        <v>47.92929292929292</v>
      </c>
      <c r="N101" s="39">
        <f t="shared" si="36"/>
        <v>6.7589743589743334E-4</v>
      </c>
      <c r="O101" s="39">
        <f t="shared" si="37"/>
        <v>10.983333333333334</v>
      </c>
      <c r="P101" s="39">
        <f t="shared" si="30"/>
        <v>9.3333333333333339</v>
      </c>
      <c r="Q101" s="39">
        <f t="shared" si="31"/>
        <v>9.3333333333333339</v>
      </c>
    </row>
    <row r="102" spans="1:17" x14ac:dyDescent="0.25">
      <c r="A102" s="39">
        <f t="shared" si="24"/>
        <v>16</v>
      </c>
      <c r="B102" s="42">
        <f t="shared" si="25"/>
        <v>14.153846153846153</v>
      </c>
      <c r="C102" s="40">
        <f t="shared" si="26"/>
        <v>4.7179487179487181</v>
      </c>
      <c r="D102" s="38"/>
      <c r="E102" s="40">
        <f>((('Device Parmaters'!$D$35)*COUTMAX)/(1000*'Design Calculator'!$F$70))+C102</f>
        <v>41.017948717948713</v>
      </c>
      <c r="F102" s="40">
        <f t="shared" si="27"/>
        <v>5.5429487179487182</v>
      </c>
      <c r="G102" s="38">
        <f t="shared" si="32"/>
        <v>5.5429487179487182</v>
      </c>
      <c r="H102" s="40">
        <f t="shared" si="28"/>
        <v>0.82500000000000018</v>
      </c>
      <c r="I102" s="41">
        <f t="shared" si="33"/>
        <v>6.1538461538461305E-5</v>
      </c>
      <c r="J102" s="48">
        <f t="shared" si="38"/>
        <v>5.6615384615384548E-3</v>
      </c>
      <c r="K102" s="126">
        <f t="shared" si="34"/>
        <v>5.6615384615384547</v>
      </c>
      <c r="L102" s="97">
        <f t="shared" si="35"/>
        <v>0.14883774719555917</v>
      </c>
      <c r="M102" s="39">
        <f t="shared" si="29"/>
        <v>47.851592851592841</v>
      </c>
      <c r="N102" s="39">
        <f t="shared" si="36"/>
        <v>6.2973145197997051E-4</v>
      </c>
      <c r="O102" s="39">
        <f t="shared" si="37"/>
        <v>10.23313609467456</v>
      </c>
      <c r="P102" s="39">
        <f t="shared" si="30"/>
        <v>8.7100591715976368</v>
      </c>
      <c r="Q102" s="39">
        <f t="shared" si="31"/>
        <v>8.7100591715976368</v>
      </c>
    </row>
    <row r="103" spans="1:17" x14ac:dyDescent="0.25">
      <c r="A103" s="39">
        <f t="shared" si="24"/>
        <v>16</v>
      </c>
      <c r="B103" s="42">
        <f t="shared" si="25"/>
        <v>14.307692307692308</v>
      </c>
      <c r="C103" s="40">
        <f t="shared" si="26"/>
        <v>4.7692307692307692</v>
      </c>
      <c r="D103" s="38"/>
      <c r="E103" s="40">
        <f>((('Device Parmaters'!$D$35)*COUTMAX)/(1000*'Design Calculator'!$F$70))+C103</f>
        <v>41.069230769230764</v>
      </c>
      <c r="F103" s="40">
        <f t="shared" si="27"/>
        <v>5.5942307692307693</v>
      </c>
      <c r="G103" s="38">
        <f t="shared" si="32"/>
        <v>5.5942307692307693</v>
      </c>
      <c r="H103" s="40">
        <f t="shared" si="28"/>
        <v>0.82500000000000018</v>
      </c>
      <c r="I103" s="41">
        <f t="shared" si="33"/>
        <v>6.1538461538462009E-5</v>
      </c>
      <c r="J103" s="48">
        <f t="shared" si="38"/>
        <v>5.7230769230769167E-3</v>
      </c>
      <c r="K103" s="126">
        <f t="shared" si="34"/>
        <v>5.723076923076917</v>
      </c>
      <c r="L103" s="97">
        <f t="shared" si="35"/>
        <v>0.14747335854245447</v>
      </c>
      <c r="M103" s="39">
        <f t="shared" si="29"/>
        <v>47.773892773892761</v>
      </c>
      <c r="N103" s="39">
        <f t="shared" si="36"/>
        <v>5.8259444697314944E-4</v>
      </c>
      <c r="O103" s="39">
        <f t="shared" si="37"/>
        <v>9.4671597633136066</v>
      </c>
      <c r="P103" s="39">
        <f t="shared" si="30"/>
        <v>8.0710059171597592</v>
      </c>
      <c r="Q103" s="39">
        <f t="shared" si="31"/>
        <v>8.0710059171597592</v>
      </c>
    </row>
    <row r="104" spans="1:17" x14ac:dyDescent="0.25">
      <c r="A104" s="39">
        <f t="shared" si="24"/>
        <v>16</v>
      </c>
      <c r="B104" s="42">
        <f t="shared" si="25"/>
        <v>14.461538461538462</v>
      </c>
      <c r="C104" s="40">
        <f t="shared" si="26"/>
        <v>4.8205128205128203</v>
      </c>
      <c r="D104" s="38"/>
      <c r="E104" s="40">
        <f>((('Device Parmaters'!$D$35)*COUTMAX)/(1000*'Design Calculator'!$F$70))+C104</f>
        <v>41.120512820512815</v>
      </c>
      <c r="F104" s="40">
        <f t="shared" si="27"/>
        <v>5.6455128205128204</v>
      </c>
      <c r="G104" s="38">
        <f t="shared" si="32"/>
        <v>5.6455128205128204</v>
      </c>
      <c r="H104" s="40">
        <f t="shared" si="28"/>
        <v>0.82500000000000018</v>
      </c>
      <c r="I104" s="41">
        <f t="shared" si="33"/>
        <v>6.1538461538461305E-5</v>
      </c>
      <c r="J104" s="48">
        <f t="shared" si="38"/>
        <v>5.7846153846153776E-3</v>
      </c>
      <c r="K104" s="126">
        <f t="shared" si="34"/>
        <v>5.7846153846153774</v>
      </c>
      <c r="L104" s="97">
        <f t="shared" si="35"/>
        <v>0.14613375723856026</v>
      </c>
      <c r="M104" s="39">
        <f t="shared" si="29"/>
        <v>47.696192696192682</v>
      </c>
      <c r="N104" s="39">
        <f t="shared" si="36"/>
        <v>5.3448642087695138E-4</v>
      </c>
      <c r="O104" s="39">
        <f t="shared" si="37"/>
        <v>8.6854043392504927</v>
      </c>
      <c r="P104" s="39">
        <f t="shared" si="30"/>
        <v>7.4161735700197227</v>
      </c>
      <c r="Q104" s="39">
        <f t="shared" si="31"/>
        <v>7.4161735700197227</v>
      </c>
    </row>
    <row r="105" spans="1:17" x14ac:dyDescent="0.25">
      <c r="A105" s="39">
        <f t="shared" si="24"/>
        <v>16</v>
      </c>
      <c r="B105" s="42">
        <f t="shared" si="25"/>
        <v>14.615384615384615</v>
      </c>
      <c r="C105" s="40">
        <f t="shared" si="26"/>
        <v>4.8717948717948714</v>
      </c>
      <c r="D105" s="38"/>
      <c r="E105" s="40">
        <f>((('Device Parmaters'!$D$35)*COUTMAX)/(1000*'Design Calculator'!$F$70))+C105</f>
        <v>41.171794871794866</v>
      </c>
      <c r="F105" s="40">
        <f t="shared" si="27"/>
        <v>5.6967948717948715</v>
      </c>
      <c r="G105" s="38">
        <f t="shared" si="32"/>
        <v>5.6967948717948715</v>
      </c>
      <c r="H105" s="40">
        <f t="shared" si="28"/>
        <v>0.82500000000000018</v>
      </c>
      <c r="I105" s="41">
        <f t="shared" si="33"/>
        <v>6.1538461538461305E-5</v>
      </c>
      <c r="J105" s="48">
        <f t="shared" si="38"/>
        <v>5.8461538461538386E-3</v>
      </c>
      <c r="K105" s="126">
        <f t="shared" si="34"/>
        <v>5.8461538461538387</v>
      </c>
      <c r="L105" s="97">
        <f t="shared" si="35"/>
        <v>0.1448182738832002</v>
      </c>
      <c r="M105" s="39">
        <f t="shared" si="29"/>
        <v>47.61849261849261</v>
      </c>
      <c r="N105" s="39">
        <f t="shared" si="36"/>
        <v>4.8540737369139568E-4</v>
      </c>
      <c r="O105" s="39">
        <f t="shared" si="37"/>
        <v>7.8878698224852091</v>
      </c>
      <c r="P105" s="39">
        <f t="shared" si="30"/>
        <v>6.7455621301775164</v>
      </c>
      <c r="Q105" s="39">
        <f t="shared" si="31"/>
        <v>6.7455621301775164</v>
      </c>
    </row>
    <row r="106" spans="1:17" x14ac:dyDescent="0.25">
      <c r="A106" s="39">
        <f t="shared" ref="A106:A114" si="39">VINMAX</f>
        <v>16</v>
      </c>
      <c r="B106" s="42">
        <f t="shared" ref="B106:B114" si="40">VINMAX*((ROW()-10)/104)</f>
        <v>14.76923076923077</v>
      </c>
      <c r="C106" s="40">
        <f t="shared" ref="C106:C114" si="41">IF(B106&gt;=$H$2,IF($D$2="CC", $G$2, B106/$G$2), 0)</f>
        <v>4.9230769230769234</v>
      </c>
      <c r="D106" s="38"/>
      <c r="E106" s="40">
        <f>((('Device Parmaters'!$D$35)*COUTMAX)/(1000*'Design Calculator'!$F$70))+C106</f>
        <v>41.223076923076917</v>
      </c>
      <c r="F106" s="40">
        <f t="shared" ref="F106:F114" si="42">I_Cout_ss+C106</f>
        <v>5.7480769230769235</v>
      </c>
      <c r="G106" s="38">
        <f t="shared" si="32"/>
        <v>5.7480769230769235</v>
      </c>
      <c r="H106" s="40">
        <f t="shared" ref="H106:H114" si="43">G106-C106</f>
        <v>0.82500000000000018</v>
      </c>
      <c r="I106" s="41">
        <f t="shared" si="33"/>
        <v>6.1538461538462009E-5</v>
      </c>
      <c r="J106" s="48">
        <f t="shared" si="38"/>
        <v>5.9076923076923004E-3</v>
      </c>
      <c r="K106" s="126">
        <f t="shared" si="34"/>
        <v>5.9076923076923</v>
      </c>
      <c r="L106" s="97">
        <f t="shared" si="35"/>
        <v>0.14352626296420209</v>
      </c>
      <c r="M106" s="39">
        <f t="shared" ref="M106:M114" si="44">1/COUTMAX*(E106/2-C106)*1000</f>
        <v>47.54079254079253</v>
      </c>
      <c r="N106" s="39">
        <f t="shared" si="36"/>
        <v>4.3535730541648007E-4</v>
      </c>
      <c r="O106" s="39">
        <f t="shared" si="37"/>
        <v>7.0745562130177477</v>
      </c>
      <c r="P106" s="39">
        <f t="shared" ref="P106:P114" si="45">(A106-B106)*(I_Cout_ss*$Q$2+C106)</f>
        <v>6.0591715976331324</v>
      </c>
      <c r="Q106" s="39">
        <f t="shared" ref="Q106:Q114" si="46">(A106-B106)*(I_Cout_ss*$R$2+C106)</f>
        <v>6.0591715976331324</v>
      </c>
    </row>
    <row r="107" spans="1:17" x14ac:dyDescent="0.25">
      <c r="A107" s="39">
        <f t="shared" si="39"/>
        <v>16</v>
      </c>
      <c r="B107" s="42">
        <f t="shared" si="40"/>
        <v>14.923076923076923</v>
      </c>
      <c r="C107" s="40">
        <f t="shared" si="41"/>
        <v>4.9743589743589745</v>
      </c>
      <c r="D107" s="38"/>
      <c r="E107" s="40">
        <f>((('Device Parmaters'!$D$35)*COUTMAX)/(1000*'Design Calculator'!$F$70))+C107</f>
        <v>41.274358974358975</v>
      </c>
      <c r="F107" s="40">
        <f t="shared" si="42"/>
        <v>5.7993589743589746</v>
      </c>
      <c r="G107" s="38">
        <f t="shared" si="32"/>
        <v>5.7993589743589746</v>
      </c>
      <c r="H107" s="40">
        <f t="shared" si="43"/>
        <v>0.82500000000000018</v>
      </c>
      <c r="I107" s="41">
        <f t="shared" ref="I107:I114" si="47">(COUTMAX/1000000)*(B107-B106)/H107</f>
        <v>6.1538461538461305E-5</v>
      </c>
      <c r="J107" s="48">
        <f t="shared" si="38"/>
        <v>5.9692307692307614E-3</v>
      </c>
      <c r="K107" s="126">
        <f t="shared" si="34"/>
        <v>5.9692307692307613</v>
      </c>
      <c r="L107" s="97">
        <f t="shared" si="35"/>
        <v>0.14225710180170226</v>
      </c>
      <c r="M107" s="39">
        <f t="shared" si="44"/>
        <v>47.463092463092465</v>
      </c>
      <c r="N107" s="39">
        <f t="shared" si="36"/>
        <v>3.8433621605219083E-4</v>
      </c>
      <c r="O107" s="39">
        <f t="shared" si="37"/>
        <v>6.2454635108481247</v>
      </c>
      <c r="P107" s="39">
        <f t="shared" si="45"/>
        <v>5.3570019723865867</v>
      </c>
      <c r="Q107" s="39">
        <f t="shared" si="46"/>
        <v>5.3570019723865867</v>
      </c>
    </row>
    <row r="108" spans="1:17" x14ac:dyDescent="0.25">
      <c r="A108" s="39">
        <f t="shared" si="39"/>
        <v>16</v>
      </c>
      <c r="B108" s="42">
        <f t="shared" si="40"/>
        <v>15.076923076923077</v>
      </c>
      <c r="C108" s="40">
        <f t="shared" si="41"/>
        <v>5.0256410256410255</v>
      </c>
      <c r="D108" s="38"/>
      <c r="E108" s="40">
        <f>((('Device Parmaters'!$D$35)*COUTMAX)/(1000*'Design Calculator'!$F$70))+C108</f>
        <v>41.325641025641019</v>
      </c>
      <c r="F108" s="40">
        <f t="shared" si="42"/>
        <v>5.8506410256410257</v>
      </c>
      <c r="G108" s="38">
        <f t="shared" si="32"/>
        <v>5.8506410256410257</v>
      </c>
      <c r="H108" s="40">
        <f t="shared" si="43"/>
        <v>0.82500000000000018</v>
      </c>
      <c r="I108" s="41">
        <f t="shared" si="47"/>
        <v>6.1538461538461305E-5</v>
      </c>
      <c r="J108" s="48">
        <f t="shared" si="38"/>
        <v>6.0307692307692224E-3</v>
      </c>
      <c r="K108" s="126">
        <f t="shared" si="34"/>
        <v>6.0307692307692227</v>
      </c>
      <c r="L108" s="97">
        <f t="shared" si="35"/>
        <v>0.14101018954749647</v>
      </c>
      <c r="M108" s="39">
        <f t="shared" si="44"/>
        <v>47.385392385392379</v>
      </c>
      <c r="N108" s="39">
        <f t="shared" si="36"/>
        <v>3.3234410559854232E-4</v>
      </c>
      <c r="O108" s="39">
        <f t="shared" si="37"/>
        <v>5.4005917159763328</v>
      </c>
      <c r="P108" s="39">
        <f t="shared" si="45"/>
        <v>4.6390532544378713</v>
      </c>
      <c r="Q108" s="39">
        <f t="shared" si="46"/>
        <v>4.6390532544378713</v>
      </c>
    </row>
    <row r="109" spans="1:17" x14ac:dyDescent="0.25">
      <c r="A109" s="39">
        <f t="shared" si="39"/>
        <v>16</v>
      </c>
      <c r="B109" s="42">
        <f t="shared" si="40"/>
        <v>15.23076923076923</v>
      </c>
      <c r="C109" s="40">
        <f t="shared" si="41"/>
        <v>5.0769230769230766</v>
      </c>
      <c r="D109" s="38"/>
      <c r="E109" s="40">
        <f>((('Device Parmaters'!$D$35)*COUTMAX)/(1000*'Design Calculator'!$F$70))+C109</f>
        <v>41.376923076923077</v>
      </c>
      <c r="F109" s="40">
        <f t="shared" si="42"/>
        <v>5.9019230769230768</v>
      </c>
      <c r="G109" s="38">
        <f t="shared" si="32"/>
        <v>5.9019230769230768</v>
      </c>
      <c r="H109" s="40">
        <f t="shared" si="43"/>
        <v>0.82500000000000018</v>
      </c>
      <c r="I109" s="41">
        <f t="shared" si="47"/>
        <v>6.1538461538461305E-5</v>
      </c>
      <c r="J109" s="48">
        <f t="shared" si="38"/>
        <v>6.0923076923076833E-3</v>
      </c>
      <c r="K109" s="126">
        <f t="shared" si="34"/>
        <v>6.0923076923076831</v>
      </c>
      <c r="L109" s="97">
        <f t="shared" si="35"/>
        <v>0.13978494623655918</v>
      </c>
      <c r="M109" s="39">
        <f t="shared" si="44"/>
        <v>47.307692307692307</v>
      </c>
      <c r="N109" s="39">
        <f t="shared" si="36"/>
        <v>2.7938097405552951E-4</v>
      </c>
      <c r="O109" s="39">
        <f t="shared" si="37"/>
        <v>4.5399408284023712</v>
      </c>
      <c r="P109" s="39">
        <f t="shared" si="45"/>
        <v>3.9053254437869862</v>
      </c>
      <c r="Q109" s="39">
        <f t="shared" si="46"/>
        <v>3.9053254437869862</v>
      </c>
    </row>
    <row r="110" spans="1:17" x14ac:dyDescent="0.25">
      <c r="A110" s="39">
        <f t="shared" si="39"/>
        <v>16</v>
      </c>
      <c r="B110" s="42">
        <f t="shared" si="40"/>
        <v>15.384615384615385</v>
      </c>
      <c r="C110" s="40">
        <f t="shared" si="41"/>
        <v>5.1282051282051286</v>
      </c>
      <c r="D110" s="38"/>
      <c r="E110" s="40">
        <f>((('Device Parmaters'!$D$35)*COUTMAX)/(1000*'Design Calculator'!$F$70))+C110</f>
        <v>41.428205128205128</v>
      </c>
      <c r="F110" s="40">
        <f t="shared" si="42"/>
        <v>5.9532051282051288</v>
      </c>
      <c r="G110" s="38">
        <f t="shared" si="32"/>
        <v>5.9532051282051288</v>
      </c>
      <c r="H110" s="40">
        <f t="shared" si="43"/>
        <v>0.82500000000000018</v>
      </c>
      <c r="I110" s="41">
        <f t="shared" si="47"/>
        <v>6.1538461538462009E-5</v>
      </c>
      <c r="J110" s="48">
        <f t="shared" si="38"/>
        <v>6.1538461538461452E-3</v>
      </c>
      <c r="K110" s="126">
        <f t="shared" si="34"/>
        <v>6.1538461538461453</v>
      </c>
      <c r="L110" s="97">
        <f t="shared" si="35"/>
        <v>0.13858081188758481</v>
      </c>
      <c r="M110" s="39">
        <f t="shared" si="44"/>
        <v>47.229992229992234</v>
      </c>
      <c r="N110" s="39">
        <f t="shared" si="36"/>
        <v>2.2544682142315437E-4</v>
      </c>
      <c r="O110" s="39">
        <f t="shared" si="37"/>
        <v>3.6635108481262306</v>
      </c>
      <c r="P110" s="39">
        <f t="shared" si="45"/>
        <v>3.1558185404339234</v>
      </c>
      <c r="Q110" s="39">
        <f t="shared" si="46"/>
        <v>3.1558185404339234</v>
      </c>
    </row>
    <row r="111" spans="1:17" x14ac:dyDescent="0.25">
      <c r="A111" s="39">
        <f t="shared" si="39"/>
        <v>16</v>
      </c>
      <c r="B111" s="42">
        <f t="shared" si="40"/>
        <v>15.538461538461538</v>
      </c>
      <c r="C111" s="40">
        <f t="shared" si="41"/>
        <v>5.1794871794871797</v>
      </c>
      <c r="D111" s="38"/>
      <c r="E111" s="40">
        <f>((('Device Parmaters'!$D$35)*COUTMAX)/(1000*'Design Calculator'!$F$70))+C111</f>
        <v>41.47948717948718</v>
      </c>
      <c r="F111" s="40">
        <f t="shared" si="42"/>
        <v>6.0044871794871799</v>
      </c>
      <c r="G111" s="38">
        <f>IF($F$2="YES", F111, E111)</f>
        <v>6.0044871794871799</v>
      </c>
      <c r="H111" s="40">
        <f t="shared" si="43"/>
        <v>0.82500000000000018</v>
      </c>
      <c r="I111" s="41">
        <f t="shared" si="47"/>
        <v>6.1538461538461305E-5</v>
      </c>
      <c r="J111" s="48">
        <f>J110+I111</f>
        <v>6.2153846153846061E-3</v>
      </c>
      <c r="K111" s="126">
        <f t="shared" si="34"/>
        <v>6.2153846153846057</v>
      </c>
      <c r="L111" s="97">
        <f>H111/G111</f>
        <v>0.13739724564962102</v>
      </c>
      <c r="M111" s="39">
        <f t="shared" si="44"/>
        <v>47.152292152292155</v>
      </c>
      <c r="N111" s="39">
        <f>I111*G111*(A111-B111)</f>
        <v>1.7054164770141043E-4</v>
      </c>
      <c r="O111" s="39">
        <f t="shared" si="37"/>
        <v>2.7713017751479301</v>
      </c>
      <c r="P111" s="39">
        <f t="shared" si="45"/>
        <v>2.3905325443786989</v>
      </c>
      <c r="Q111" s="39">
        <f t="shared" si="46"/>
        <v>2.3905325443786989</v>
      </c>
    </row>
    <row r="112" spans="1:17" x14ac:dyDescent="0.25">
      <c r="A112" s="39">
        <f t="shared" si="39"/>
        <v>16</v>
      </c>
      <c r="B112" s="42">
        <f t="shared" si="40"/>
        <v>15.692307692307692</v>
      </c>
      <c r="C112" s="40">
        <f t="shared" si="41"/>
        <v>5.2307692307692308</v>
      </c>
      <c r="D112" s="38"/>
      <c r="E112" s="40">
        <f>((('Device Parmaters'!$D$35)*COUTMAX)/(1000*'Design Calculator'!$F$70))+C112</f>
        <v>41.530769230769231</v>
      </c>
      <c r="F112" s="40">
        <f t="shared" si="42"/>
        <v>6.055769230769231</v>
      </c>
      <c r="G112" s="38">
        <f>IF($F$2="YES", F112, E112)</f>
        <v>6.055769230769231</v>
      </c>
      <c r="H112" s="40">
        <f t="shared" si="43"/>
        <v>0.82500000000000018</v>
      </c>
      <c r="I112" s="41">
        <f t="shared" si="47"/>
        <v>6.1538461538461305E-5</v>
      </c>
      <c r="J112" s="48">
        <f>J111+I112</f>
        <v>6.2769230769230671E-3</v>
      </c>
      <c r="K112" s="126">
        <f t="shared" si="34"/>
        <v>6.2769230769230671</v>
      </c>
      <c r="L112" s="97">
        <f>H112/G112</f>
        <v>0.13623372499206099</v>
      </c>
      <c r="M112" s="39">
        <f t="shared" si="44"/>
        <v>47.074592074592076</v>
      </c>
      <c r="N112" s="39">
        <f>I112*G112*(A112-B112)</f>
        <v>1.1466545289030478E-4</v>
      </c>
      <c r="O112" s="39">
        <f t="shared" si="37"/>
        <v>1.8633136094674598</v>
      </c>
      <c r="P112" s="39">
        <f t="shared" si="45"/>
        <v>1.6094674556213053</v>
      </c>
      <c r="Q112" s="39">
        <f t="shared" si="46"/>
        <v>1.6094674556213053</v>
      </c>
    </row>
    <row r="113" spans="1:17" x14ac:dyDescent="0.25">
      <c r="A113" s="39">
        <f t="shared" si="39"/>
        <v>16</v>
      </c>
      <c r="B113" s="42">
        <f t="shared" si="40"/>
        <v>15.846153846153847</v>
      </c>
      <c r="C113" s="40">
        <f t="shared" si="41"/>
        <v>5.2820512820512819</v>
      </c>
      <c r="D113" s="38"/>
      <c r="E113" s="40">
        <f>((('Device Parmaters'!$D$35)*COUTMAX)/(1000*'Design Calculator'!$F$70))+C113</f>
        <v>41.582051282051282</v>
      </c>
      <c r="F113" s="40">
        <f t="shared" si="42"/>
        <v>6.1070512820512821</v>
      </c>
      <c r="G113" s="38">
        <f>IF($F$2="YES", F113, E113)</f>
        <v>6.1070512820512821</v>
      </c>
      <c r="H113" s="40">
        <f t="shared" si="43"/>
        <v>0.82500000000000018</v>
      </c>
      <c r="I113" s="41">
        <f t="shared" si="47"/>
        <v>6.1538461538462009E-5</v>
      </c>
      <c r="J113" s="48">
        <f>J112+I113</f>
        <v>6.3384615384615289E-3</v>
      </c>
      <c r="K113" s="126">
        <f t="shared" si="34"/>
        <v>6.3384615384615293</v>
      </c>
      <c r="L113" s="97">
        <f>H113/G113</f>
        <v>0.13508974493544665</v>
      </c>
      <c r="M113" s="39">
        <f t="shared" si="44"/>
        <v>46.996891996891996</v>
      </c>
      <c r="N113" s="39">
        <f>I113*G113*(A113-B113)</f>
        <v>5.7818236989834862E-5</v>
      </c>
      <c r="O113" s="39">
        <f t="shared" si="37"/>
        <v>0.93954635108480933</v>
      </c>
      <c r="P113" s="39">
        <f t="shared" si="45"/>
        <v>0.81262327416173274</v>
      </c>
      <c r="Q113" s="39">
        <f t="shared" si="46"/>
        <v>0.81262327416173274</v>
      </c>
    </row>
    <row r="114" spans="1:17" x14ac:dyDescent="0.25">
      <c r="A114" s="39">
        <f t="shared" si="39"/>
        <v>16</v>
      </c>
      <c r="B114" s="42">
        <f t="shared" si="40"/>
        <v>16</v>
      </c>
      <c r="C114" s="40">
        <f t="shared" si="41"/>
        <v>5.333333333333333</v>
      </c>
      <c r="D114" s="38"/>
      <c r="E114" s="40">
        <f>((('Device Parmaters'!$D$35)*COUTMAX)/(1000*'Design Calculator'!$F$70))+C114</f>
        <v>41.633333333333333</v>
      </c>
      <c r="F114" s="40">
        <f t="shared" si="42"/>
        <v>6.1583333333333332</v>
      </c>
      <c r="G114" s="38">
        <f>IF($F$2="YES", F114, E114)</f>
        <v>6.1583333333333332</v>
      </c>
      <c r="H114" s="40">
        <f t="shared" si="43"/>
        <v>0.82500000000000018</v>
      </c>
      <c r="I114" s="41">
        <f t="shared" si="47"/>
        <v>6.1538461538461305E-5</v>
      </c>
      <c r="J114" s="48">
        <f>J113+I114</f>
        <v>6.3999999999999899E-3</v>
      </c>
      <c r="K114" s="126">
        <f t="shared" si="34"/>
        <v>6.3999999999999897</v>
      </c>
      <c r="L114" s="97">
        <f>H114/G114</f>
        <v>0.13396481732070367</v>
      </c>
      <c r="M114" s="39">
        <f t="shared" si="44"/>
        <v>46.919191919191924</v>
      </c>
      <c r="N114" s="39">
        <f>I114*G114*(A114-B114)</f>
        <v>0</v>
      </c>
      <c r="O114" s="39">
        <f t="shared" si="37"/>
        <v>0</v>
      </c>
      <c r="P114" s="39">
        <f t="shared" si="45"/>
        <v>0</v>
      </c>
      <c r="Q114" s="39">
        <f t="shared" si="46"/>
        <v>0</v>
      </c>
    </row>
    <row r="115" spans="1:17" x14ac:dyDescent="0.25">
      <c r="K115" s="127">
        <f>K114+0.5</f>
        <v>6.8999999999999897</v>
      </c>
      <c r="N115" s="39">
        <v>0</v>
      </c>
      <c r="O115" s="39">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9" zoomScale="85" zoomScaleNormal="85" workbookViewId="0">
      <selection activeCell="H8" sqref="H8:H28"/>
    </sheetView>
  </sheetViews>
  <sheetFormatPr defaultRowHeight="13.2" x14ac:dyDescent="0.25"/>
  <cols>
    <col min="1" max="1" width="19.6640625" customWidth="1"/>
    <col min="2" max="2" width="17.33203125" customWidth="1"/>
    <col min="3" max="3" width="13.33203125" customWidth="1"/>
    <col min="4" max="4" width="16" customWidth="1"/>
    <col min="5" max="6" width="17.6640625" customWidth="1"/>
    <col min="7" max="7" width="31.5546875" customWidth="1"/>
    <col min="8" max="8" width="20" customWidth="1"/>
    <col min="13" max="13" width="12.6640625" customWidth="1"/>
    <col min="15" max="15" width="17.33203125" customWidth="1"/>
    <col min="17" max="17" width="13.33203125" customWidth="1"/>
    <col min="18" max="18" width="16.6640625" customWidth="1"/>
    <col min="20" max="20" width="13" customWidth="1"/>
    <col min="21" max="21" width="10.33203125" customWidth="1"/>
  </cols>
  <sheetData>
    <row r="1" spans="1:22" x14ac:dyDescent="0.25">
      <c r="A1" s="163"/>
      <c r="B1" s="163"/>
      <c r="C1" s="165"/>
      <c r="D1" s="165"/>
      <c r="E1" s="165"/>
      <c r="F1" s="165"/>
      <c r="G1" s="165"/>
      <c r="H1" s="163"/>
      <c r="I1" s="163"/>
      <c r="J1" s="163"/>
      <c r="K1" s="163"/>
      <c r="L1" s="163"/>
      <c r="M1" s="163"/>
      <c r="N1" s="163"/>
      <c r="O1" s="163"/>
      <c r="P1" s="163"/>
      <c r="Q1" s="163"/>
      <c r="R1" s="163"/>
      <c r="S1" s="163"/>
      <c r="T1" s="163"/>
      <c r="U1" s="163"/>
      <c r="V1" s="163"/>
    </row>
    <row r="2" spans="1:22" x14ac:dyDescent="0.25">
      <c r="A2" s="170"/>
      <c r="B2" s="185"/>
      <c r="C2" s="373" t="s">
        <v>134</v>
      </c>
      <c r="D2" s="374"/>
      <c r="E2" s="374"/>
      <c r="F2" s="173"/>
      <c r="G2" s="173"/>
      <c r="H2" s="167" t="s">
        <v>155</v>
      </c>
      <c r="I2" s="165"/>
      <c r="J2" s="165"/>
      <c r="K2" s="165"/>
      <c r="L2" s="165"/>
      <c r="M2" s="165"/>
      <c r="N2" s="165"/>
      <c r="O2" s="171"/>
      <c r="P2" s="171"/>
      <c r="Q2" s="171"/>
      <c r="R2" s="171"/>
      <c r="S2" s="171"/>
      <c r="T2" s="171"/>
      <c r="U2" s="165"/>
      <c r="V2" s="165"/>
    </row>
    <row r="3" spans="1:22" x14ac:dyDescent="0.25">
      <c r="A3" s="170"/>
      <c r="B3" s="172" t="s">
        <v>171</v>
      </c>
      <c r="C3" s="172" t="s">
        <v>135</v>
      </c>
      <c r="D3" s="172" t="s">
        <v>136</v>
      </c>
      <c r="E3" s="172" t="s">
        <v>137</v>
      </c>
      <c r="F3" s="186" t="s">
        <v>294</v>
      </c>
      <c r="G3" s="176"/>
      <c r="H3" s="167" t="s">
        <v>153</v>
      </c>
      <c r="I3" s="173"/>
      <c r="J3" s="173"/>
      <c r="K3" s="173"/>
      <c r="L3" s="173"/>
      <c r="M3" s="173"/>
      <c r="N3" s="165"/>
      <c r="O3" s="173"/>
      <c r="P3" s="173"/>
      <c r="Q3" s="174"/>
      <c r="R3" s="174"/>
      <c r="S3" s="174"/>
      <c r="T3" s="174"/>
      <c r="U3" s="165"/>
      <c r="V3" s="165"/>
    </row>
    <row r="4" spans="1:22" ht="21.6" customHeight="1" x14ac:dyDescent="0.25">
      <c r="A4" s="172" t="s">
        <v>138</v>
      </c>
      <c r="B4" s="170">
        <f>'Design Calculator'!AN53</f>
        <v>160</v>
      </c>
      <c r="C4" s="175">
        <f>'Design Calculator'!$AN$54</f>
        <v>21</v>
      </c>
      <c r="D4" s="175">
        <f>'Design Calculator'!$AN$55</f>
        <v>10</v>
      </c>
      <c r="E4" s="175">
        <f>IF('Design Calculator'!$AN$56 = "NA", F4, 'Design Calculator'!$AN$56)</f>
        <v>5</v>
      </c>
      <c r="F4" s="175">
        <f>'Design Calculator'!AN57</f>
        <v>2.8</v>
      </c>
      <c r="G4" s="179"/>
      <c r="H4" s="167" t="s">
        <v>154</v>
      </c>
      <c r="I4" s="173"/>
      <c r="J4" s="173"/>
      <c r="K4" s="173"/>
      <c r="L4" s="174"/>
      <c r="M4" s="174"/>
      <c r="N4" s="165"/>
      <c r="O4" s="173"/>
      <c r="P4" s="173"/>
      <c r="Q4" s="174"/>
      <c r="R4" s="174"/>
      <c r="S4" s="174"/>
      <c r="T4" s="174"/>
      <c r="U4" s="165"/>
      <c r="V4" s="165"/>
    </row>
    <row r="5" spans="1:22" x14ac:dyDescent="0.25">
      <c r="A5" s="165"/>
      <c r="B5" s="163"/>
      <c r="C5" s="173"/>
      <c r="D5" s="174"/>
      <c r="E5" s="174"/>
      <c r="F5" s="174"/>
      <c r="G5" s="174"/>
      <c r="H5" s="165"/>
      <c r="I5" s="173"/>
      <c r="J5" s="173"/>
      <c r="K5" s="173"/>
      <c r="L5" s="174"/>
      <c r="M5" s="174"/>
      <c r="N5" s="375"/>
      <c r="O5" s="375"/>
      <c r="P5" s="375"/>
      <c r="Q5" s="174"/>
      <c r="R5" s="376"/>
      <c r="S5" s="377"/>
      <c r="T5" s="377"/>
      <c r="U5" s="165"/>
      <c r="V5" s="165"/>
    </row>
    <row r="6" spans="1:22" x14ac:dyDescent="0.25">
      <c r="A6" s="165"/>
      <c r="B6" s="163"/>
      <c r="C6" s="173"/>
      <c r="D6" s="174"/>
      <c r="E6" s="174"/>
      <c r="F6" s="174"/>
      <c r="G6" s="174"/>
      <c r="H6" s="165"/>
      <c r="I6" s="173"/>
      <c r="J6" s="173"/>
      <c r="K6" s="173"/>
      <c r="L6" s="174"/>
      <c r="M6" s="174"/>
      <c r="N6" s="165"/>
      <c r="O6" s="176"/>
      <c r="P6" s="165"/>
      <c r="Q6" s="165"/>
      <c r="R6" s="165"/>
      <c r="S6" s="165"/>
      <c r="T6" s="165"/>
      <c r="U6" s="165"/>
      <c r="V6" s="165"/>
    </row>
    <row r="7" spans="1:22" ht="14.4" x14ac:dyDescent="0.3">
      <c r="A7" s="165"/>
      <c r="B7" s="177" t="s">
        <v>291</v>
      </c>
      <c r="C7" s="163"/>
      <c r="D7" s="163"/>
      <c r="E7" s="163"/>
      <c r="F7" s="163"/>
      <c r="G7" s="184" t="s">
        <v>280</v>
      </c>
      <c r="H7" s="165"/>
      <c r="I7" s="163"/>
      <c r="J7" s="183"/>
      <c r="K7" s="174"/>
      <c r="L7" s="165"/>
      <c r="M7" s="165"/>
      <c r="N7" s="176"/>
      <c r="O7" s="176"/>
      <c r="P7" s="176"/>
      <c r="Q7" s="165"/>
      <c r="R7" s="165"/>
      <c r="S7" s="165"/>
      <c r="T7" s="178"/>
      <c r="U7" s="173"/>
      <c r="V7" s="165"/>
    </row>
    <row r="8" spans="1:22" ht="14.4" x14ac:dyDescent="0.3">
      <c r="A8" s="165"/>
      <c r="B8" s="167" t="s">
        <v>139</v>
      </c>
      <c r="C8" s="163" t="e">
        <f>IF('Design Calculator'!F69="No", 'Design Calculator'!#REF!,'Design Calculator'!#REF!)</f>
        <v>#REF!</v>
      </c>
      <c r="D8" s="167" t="s">
        <v>8</v>
      </c>
      <c r="E8" s="163"/>
      <c r="F8" s="163"/>
      <c r="G8" s="167" t="s">
        <v>139</v>
      </c>
      <c r="H8" s="163">
        <f>Equations!F78</f>
        <v>3.6797559115179279</v>
      </c>
      <c r="I8" s="167" t="s">
        <v>8</v>
      </c>
      <c r="J8" s="182"/>
      <c r="K8" s="174"/>
      <c r="L8" s="165"/>
      <c r="M8" s="165"/>
      <c r="N8" s="176"/>
      <c r="O8" s="165"/>
      <c r="P8" s="178"/>
      <c r="Q8" s="165"/>
      <c r="R8" s="165"/>
      <c r="S8" s="165"/>
      <c r="T8" s="178"/>
      <c r="U8" s="173"/>
      <c r="V8" s="165"/>
    </row>
    <row r="9" spans="1:22" ht="14.4" x14ac:dyDescent="0.3">
      <c r="A9" s="165"/>
      <c r="B9" s="167" t="s">
        <v>140</v>
      </c>
      <c r="C9" s="163">
        <f>VINMAX</f>
        <v>16</v>
      </c>
      <c r="D9" s="163" t="s">
        <v>68</v>
      </c>
      <c r="E9" s="163"/>
      <c r="F9" s="163"/>
      <c r="G9" s="167" t="s">
        <v>140</v>
      </c>
      <c r="H9" s="163">
        <f>VINMAX</f>
        <v>16</v>
      </c>
      <c r="I9" s="163" t="s">
        <v>68</v>
      </c>
      <c r="J9" s="163"/>
      <c r="K9" s="174"/>
      <c r="L9" s="165"/>
      <c r="M9" s="165"/>
      <c r="N9" s="176"/>
      <c r="O9" s="165"/>
      <c r="P9" s="178"/>
      <c r="Q9" s="165"/>
      <c r="R9" s="165"/>
      <c r="S9" s="165"/>
      <c r="T9" s="178"/>
      <c r="U9" s="165"/>
      <c r="V9" s="165"/>
    </row>
    <row r="10" spans="1:22" ht="14.4" x14ac:dyDescent="0.3">
      <c r="A10" s="165"/>
      <c r="B10" s="167" t="s">
        <v>141</v>
      </c>
      <c r="C10" s="163" t="e">
        <f>IF(C8&lt;10, IF(C8&lt;1, 0.1, 1), IF(C8&lt;100, 10, 100))</f>
        <v>#REF!</v>
      </c>
      <c r="D10" s="167" t="s">
        <v>8</v>
      </c>
      <c r="E10" s="163"/>
      <c r="F10" s="163"/>
      <c r="G10" s="167" t="s">
        <v>141</v>
      </c>
      <c r="H10" s="163">
        <f>IF(H8&lt;10, IF(H8&lt;1, 0.1, 1), IF(H8&lt;100, 10, 100))</f>
        <v>1</v>
      </c>
      <c r="I10" s="167" t="s">
        <v>8</v>
      </c>
      <c r="J10" s="163"/>
      <c r="K10" s="174"/>
      <c r="L10" s="165"/>
      <c r="M10" s="165"/>
      <c r="N10" s="176"/>
      <c r="O10" s="165"/>
      <c r="P10" s="178"/>
      <c r="Q10" s="165"/>
      <c r="R10" s="165"/>
      <c r="S10" s="165"/>
      <c r="T10" s="178"/>
      <c r="U10" s="165"/>
      <c r="V10" s="165"/>
    </row>
    <row r="11" spans="1:22" ht="14.4" x14ac:dyDescent="0.3">
      <c r="A11" s="165"/>
      <c r="B11" s="167" t="s">
        <v>363</v>
      </c>
      <c r="C11" s="163" t="e">
        <f>IF('Design Calculator'!F56="NA", MIN(SOA!C10,1),SOA!C10)</f>
        <v>#REF!</v>
      </c>
      <c r="D11" s="167"/>
      <c r="E11" s="163"/>
      <c r="F11" s="163"/>
      <c r="G11" s="167" t="s">
        <v>363</v>
      </c>
      <c r="H11" s="163">
        <f>IF('Design Calculator'!F56="NA", MIN(SOA!H10,1),SOA!H10)</f>
        <v>1</v>
      </c>
      <c r="I11" s="167"/>
      <c r="J11" s="163"/>
      <c r="K11" s="174"/>
      <c r="L11" s="165"/>
      <c r="M11" s="165"/>
      <c r="N11" s="165"/>
      <c r="O11" s="165"/>
      <c r="P11" s="178"/>
      <c r="Q11" s="165"/>
      <c r="R11" s="165"/>
      <c r="S11" s="165"/>
      <c r="T11" s="165"/>
      <c r="U11" s="165"/>
      <c r="V11" s="165"/>
    </row>
    <row r="12" spans="1:22" x14ac:dyDescent="0.25">
      <c r="A12" s="165"/>
      <c r="B12" s="167" t="s">
        <v>142</v>
      </c>
      <c r="C12" s="163" t="e">
        <f>C10*10</f>
        <v>#REF!</v>
      </c>
      <c r="D12" s="167" t="s">
        <v>8</v>
      </c>
      <c r="E12" s="163"/>
      <c r="F12" s="163"/>
      <c r="G12" s="167" t="s">
        <v>364</v>
      </c>
      <c r="H12" s="163">
        <f>H10*10</f>
        <v>10</v>
      </c>
      <c r="I12" s="167" t="s">
        <v>8</v>
      </c>
      <c r="J12" s="163"/>
      <c r="K12" s="174"/>
      <c r="L12" s="165"/>
      <c r="M12" s="165"/>
      <c r="N12" s="165"/>
      <c r="O12" s="165"/>
      <c r="P12" s="165"/>
      <c r="Q12" s="165"/>
      <c r="R12" s="165"/>
      <c r="S12" s="165"/>
      <c r="T12" s="165"/>
      <c r="U12" s="165"/>
      <c r="V12" s="165"/>
    </row>
    <row r="13" spans="1:22" x14ac:dyDescent="0.25">
      <c r="A13" s="165"/>
      <c r="B13" s="167" t="s">
        <v>365</v>
      </c>
      <c r="C13" s="163" t="e">
        <f>IF('Design Calculator'!F57="NA", MIN(SOA!C12,10),SOA!C12)</f>
        <v>#REF!</v>
      </c>
      <c r="D13" s="167"/>
      <c r="E13" s="163"/>
      <c r="F13" s="163"/>
      <c r="G13" s="167" t="s">
        <v>365</v>
      </c>
      <c r="H13" s="163">
        <f>IF('Design Calculator'!F57="NA", MIN(SOA!H12,10),SOA!H12)</f>
        <v>10</v>
      </c>
      <c r="I13" s="167"/>
      <c r="J13" s="163"/>
      <c r="K13" s="174"/>
      <c r="L13" s="165"/>
      <c r="M13" s="165"/>
      <c r="N13" s="165"/>
      <c r="O13" s="165"/>
      <c r="P13" s="165"/>
      <c r="Q13" s="165"/>
      <c r="R13" s="165"/>
      <c r="S13" s="165"/>
      <c r="T13" s="165"/>
      <c r="U13" s="165"/>
      <c r="V13" s="165"/>
    </row>
    <row r="14" spans="1:22" x14ac:dyDescent="0.25">
      <c r="A14" s="165"/>
      <c r="B14" s="167" t="s">
        <v>143</v>
      </c>
      <c r="C14" s="163" t="e">
        <f>IF(C11=0.1, B4, IF(C11=1, C4, IF(C11=10, D4, E4)))</f>
        <v>#REF!</v>
      </c>
      <c r="D14" s="167" t="s">
        <v>27</v>
      </c>
      <c r="E14" s="163"/>
      <c r="F14" s="163"/>
      <c r="G14" s="167" t="s">
        <v>143</v>
      </c>
      <c r="H14" s="163">
        <f>IF(H11=0.1, B4, IF(H11=1, C4, IF(H11=10, D4, E4)))</f>
        <v>21</v>
      </c>
      <c r="I14" s="167" t="s">
        <v>27</v>
      </c>
      <c r="J14" s="163"/>
      <c r="K14" s="174"/>
      <c r="L14" s="165"/>
      <c r="M14" s="165"/>
      <c r="N14" s="165"/>
      <c r="O14" s="165"/>
      <c r="P14" s="165"/>
      <c r="Q14" s="165"/>
      <c r="R14" s="165"/>
      <c r="S14" s="165"/>
      <c r="T14" s="165"/>
      <c r="U14" s="165"/>
      <c r="V14" s="165"/>
    </row>
    <row r="15" spans="1:22" x14ac:dyDescent="0.25">
      <c r="A15" s="165"/>
      <c r="B15" s="167" t="s">
        <v>144</v>
      </c>
      <c r="C15" s="163" t="e">
        <f>IF(C13=1000, F4, IF(C13=1, C4, IF(C13=10, D4, E4)))</f>
        <v>#REF!</v>
      </c>
      <c r="D15" s="167" t="s">
        <v>27</v>
      </c>
      <c r="E15" s="163"/>
      <c r="F15" s="163"/>
      <c r="G15" s="167" t="s">
        <v>144</v>
      </c>
      <c r="H15" s="163">
        <f>IF(H13=1000, F4, IF(H13=1, C4, IF(H13=10, D4, E4)))</f>
        <v>10</v>
      </c>
      <c r="I15" s="167" t="s">
        <v>27</v>
      </c>
      <c r="J15" s="163"/>
      <c r="K15" s="174"/>
      <c r="L15" s="165"/>
      <c r="M15" s="165"/>
      <c r="N15" s="165"/>
      <c r="O15" s="165"/>
      <c r="P15" s="165"/>
      <c r="Q15" s="165"/>
      <c r="R15" s="165"/>
      <c r="S15" s="165"/>
      <c r="T15" s="165"/>
      <c r="U15" s="165"/>
      <c r="V15" s="165"/>
    </row>
    <row r="16" spans="1:22" x14ac:dyDescent="0.25">
      <c r="A16" s="165"/>
      <c r="B16" s="163"/>
      <c r="C16" s="163"/>
      <c r="D16" s="163"/>
      <c r="E16" s="163"/>
      <c r="F16" s="163"/>
      <c r="G16" s="163"/>
      <c r="H16" s="163"/>
      <c r="I16" s="163"/>
      <c r="J16" s="163"/>
      <c r="K16" s="174"/>
      <c r="L16" s="165"/>
      <c r="M16" s="165"/>
      <c r="N16" s="165"/>
      <c r="O16" s="165"/>
      <c r="P16" s="165"/>
      <c r="Q16" s="165"/>
      <c r="R16" s="165"/>
      <c r="S16" s="165"/>
      <c r="T16" s="165"/>
      <c r="U16" s="165"/>
      <c r="V16" s="165"/>
    </row>
    <row r="17" spans="1:22" x14ac:dyDescent="0.25">
      <c r="A17" s="165"/>
      <c r="B17" s="167" t="s">
        <v>148</v>
      </c>
      <c r="C17" s="163"/>
      <c r="D17" s="163"/>
      <c r="E17" s="163"/>
      <c r="F17" s="163"/>
      <c r="G17" s="167" t="s">
        <v>148</v>
      </c>
      <c r="H17" s="163"/>
      <c r="I17" s="163"/>
      <c r="J17" s="163"/>
      <c r="K17" s="174"/>
      <c r="L17" s="165"/>
      <c r="M17" s="165"/>
      <c r="N17" s="165"/>
      <c r="O17" s="165"/>
      <c r="P17" s="165"/>
      <c r="Q17" s="165"/>
      <c r="R17" s="165"/>
      <c r="S17" s="165"/>
      <c r="T17" s="165"/>
      <c r="U17" s="165"/>
      <c r="V17" s="165"/>
    </row>
    <row r="18" spans="1:22" x14ac:dyDescent="0.25">
      <c r="A18" s="165"/>
      <c r="B18" s="167" t="s">
        <v>145</v>
      </c>
      <c r="C18" s="163" t="e">
        <f>C14/C11^C19</f>
        <v>#REF!</v>
      </c>
      <c r="D18" s="163"/>
      <c r="E18" s="163"/>
      <c r="F18" s="167"/>
      <c r="G18" s="167" t="s">
        <v>145</v>
      </c>
      <c r="H18" s="163">
        <f>H14/H11^H19</f>
        <v>21</v>
      </c>
      <c r="I18" s="163"/>
      <c r="J18" s="163"/>
      <c r="K18" s="163"/>
      <c r="L18" s="163"/>
      <c r="M18" s="163"/>
      <c r="N18" s="163"/>
      <c r="O18" s="188"/>
      <c r="P18" s="188"/>
      <c r="Q18" s="165"/>
      <c r="R18" s="165"/>
      <c r="S18" s="165"/>
      <c r="T18" s="165"/>
      <c r="U18" s="165"/>
      <c r="V18" s="165"/>
    </row>
    <row r="19" spans="1:22" x14ac:dyDescent="0.25">
      <c r="A19" s="165"/>
      <c r="B19" s="167" t="s">
        <v>146</v>
      </c>
      <c r="C19" s="163" t="e">
        <f>LOG(C14/C15)/LOG(C11/C13)</f>
        <v>#REF!</v>
      </c>
      <c r="D19" s="163"/>
      <c r="E19" s="163"/>
      <c r="F19" s="167"/>
      <c r="G19" s="167" t="s">
        <v>146</v>
      </c>
      <c r="H19" s="163">
        <f>IF(H14=H15,0.000000000001,LOG(H14/H15)/LOG(H11/H13))</f>
        <v>-0.3222192947339193</v>
      </c>
      <c r="I19" s="167" t="s">
        <v>371</v>
      </c>
      <c r="J19" s="163"/>
      <c r="K19" s="174"/>
      <c r="L19" s="165"/>
      <c r="M19" s="188"/>
      <c r="N19" s="188"/>
      <c r="O19" s="165"/>
      <c r="P19" s="165"/>
      <c r="Q19" s="165"/>
      <c r="R19" s="165"/>
      <c r="S19" s="165"/>
      <c r="T19" s="165"/>
      <c r="U19" s="165"/>
      <c r="V19" s="165"/>
    </row>
    <row r="20" spans="1:22" x14ac:dyDescent="0.25">
      <c r="A20" s="165"/>
      <c r="B20" s="167" t="s">
        <v>147</v>
      </c>
      <c r="C20" s="163" t="e">
        <f>C18*C8^C19</f>
        <v>#REF!</v>
      </c>
      <c r="D20" s="167" t="s">
        <v>27</v>
      </c>
      <c r="E20" s="163"/>
      <c r="F20" s="163"/>
      <c r="G20" s="167" t="s">
        <v>147</v>
      </c>
      <c r="H20" s="163">
        <f>H18*H8^H19</f>
        <v>13.800711966564119</v>
      </c>
      <c r="I20" s="163"/>
      <c r="J20" s="163"/>
      <c r="K20" s="174"/>
      <c r="L20" s="165"/>
      <c r="M20" s="176"/>
      <c r="N20" s="165"/>
      <c r="O20" s="165"/>
      <c r="P20" s="165"/>
      <c r="Q20" s="165"/>
      <c r="R20" s="165"/>
      <c r="S20" s="165"/>
      <c r="T20" s="165"/>
      <c r="U20" s="165"/>
      <c r="V20" s="165"/>
    </row>
    <row r="21" spans="1:22" x14ac:dyDescent="0.25">
      <c r="A21" s="165"/>
      <c r="B21" s="163"/>
      <c r="C21" s="163"/>
      <c r="D21" s="163"/>
      <c r="E21" s="163"/>
      <c r="F21" s="163"/>
      <c r="G21" s="163"/>
      <c r="H21" s="163"/>
      <c r="I21" s="163"/>
      <c r="J21" s="163"/>
      <c r="K21" s="174"/>
      <c r="L21" s="165"/>
      <c r="M21" s="165"/>
      <c r="N21" s="173"/>
      <c r="O21" s="165"/>
      <c r="P21" s="165"/>
      <c r="Q21" s="165"/>
      <c r="R21" s="165"/>
      <c r="S21" s="165"/>
      <c r="T21" s="165"/>
      <c r="U21" s="165"/>
      <c r="V21" s="165"/>
    </row>
    <row r="22" spans="1:22" x14ac:dyDescent="0.25">
      <c r="A22" s="165"/>
      <c r="B22" s="168" t="s">
        <v>150</v>
      </c>
      <c r="C22" s="163" t="e">
        <f xml:space="preserve"> C20*C9</f>
        <v>#REF!</v>
      </c>
      <c r="D22" s="167"/>
      <c r="E22" s="163"/>
      <c r="F22" s="163"/>
      <c r="G22" s="168" t="s">
        <v>150</v>
      </c>
      <c r="H22" s="163">
        <f xml:space="preserve"> H20*H9</f>
        <v>220.81139146502591</v>
      </c>
      <c r="I22" s="163"/>
      <c r="J22" s="163"/>
      <c r="K22" s="174"/>
      <c r="L22" s="165"/>
      <c r="M22" s="165"/>
      <c r="N22" s="165"/>
      <c r="O22" s="165"/>
      <c r="P22" s="165"/>
      <c r="Q22" s="165"/>
      <c r="R22" s="165"/>
      <c r="S22" s="165"/>
      <c r="T22" s="165"/>
      <c r="U22" s="165"/>
      <c r="V22" s="165"/>
    </row>
    <row r="23" spans="1:22" x14ac:dyDescent="0.25">
      <c r="A23" s="165"/>
      <c r="B23" s="163"/>
      <c r="C23" s="163"/>
      <c r="D23" s="163"/>
      <c r="E23" s="163"/>
      <c r="F23" s="163"/>
      <c r="G23" s="163"/>
      <c r="H23" s="163"/>
      <c r="I23" s="163"/>
      <c r="J23" s="163"/>
      <c r="K23" s="174"/>
      <c r="L23" s="165"/>
      <c r="M23" s="165"/>
      <c r="N23" s="165"/>
      <c r="O23" s="165"/>
      <c r="P23" s="165"/>
      <c r="Q23" s="165"/>
      <c r="R23" s="165"/>
      <c r="S23" s="165"/>
      <c r="T23" s="165"/>
      <c r="U23" s="165"/>
      <c r="V23" s="165"/>
    </row>
    <row r="24" spans="1:22" x14ac:dyDescent="0.25">
      <c r="A24" s="165"/>
      <c r="B24" s="163"/>
      <c r="C24" s="163"/>
      <c r="D24" s="163"/>
      <c r="E24" s="163"/>
      <c r="F24" s="163"/>
      <c r="G24" s="167" t="s">
        <v>296</v>
      </c>
      <c r="H24" s="163">
        <f>'Design Calculator'!F70</f>
        <v>0.5</v>
      </c>
      <c r="I24" s="163"/>
      <c r="J24" s="163"/>
      <c r="K24" s="174"/>
      <c r="L24" s="165"/>
      <c r="M24" s="165"/>
      <c r="N24" s="165"/>
      <c r="O24" s="173"/>
      <c r="P24" s="165"/>
      <c r="Q24" s="165"/>
      <c r="R24" s="165"/>
      <c r="S24" s="165"/>
      <c r="T24" s="165"/>
      <c r="U24" s="165"/>
      <c r="V24" s="165"/>
    </row>
    <row r="25" spans="1:22" x14ac:dyDescent="0.25">
      <c r="A25" s="165"/>
      <c r="B25" s="182" t="s">
        <v>156</v>
      </c>
      <c r="C25" s="163">
        <f>(TJMAX-TJ)/(TJMAX-25)</f>
        <v>0.63936000000000004</v>
      </c>
      <c r="D25" s="174"/>
      <c r="E25" s="174"/>
      <c r="F25" s="174"/>
      <c r="G25" s="167" t="s">
        <v>295</v>
      </c>
      <c r="H25" s="163">
        <f>IF(H24="Yes", TJ,TAMB)</f>
        <v>55</v>
      </c>
      <c r="I25" s="163"/>
      <c r="J25" s="163"/>
      <c r="K25" s="174"/>
      <c r="L25" s="165"/>
      <c r="M25" s="165"/>
      <c r="N25" s="165"/>
      <c r="O25" s="173"/>
      <c r="P25" s="165"/>
      <c r="Q25" s="165"/>
      <c r="R25" s="165"/>
      <c r="S25" s="165"/>
      <c r="T25" s="165"/>
      <c r="U25" s="165"/>
      <c r="V25" s="165"/>
    </row>
    <row r="26" spans="1:22" x14ac:dyDescent="0.25">
      <c r="A26" s="165"/>
      <c r="B26" s="180" t="s">
        <v>151</v>
      </c>
      <c r="C26" s="163" t="e">
        <f>IF((C22*C25)&lt;0,0.000000001,C22*C25)</f>
        <v>#REF!</v>
      </c>
      <c r="D26" s="181" t="s">
        <v>69</v>
      </c>
      <c r="E26" s="174"/>
      <c r="F26" s="174"/>
      <c r="G26" s="163"/>
      <c r="H26" s="163"/>
      <c r="I26" s="163"/>
      <c r="J26" s="163"/>
      <c r="K26" s="174"/>
      <c r="L26" s="165"/>
      <c r="M26" s="165"/>
      <c r="N26" s="165"/>
      <c r="O26" s="165"/>
      <c r="P26" s="165"/>
      <c r="Q26" s="165"/>
      <c r="R26" s="165"/>
      <c r="S26" s="165"/>
      <c r="T26" s="165"/>
      <c r="U26" s="165"/>
      <c r="V26" s="165"/>
    </row>
    <row r="27" spans="1:22" x14ac:dyDescent="0.25">
      <c r="A27" s="165"/>
      <c r="B27" s="173"/>
      <c r="C27" s="173"/>
      <c r="D27" s="174"/>
      <c r="E27" s="174"/>
      <c r="F27" s="174"/>
      <c r="G27" s="182" t="s">
        <v>156</v>
      </c>
      <c r="H27" s="163">
        <f>(TJMAX-H25)/(TJMAX-25)</f>
        <v>0.76</v>
      </c>
      <c r="I27" s="163"/>
      <c r="J27" s="163"/>
      <c r="K27" s="174"/>
      <c r="L27" s="165"/>
      <c r="M27" s="165"/>
      <c r="N27" s="165"/>
      <c r="O27" s="165"/>
      <c r="P27" s="165"/>
      <c r="Q27" s="165"/>
      <c r="R27" s="165"/>
      <c r="S27" s="165"/>
      <c r="T27" s="165"/>
      <c r="U27" s="165"/>
      <c r="V27" s="165"/>
    </row>
    <row r="28" spans="1:22" x14ac:dyDescent="0.25">
      <c r="A28" s="165"/>
      <c r="B28" s="173"/>
      <c r="C28" s="163"/>
      <c r="D28" s="174"/>
      <c r="E28" s="174"/>
      <c r="F28" s="174"/>
      <c r="G28" s="180" t="s">
        <v>151</v>
      </c>
      <c r="H28" s="163">
        <f>IF((H22*H27)&lt;0,0.000000001,H22*H27)</f>
        <v>167.8166575134197</v>
      </c>
      <c r="I28" s="163"/>
      <c r="J28" s="163"/>
      <c r="K28" s="174"/>
      <c r="L28" s="165"/>
      <c r="M28" s="165"/>
      <c r="N28" s="165"/>
      <c r="O28" s="165"/>
      <c r="P28" s="165"/>
      <c r="Q28" s="165"/>
      <c r="R28" s="165"/>
      <c r="S28" s="165"/>
      <c r="T28" s="165"/>
      <c r="U28" s="165"/>
      <c r="V28" s="165"/>
    </row>
    <row r="29" spans="1:22" x14ac:dyDescent="0.25">
      <c r="A29" s="165"/>
      <c r="B29" s="182" t="s">
        <v>325</v>
      </c>
      <c r="C29" s="163"/>
      <c r="D29" s="174"/>
      <c r="E29" s="174"/>
      <c r="F29" s="174"/>
      <c r="G29" s="163"/>
      <c r="H29" s="165"/>
      <c r="I29" s="179"/>
      <c r="J29" s="179"/>
      <c r="K29" s="179"/>
      <c r="L29" s="165"/>
      <c r="M29" s="165"/>
      <c r="N29" s="165"/>
      <c r="O29" s="165"/>
      <c r="P29" s="165"/>
      <c r="Q29" s="165"/>
      <c r="R29" s="165"/>
      <c r="S29" s="165"/>
      <c r="T29" s="165"/>
      <c r="U29" s="165"/>
      <c r="V29" s="165"/>
    </row>
    <row r="30" spans="1:22" x14ac:dyDescent="0.25">
      <c r="A30" s="165"/>
      <c r="B30" s="163"/>
      <c r="C30" s="177" t="s">
        <v>326</v>
      </c>
      <c r="D30" s="187" t="s">
        <v>327</v>
      </c>
      <c r="E30" s="187" t="s">
        <v>328</v>
      </c>
      <c r="F30" s="187" t="s">
        <v>329</v>
      </c>
      <c r="G30" s="174"/>
      <c r="H30" s="165"/>
      <c r="I30" s="179"/>
      <c r="J30" s="179"/>
      <c r="K30" s="179"/>
      <c r="L30" s="165"/>
      <c r="M30" s="165"/>
      <c r="N30" s="165"/>
      <c r="O30" s="165"/>
      <c r="P30" s="165"/>
      <c r="Q30" s="165"/>
      <c r="R30" s="165"/>
      <c r="S30" s="165"/>
      <c r="T30" s="165"/>
      <c r="U30" s="165"/>
      <c r="V30" s="165"/>
    </row>
    <row r="31" spans="1:22" x14ac:dyDescent="0.25">
      <c r="A31" s="163"/>
      <c r="B31" s="182" t="s">
        <v>330</v>
      </c>
      <c r="C31" s="169">
        <v>0.1</v>
      </c>
      <c r="D31" s="164">
        <v>1</v>
      </c>
      <c r="E31" s="174">
        <v>10</v>
      </c>
      <c r="F31" s="173">
        <v>100</v>
      </c>
      <c r="G31" s="184"/>
      <c r="H31" s="165"/>
      <c r="I31" s="165"/>
      <c r="J31" s="165"/>
      <c r="K31" s="165"/>
      <c r="L31" s="165"/>
      <c r="M31" s="165"/>
      <c r="N31" s="165"/>
      <c r="O31" s="165"/>
      <c r="P31" s="165"/>
      <c r="Q31" s="165"/>
      <c r="R31" s="165"/>
      <c r="S31" s="165"/>
      <c r="T31" s="165"/>
      <c r="U31" s="165"/>
      <c r="V31" s="165"/>
    </row>
    <row r="32" spans="1:22" x14ac:dyDescent="0.25">
      <c r="A32" s="163"/>
      <c r="B32" s="169" t="s">
        <v>331</v>
      </c>
      <c r="C32" s="164">
        <v>1</v>
      </c>
      <c r="D32" s="164">
        <v>10</v>
      </c>
      <c r="E32" s="174">
        <v>100</v>
      </c>
      <c r="F32" s="173">
        <v>1000</v>
      </c>
      <c r="G32" s="180"/>
      <c r="H32" s="165"/>
      <c r="I32" s="165"/>
      <c r="J32" s="165"/>
      <c r="K32" s="165"/>
      <c r="L32" s="165"/>
      <c r="M32" s="165"/>
      <c r="N32" s="165"/>
      <c r="O32" s="165"/>
      <c r="P32" s="165"/>
      <c r="Q32" s="165"/>
      <c r="R32" s="165"/>
      <c r="S32" s="165"/>
      <c r="T32" s="165"/>
      <c r="U32" s="165"/>
      <c r="V32" s="165"/>
    </row>
    <row r="33" spans="2:22" x14ac:dyDescent="0.25">
      <c r="B33" s="169" t="s">
        <v>145</v>
      </c>
      <c r="C33" s="164">
        <f>B4/(C31^C34)</f>
        <v>21.000000000000007</v>
      </c>
      <c r="D33" s="164">
        <f>C4/(D31^D34)</f>
        <v>21</v>
      </c>
      <c r="E33" s="164">
        <f>IF('Design Calculator'!F57="NA",D33,D4/(E31^E34))</f>
        <v>20</v>
      </c>
      <c r="F33" s="164">
        <f>IF('Design Calculator'!F57="NA", E33, E4/(F31^F34))</f>
        <v>15.943877551020408</v>
      </c>
      <c r="G33" s="167"/>
      <c r="H33" s="165"/>
      <c r="I33" s="165"/>
      <c r="J33" s="165"/>
      <c r="K33" s="165"/>
      <c r="L33" s="165"/>
      <c r="M33" s="165"/>
      <c r="N33" s="165"/>
      <c r="O33" s="165"/>
      <c r="P33" s="165"/>
      <c r="Q33" s="165"/>
      <c r="R33" s="165"/>
      <c r="S33" s="165"/>
      <c r="T33" s="165"/>
      <c r="U33" s="165"/>
      <c r="V33" s="165"/>
    </row>
    <row r="34" spans="2:22" x14ac:dyDescent="0.25">
      <c r="B34" s="169" t="s">
        <v>146</v>
      </c>
      <c r="C34" s="166">
        <f>LOG(B4/C4)/LOG(C31/C32)</f>
        <v>-0.88190068792200549</v>
      </c>
      <c r="D34" s="166">
        <f>LOG(C4/D4)/LOG(D31/D32)</f>
        <v>-0.3222192947339193</v>
      </c>
      <c r="E34" s="166">
        <f>IF('Design Calculator'!F57="NA", D34, LOG(D4/E4)/LOG(E31/E32))</f>
        <v>-0.3010299956639812</v>
      </c>
      <c r="F34" s="166">
        <f>IF('Design Calculator'!F57="NA",E34,LOG(E4/F4)/LOG(F31/F32))</f>
        <v>-0.25181197299379959</v>
      </c>
      <c r="G34" s="167"/>
      <c r="H34" s="165"/>
      <c r="I34" s="165"/>
      <c r="J34" s="165"/>
      <c r="K34" s="165"/>
      <c r="L34" s="165"/>
      <c r="M34" s="165"/>
      <c r="N34" s="165"/>
      <c r="O34" s="165"/>
      <c r="P34" s="165"/>
      <c r="Q34" s="165"/>
      <c r="R34" s="165"/>
      <c r="S34" s="165"/>
      <c r="T34" s="165"/>
      <c r="U34" s="165"/>
      <c r="V34" s="165"/>
    </row>
    <row r="35" spans="2:22" x14ac:dyDescent="0.25">
      <c r="B35" s="163"/>
      <c r="C35" s="163"/>
      <c r="D35" s="163"/>
      <c r="E35" s="174"/>
      <c r="F35" s="165"/>
      <c r="G35" s="167"/>
      <c r="H35" s="165"/>
      <c r="I35" s="165"/>
      <c r="J35" s="165"/>
      <c r="K35" s="165"/>
      <c r="L35" s="165"/>
      <c r="M35" s="165"/>
      <c r="N35" s="165"/>
      <c r="O35" s="165"/>
      <c r="P35" s="165"/>
      <c r="Q35" s="165"/>
      <c r="R35" s="165"/>
      <c r="S35" s="165"/>
      <c r="T35" s="165"/>
      <c r="U35" s="165"/>
      <c r="V35" s="165"/>
    </row>
    <row r="36" spans="2:22" ht="13.8" thickBot="1" x14ac:dyDescent="0.3">
      <c r="B36" s="73" t="s">
        <v>372</v>
      </c>
      <c r="C36" s="74"/>
      <c r="D36" s="163"/>
      <c r="E36" s="174"/>
      <c r="F36" s="165"/>
      <c r="G36" s="73" t="s">
        <v>372</v>
      </c>
      <c r="H36" s="74"/>
      <c r="I36" s="165"/>
      <c r="J36" s="165"/>
      <c r="K36" s="165"/>
      <c r="L36" s="165"/>
      <c r="M36" s="165"/>
      <c r="N36" s="165"/>
      <c r="O36" s="165"/>
      <c r="P36" s="165"/>
      <c r="Q36" s="165"/>
      <c r="R36" s="165"/>
      <c r="S36" s="165"/>
      <c r="T36" s="165"/>
      <c r="U36" s="165"/>
      <c r="V36" s="165"/>
    </row>
    <row r="37" spans="2:22" ht="15.6" x14ac:dyDescent="0.35">
      <c r="B37" s="75" t="s">
        <v>37</v>
      </c>
      <c r="C37" s="76" t="s">
        <v>81</v>
      </c>
      <c r="D37" s="163"/>
      <c r="E37" s="174"/>
      <c r="F37" s="165"/>
      <c r="G37" s="75" t="s">
        <v>37</v>
      </c>
      <c r="H37" s="76" t="s">
        <v>81</v>
      </c>
      <c r="I37" s="165"/>
      <c r="J37" s="165"/>
      <c r="K37" s="165"/>
      <c r="L37" s="165"/>
      <c r="M37" s="165"/>
      <c r="N37" s="165"/>
      <c r="O37" s="165"/>
      <c r="P37" s="165"/>
      <c r="Q37" s="165"/>
      <c r="R37" s="165"/>
      <c r="S37" s="165"/>
      <c r="T37" s="165"/>
      <c r="U37" s="165"/>
      <c r="V37" s="165"/>
    </row>
    <row r="38" spans="2:22" x14ac:dyDescent="0.25">
      <c r="B38" s="77" t="s">
        <v>9</v>
      </c>
      <c r="C38" s="78" t="s">
        <v>10</v>
      </c>
      <c r="D38" s="163"/>
      <c r="E38" s="174"/>
      <c r="F38" s="165"/>
      <c r="G38" s="77" t="s">
        <v>9</v>
      </c>
      <c r="H38" s="78" t="s">
        <v>10</v>
      </c>
      <c r="I38" s="165"/>
      <c r="J38" s="165"/>
      <c r="K38" s="165"/>
      <c r="L38" s="165"/>
      <c r="M38" s="165"/>
      <c r="N38" s="165"/>
      <c r="O38" s="165"/>
      <c r="P38" s="165"/>
      <c r="Q38" s="165"/>
      <c r="R38" s="165"/>
      <c r="S38" s="165"/>
      <c r="T38" s="165"/>
      <c r="U38" s="165"/>
      <c r="V38" s="165"/>
    </row>
    <row r="39" spans="2:22" x14ac:dyDescent="0.25">
      <c r="B39" s="79">
        <v>1</v>
      </c>
      <c r="C39" s="80" t="e">
        <f>SOA!$C$26/B39</f>
        <v>#REF!</v>
      </c>
      <c r="D39" s="163"/>
      <c r="E39" s="174"/>
      <c r="F39" s="165"/>
      <c r="G39" s="79">
        <v>1</v>
      </c>
      <c r="H39" s="80">
        <f>H28/G39</f>
        <v>167.8166575134197</v>
      </c>
      <c r="I39" s="165"/>
      <c r="J39" s="165"/>
      <c r="K39" s="165"/>
      <c r="L39" s="165"/>
      <c r="M39" s="165"/>
      <c r="N39" s="165"/>
      <c r="O39" s="165"/>
      <c r="P39" s="165"/>
      <c r="Q39" s="165"/>
      <c r="R39" s="165"/>
      <c r="S39" s="165"/>
      <c r="T39" s="165"/>
      <c r="U39" s="165"/>
      <c r="V39" s="165"/>
    </row>
    <row r="40" spans="2:22" x14ac:dyDescent="0.25">
      <c r="B40" s="79">
        <v>1.2</v>
      </c>
      <c r="C40" s="80" t="e">
        <f>SOA!$C$26/B40</f>
        <v>#REF!</v>
      </c>
      <c r="D40" s="163"/>
      <c r="E40" s="174"/>
      <c r="F40" s="165"/>
      <c r="G40" s="79">
        <v>1.2</v>
      </c>
      <c r="H40" s="80">
        <f>H28/G40</f>
        <v>139.84721459451643</v>
      </c>
      <c r="I40" s="165"/>
      <c r="J40" s="165"/>
      <c r="K40" s="165"/>
      <c r="L40" s="165"/>
      <c r="M40" s="165"/>
      <c r="N40" s="165"/>
      <c r="O40" s="165"/>
      <c r="P40" s="165"/>
      <c r="Q40" s="165"/>
      <c r="R40" s="165"/>
      <c r="S40" s="165"/>
      <c r="T40" s="165"/>
      <c r="U40" s="165"/>
      <c r="V40" s="165"/>
    </row>
    <row r="41" spans="2:22" x14ac:dyDescent="0.25">
      <c r="B41" s="79">
        <v>30</v>
      </c>
      <c r="C41" s="80" t="e">
        <f>SOA!$C$26/B41</f>
        <v>#REF!</v>
      </c>
      <c r="D41" s="163"/>
      <c r="E41" s="174"/>
      <c r="F41" s="165"/>
      <c r="G41" s="79">
        <v>30</v>
      </c>
      <c r="H41" s="80">
        <f>H28/G41</f>
        <v>5.5938885837806565</v>
      </c>
      <c r="I41" s="165"/>
      <c r="J41" s="165"/>
      <c r="K41" s="165"/>
      <c r="L41" s="165"/>
      <c r="M41" s="165"/>
      <c r="N41" s="165"/>
      <c r="O41" s="165"/>
      <c r="P41" s="165"/>
      <c r="Q41" s="165"/>
      <c r="R41" s="165"/>
      <c r="S41" s="165"/>
      <c r="T41" s="165"/>
      <c r="U41" s="165"/>
      <c r="V41" s="165"/>
    </row>
    <row r="42" spans="2:22" x14ac:dyDescent="0.25">
      <c r="B42" s="79"/>
      <c r="C42" s="80"/>
      <c r="D42" s="163"/>
      <c r="E42" s="174"/>
      <c r="F42" s="165"/>
      <c r="G42" s="79"/>
      <c r="H42" s="80"/>
      <c r="I42" s="165"/>
      <c r="J42" s="165"/>
      <c r="K42" s="165"/>
      <c r="L42" s="165"/>
      <c r="M42" s="165"/>
      <c r="N42" s="165"/>
      <c r="O42" s="165"/>
      <c r="P42" s="165"/>
      <c r="Q42" s="165"/>
      <c r="R42" s="165"/>
      <c r="S42" s="165"/>
      <c r="T42" s="165"/>
      <c r="U42" s="165"/>
      <c r="V42" s="165"/>
    </row>
    <row r="43" spans="2:22" ht="13.8" thickBot="1" x14ac:dyDescent="0.3">
      <c r="B43" s="81"/>
      <c r="C43" s="82"/>
      <c r="D43" s="163"/>
      <c r="E43" s="174"/>
      <c r="F43" s="165"/>
      <c r="G43" s="81"/>
      <c r="H43" s="82"/>
      <c r="I43" s="165"/>
      <c r="J43" s="165"/>
      <c r="K43" s="165"/>
      <c r="L43" s="165"/>
      <c r="M43" s="165"/>
      <c r="N43" s="165"/>
      <c r="O43" s="165"/>
      <c r="P43" s="165"/>
      <c r="Q43" s="165"/>
      <c r="R43" s="165"/>
      <c r="S43" s="165"/>
      <c r="T43" s="165"/>
      <c r="U43" s="165"/>
      <c r="V43" s="165"/>
    </row>
    <row r="44" spans="2:22" x14ac:dyDescent="0.25">
      <c r="B44" s="163"/>
      <c r="C44" s="163"/>
      <c r="D44" s="163"/>
      <c r="E44" s="174"/>
      <c r="F44" s="165"/>
      <c r="G44" s="167"/>
      <c r="H44" s="165"/>
      <c r="I44" s="165"/>
      <c r="J44" s="165"/>
      <c r="K44" s="165"/>
      <c r="L44" s="165"/>
      <c r="M44" s="165"/>
      <c r="N44" s="165"/>
      <c r="O44" s="165"/>
      <c r="P44" s="165"/>
      <c r="Q44" s="165"/>
      <c r="R44" s="165"/>
      <c r="S44" s="165"/>
      <c r="T44" s="165"/>
      <c r="U44" s="165"/>
      <c r="V44" s="165"/>
    </row>
    <row r="45" spans="2:22" x14ac:dyDescent="0.25">
      <c r="B45" s="163"/>
      <c r="C45" s="163"/>
      <c r="D45" s="163"/>
      <c r="E45" s="174"/>
      <c r="F45" s="165"/>
      <c r="G45" s="163"/>
      <c r="H45" s="165"/>
      <c r="I45" s="165"/>
      <c r="J45" s="165"/>
      <c r="K45" s="165"/>
      <c r="L45" s="165"/>
      <c r="M45" s="165"/>
      <c r="N45" s="165"/>
      <c r="O45" s="165"/>
      <c r="P45" s="165"/>
      <c r="Q45" s="165"/>
      <c r="R45" s="165"/>
      <c r="S45" s="165"/>
      <c r="T45" s="165"/>
      <c r="U45" s="165"/>
      <c r="V45" s="165"/>
    </row>
    <row r="46" spans="2:22" x14ac:dyDescent="0.25">
      <c r="B46" s="163"/>
      <c r="C46" s="163"/>
      <c r="D46" s="163"/>
      <c r="E46" s="174"/>
      <c r="F46" s="165"/>
      <c r="G46" s="168"/>
      <c r="H46" s="165"/>
      <c r="I46" s="165"/>
      <c r="J46" s="165"/>
      <c r="K46" s="165"/>
      <c r="L46" s="165"/>
      <c r="M46" s="165"/>
      <c r="N46" s="165"/>
      <c r="O46" s="165"/>
      <c r="P46" s="165"/>
      <c r="Q46" s="165"/>
      <c r="R46" s="165"/>
      <c r="S46" s="165"/>
      <c r="T46" s="165"/>
      <c r="U46" s="165"/>
      <c r="V46" s="165"/>
    </row>
    <row r="47" spans="2:22" x14ac:dyDescent="0.25">
      <c r="B47" s="163"/>
      <c r="C47" s="163"/>
      <c r="D47" s="163"/>
      <c r="E47" s="174"/>
      <c r="F47" s="165"/>
      <c r="G47" s="163"/>
      <c r="H47" s="165"/>
      <c r="I47" s="165"/>
      <c r="J47" s="165"/>
      <c r="K47" s="165"/>
      <c r="L47" s="165"/>
      <c r="M47" s="165"/>
      <c r="N47" s="165"/>
      <c r="O47" s="165"/>
      <c r="P47" s="165"/>
      <c r="Q47" s="165"/>
      <c r="R47" s="165"/>
      <c r="S47" s="165"/>
      <c r="T47" s="165"/>
      <c r="U47" s="165"/>
      <c r="V47" s="165"/>
    </row>
    <row r="48" spans="2:22" x14ac:dyDescent="0.25">
      <c r="B48" s="163"/>
      <c r="C48" s="163"/>
      <c r="D48" s="163"/>
      <c r="E48" s="174"/>
      <c r="F48" s="165"/>
      <c r="G48" s="163"/>
      <c r="H48" s="165"/>
      <c r="I48" s="165"/>
      <c r="J48" s="165"/>
      <c r="K48" s="165"/>
      <c r="L48" s="165"/>
      <c r="M48" s="165"/>
      <c r="N48" s="165"/>
      <c r="O48" s="165"/>
      <c r="P48" s="165"/>
      <c r="Q48" s="165"/>
      <c r="R48" s="165"/>
      <c r="S48" s="165"/>
      <c r="T48" s="165"/>
      <c r="U48" s="165"/>
      <c r="V48" s="165"/>
    </row>
    <row r="49" spans="1:22" x14ac:dyDescent="0.25">
      <c r="A49" s="163"/>
      <c r="B49" s="163"/>
      <c r="C49" s="163"/>
      <c r="D49" s="163"/>
      <c r="E49" s="174"/>
      <c r="F49" s="165"/>
      <c r="G49" s="182"/>
      <c r="H49" s="165"/>
      <c r="I49" s="165"/>
      <c r="J49" s="165"/>
      <c r="K49" s="165"/>
      <c r="L49" s="165"/>
      <c r="M49" s="165"/>
      <c r="N49" s="165"/>
      <c r="O49" s="165"/>
      <c r="P49" s="165"/>
      <c r="Q49" s="165"/>
      <c r="R49" s="165"/>
      <c r="S49" s="165"/>
      <c r="T49" s="165"/>
      <c r="U49" s="165"/>
      <c r="V49" s="165"/>
    </row>
    <row r="50" spans="1:22" x14ac:dyDescent="0.25">
      <c r="A50" s="163"/>
      <c r="B50" s="163"/>
      <c r="C50" s="163"/>
      <c r="D50" s="163"/>
      <c r="E50" s="174"/>
      <c r="F50" s="165"/>
      <c r="G50" s="180"/>
      <c r="H50" s="165"/>
      <c r="I50" s="165"/>
      <c r="J50" s="165"/>
      <c r="K50" s="165"/>
      <c r="L50" s="165"/>
      <c r="M50" s="165"/>
      <c r="N50" s="165"/>
      <c r="O50" s="165"/>
      <c r="P50" s="165"/>
      <c r="Q50" s="165"/>
      <c r="R50" s="165"/>
      <c r="S50" s="165"/>
      <c r="T50" s="165"/>
      <c r="U50" s="165"/>
      <c r="V50" s="165"/>
    </row>
    <row r="51" spans="1:22" x14ac:dyDescent="0.25">
      <c r="A51" s="163"/>
      <c r="B51" s="163"/>
      <c r="C51" s="163"/>
      <c r="D51" s="163"/>
      <c r="E51" s="174"/>
      <c r="F51" s="174"/>
      <c r="G51" s="174"/>
      <c r="H51" s="165"/>
      <c r="I51" s="165"/>
      <c r="J51" s="165"/>
      <c r="K51" s="165"/>
      <c r="L51" s="165"/>
      <c r="M51" s="165"/>
      <c r="N51" s="165"/>
      <c r="O51" s="165"/>
      <c r="P51" s="165"/>
      <c r="Q51" s="165"/>
      <c r="R51" s="165"/>
      <c r="S51" s="165"/>
      <c r="T51" s="165"/>
      <c r="U51" s="165"/>
      <c r="V51" s="165"/>
    </row>
    <row r="52" spans="1:22" x14ac:dyDescent="0.25">
      <c r="A52" s="163"/>
      <c r="B52" s="163"/>
      <c r="C52" s="163"/>
      <c r="D52" s="163"/>
      <c r="E52" s="174"/>
      <c r="F52" s="174"/>
      <c r="G52" s="174"/>
      <c r="H52" s="165"/>
      <c r="I52" s="165"/>
      <c r="J52" s="165"/>
      <c r="K52" s="165"/>
      <c r="L52" s="165"/>
      <c r="M52" s="165"/>
      <c r="N52" s="165"/>
      <c r="O52" s="165"/>
      <c r="P52" s="165"/>
      <c r="Q52" s="165"/>
      <c r="R52" s="165"/>
      <c r="S52" s="165"/>
      <c r="T52" s="165"/>
      <c r="U52" s="165"/>
      <c r="V52" s="165"/>
    </row>
    <row r="53" spans="1:22" x14ac:dyDescent="0.25">
      <c r="A53" s="165"/>
      <c r="B53" s="165"/>
      <c r="C53" s="173"/>
      <c r="D53" s="174"/>
      <c r="E53" s="174"/>
      <c r="F53" s="174"/>
      <c r="G53" s="174"/>
      <c r="H53" s="165"/>
      <c r="I53" s="165"/>
      <c r="J53" s="165"/>
      <c r="K53" s="165"/>
      <c r="L53" s="165"/>
      <c r="M53" s="165"/>
      <c r="N53" s="165"/>
      <c r="O53" s="165"/>
      <c r="P53" s="165"/>
      <c r="Q53" s="165"/>
      <c r="R53" s="165"/>
      <c r="S53" s="165"/>
      <c r="T53" s="165"/>
      <c r="U53" s="165"/>
      <c r="V53" s="165"/>
    </row>
    <row r="54" spans="1:22" x14ac:dyDescent="0.25">
      <c r="A54" s="165"/>
      <c r="B54" s="165"/>
      <c r="C54" s="173"/>
      <c r="D54" s="174"/>
      <c r="E54" s="174"/>
      <c r="F54" s="174"/>
      <c r="G54" s="174"/>
      <c r="H54" s="165"/>
      <c r="I54" s="165"/>
      <c r="J54" s="165"/>
      <c r="K54" s="165"/>
      <c r="L54" s="165"/>
      <c r="M54" s="165"/>
      <c r="N54" s="165"/>
      <c r="O54" s="165"/>
      <c r="P54" s="165"/>
      <c r="Q54" s="165"/>
      <c r="R54" s="165"/>
      <c r="S54" s="165"/>
      <c r="T54" s="165"/>
      <c r="U54" s="165"/>
      <c r="V54" s="165"/>
    </row>
    <row r="55" spans="1:22" x14ac:dyDescent="0.25">
      <c r="A55" s="165"/>
      <c r="B55" s="165"/>
      <c r="C55" s="173"/>
      <c r="D55" s="174"/>
      <c r="E55" s="174"/>
      <c r="F55" s="174"/>
      <c r="G55" s="174"/>
      <c r="H55" s="165"/>
      <c r="I55" s="165"/>
      <c r="J55" s="165"/>
      <c r="K55" s="165"/>
      <c r="L55" s="165"/>
      <c r="M55" s="165"/>
      <c r="N55" s="165"/>
      <c r="O55" s="165"/>
      <c r="P55" s="165"/>
      <c r="Q55" s="165"/>
      <c r="R55" s="165"/>
      <c r="S55" s="165"/>
      <c r="T55" s="165"/>
      <c r="U55" s="165"/>
      <c r="V55" s="165"/>
    </row>
    <row r="56" spans="1:22" x14ac:dyDescent="0.25">
      <c r="A56" s="165"/>
      <c r="B56" s="165"/>
      <c r="C56" s="173"/>
      <c r="D56" s="174"/>
      <c r="E56" s="174"/>
      <c r="F56" s="174"/>
      <c r="G56" s="174"/>
      <c r="H56" s="165"/>
      <c r="I56" s="163"/>
      <c r="J56" s="163"/>
      <c r="K56" s="163"/>
      <c r="L56" s="163"/>
      <c r="M56" s="163"/>
      <c r="N56" s="163"/>
      <c r="O56" s="163"/>
      <c r="P56" s="163"/>
      <c r="Q56" s="163"/>
      <c r="R56" s="163"/>
      <c r="S56" s="163"/>
      <c r="T56" s="163"/>
      <c r="U56" s="163"/>
      <c r="V56" s="163"/>
    </row>
    <row r="57" spans="1:22" x14ac:dyDescent="0.25">
      <c r="A57" s="165"/>
      <c r="B57" s="165"/>
      <c r="C57" s="173"/>
      <c r="D57" s="174"/>
      <c r="E57" s="174"/>
      <c r="F57" s="174"/>
      <c r="G57" s="174"/>
      <c r="H57" s="163"/>
      <c r="I57" s="163"/>
      <c r="J57" s="163"/>
      <c r="K57" s="163"/>
      <c r="L57" s="163"/>
      <c r="M57" s="163"/>
      <c r="N57" s="163"/>
      <c r="O57" s="163"/>
      <c r="P57" s="163"/>
      <c r="Q57" s="163"/>
      <c r="R57" s="163"/>
      <c r="S57" s="163"/>
      <c r="T57" s="163"/>
      <c r="U57" s="163"/>
      <c r="V57" s="163"/>
    </row>
    <row r="58" spans="1:22" x14ac:dyDescent="0.25">
      <c r="A58" s="165"/>
      <c r="B58" s="165"/>
      <c r="C58" s="173"/>
      <c r="D58" s="174"/>
      <c r="E58" s="174"/>
      <c r="F58" s="174"/>
      <c r="G58" s="174"/>
      <c r="H58" s="163"/>
      <c r="I58" s="163"/>
      <c r="J58" s="163"/>
      <c r="K58" s="163"/>
      <c r="L58" s="163"/>
      <c r="M58" s="163"/>
      <c r="N58" s="163"/>
      <c r="O58" s="163"/>
      <c r="P58" s="163"/>
      <c r="Q58" s="163"/>
      <c r="R58" s="163"/>
      <c r="S58" s="163"/>
      <c r="T58" s="163"/>
      <c r="U58" s="163"/>
      <c r="V58" s="163"/>
    </row>
    <row r="59" spans="1:22" x14ac:dyDescent="0.25">
      <c r="A59" s="165"/>
      <c r="B59" s="165"/>
      <c r="C59" s="173"/>
      <c r="D59" s="174"/>
      <c r="E59" s="174"/>
      <c r="F59" s="174"/>
      <c r="G59" s="174"/>
      <c r="H59" s="163"/>
      <c r="I59" s="163"/>
      <c r="J59" s="163"/>
      <c r="K59" s="163"/>
      <c r="L59" s="163"/>
      <c r="M59" s="163"/>
      <c r="N59" s="163"/>
      <c r="O59" s="163"/>
      <c r="P59" s="163"/>
      <c r="Q59" s="163"/>
      <c r="R59" s="163"/>
      <c r="S59" s="163"/>
      <c r="T59" s="163"/>
      <c r="U59" s="163"/>
      <c r="V59" s="163"/>
    </row>
    <row r="60" spans="1:22" x14ac:dyDescent="0.25">
      <c r="A60" s="165"/>
      <c r="B60" s="165"/>
      <c r="C60" s="173"/>
      <c r="D60" s="174"/>
      <c r="E60" s="174"/>
      <c r="F60" s="174"/>
      <c r="G60" s="174"/>
      <c r="H60" s="163"/>
      <c r="I60" s="163"/>
      <c r="J60" s="163"/>
      <c r="K60" s="163"/>
      <c r="L60" s="163"/>
      <c r="M60" s="163"/>
      <c r="N60" s="163"/>
      <c r="O60" s="163"/>
      <c r="P60" s="163"/>
      <c r="Q60" s="163"/>
      <c r="R60" s="163"/>
      <c r="S60" s="163"/>
      <c r="T60" s="163"/>
      <c r="U60" s="163"/>
      <c r="V60" s="163"/>
    </row>
    <row r="61" spans="1:22" x14ac:dyDescent="0.25">
      <c r="A61" s="165"/>
      <c r="B61" s="165"/>
      <c r="C61" s="173"/>
      <c r="D61" s="174"/>
      <c r="E61" s="174"/>
      <c r="F61" s="174"/>
      <c r="G61" s="174"/>
      <c r="H61" s="163"/>
      <c r="I61" s="163"/>
      <c r="J61" s="163"/>
      <c r="K61" s="163"/>
      <c r="L61" s="163"/>
      <c r="M61" s="163"/>
      <c r="N61" s="163"/>
      <c r="O61" s="163"/>
      <c r="P61" s="163"/>
      <c r="Q61" s="163"/>
      <c r="R61" s="163"/>
      <c r="S61" s="163"/>
      <c r="T61" s="163"/>
      <c r="U61" s="163"/>
      <c r="V61" s="163"/>
    </row>
    <row r="62" spans="1:22" x14ac:dyDescent="0.25">
      <c r="A62" s="165"/>
      <c r="B62" s="165"/>
      <c r="C62" s="173"/>
      <c r="D62" s="174"/>
      <c r="E62" s="174"/>
      <c r="F62" s="174"/>
      <c r="G62" s="174"/>
      <c r="H62" s="163"/>
      <c r="I62" s="163"/>
      <c r="J62" s="163"/>
      <c r="K62" s="163"/>
      <c r="L62" s="163"/>
      <c r="M62" s="163"/>
      <c r="N62" s="163"/>
      <c r="O62" s="163"/>
      <c r="P62" s="163"/>
      <c r="Q62" s="163"/>
      <c r="R62" s="163"/>
      <c r="S62" s="163"/>
      <c r="T62" s="163"/>
      <c r="U62" s="163"/>
      <c r="V62" s="163"/>
    </row>
    <row r="63" spans="1:22" x14ac:dyDescent="0.25">
      <c r="A63" s="165"/>
      <c r="B63" s="165"/>
      <c r="C63" s="173"/>
      <c r="D63" s="174"/>
      <c r="E63" s="174"/>
      <c r="F63" s="174"/>
      <c r="G63" s="174"/>
      <c r="H63" s="163"/>
      <c r="I63" s="163"/>
      <c r="J63" s="163"/>
      <c r="K63" s="163"/>
      <c r="L63" s="163"/>
      <c r="M63" s="163"/>
      <c r="N63" s="163"/>
      <c r="O63" s="163"/>
      <c r="P63" s="163"/>
      <c r="Q63" s="163"/>
      <c r="R63" s="163"/>
      <c r="S63" s="163"/>
      <c r="T63" s="163"/>
      <c r="U63" s="163"/>
      <c r="V63" s="163"/>
    </row>
    <row r="64" spans="1:22" x14ac:dyDescent="0.25">
      <c r="A64" s="165"/>
      <c r="B64" s="165"/>
      <c r="C64" s="173"/>
      <c r="D64" s="174"/>
      <c r="E64" s="174"/>
      <c r="F64" s="174"/>
      <c r="G64" s="174"/>
      <c r="H64" s="163"/>
      <c r="I64" s="163"/>
      <c r="J64" s="163"/>
      <c r="K64" s="163"/>
      <c r="L64" s="163"/>
      <c r="M64" s="163"/>
      <c r="N64" s="163"/>
      <c r="O64" s="163"/>
      <c r="P64" s="163"/>
      <c r="Q64" s="163"/>
      <c r="R64" s="163"/>
      <c r="S64" s="163"/>
      <c r="T64" s="163"/>
      <c r="U64" s="163"/>
      <c r="V64" s="163"/>
    </row>
    <row r="65" spans="1:7" x14ac:dyDescent="0.25">
      <c r="A65" s="165"/>
      <c r="B65" s="165"/>
      <c r="C65" s="173"/>
      <c r="D65" s="174"/>
      <c r="E65" s="174"/>
      <c r="F65" s="174"/>
      <c r="G65" s="174"/>
    </row>
    <row r="66" spans="1:7" x14ac:dyDescent="0.25">
      <c r="A66" s="165"/>
      <c r="B66" s="165"/>
      <c r="C66" s="173"/>
      <c r="D66" s="174"/>
      <c r="E66" s="174"/>
      <c r="F66" s="174"/>
      <c r="G66" s="174"/>
    </row>
    <row r="67" spans="1:7" x14ac:dyDescent="0.25">
      <c r="A67" s="165"/>
      <c r="B67" s="165"/>
      <c r="C67" s="173"/>
      <c r="D67" s="174"/>
      <c r="E67" s="174"/>
      <c r="F67" s="174"/>
      <c r="G67" s="174"/>
    </row>
    <row r="68" spans="1:7" x14ac:dyDescent="0.25">
      <c r="A68" s="165"/>
      <c r="B68" s="165"/>
      <c r="C68" s="173"/>
      <c r="D68" s="174"/>
      <c r="E68" s="174"/>
      <c r="F68" s="174"/>
      <c r="G68" s="174"/>
    </row>
    <row r="69" spans="1:7" x14ac:dyDescent="0.25">
      <c r="A69" s="165"/>
      <c r="B69" s="165"/>
      <c r="C69" s="173"/>
      <c r="D69" s="174"/>
      <c r="E69" s="174"/>
      <c r="F69" s="174"/>
      <c r="G69" s="174"/>
    </row>
    <row r="70" spans="1:7" x14ac:dyDescent="0.25">
      <c r="A70" s="165"/>
      <c r="B70" s="165"/>
      <c r="C70" s="163"/>
      <c r="D70" s="163"/>
      <c r="E70" s="163"/>
      <c r="F70" s="163"/>
      <c r="G70" s="163"/>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59"/>
  <sheetViews>
    <sheetView topLeftCell="C16" zoomScale="85" zoomScaleNormal="85" workbookViewId="0">
      <selection activeCell="E21" sqref="E21"/>
    </sheetView>
  </sheetViews>
  <sheetFormatPr defaultRowHeight="13.2" x14ac:dyDescent="0.25"/>
  <cols>
    <col min="4" max="4" width="37.44140625" customWidth="1"/>
    <col min="5" max="5" width="15.6640625" customWidth="1"/>
    <col min="9" max="9" width="13.33203125" customWidth="1"/>
    <col min="10" max="10" width="11.6640625" customWidth="1"/>
    <col min="11" max="11" width="11.44140625" customWidth="1"/>
    <col min="12" max="12" width="15" customWidth="1"/>
    <col min="13" max="13" width="13.6640625" customWidth="1"/>
  </cols>
  <sheetData>
    <row r="5" spans="3:4" x14ac:dyDescent="0.25">
      <c r="C5" s="154" t="s">
        <v>304</v>
      </c>
      <c r="D5" s="151"/>
    </row>
    <row r="7" spans="3:4" x14ac:dyDescent="0.25">
      <c r="C7" s="154" t="s">
        <v>305</v>
      </c>
      <c r="D7" s="151"/>
    </row>
    <row r="8" spans="3:4" x14ac:dyDescent="0.25">
      <c r="C8" s="154" t="s">
        <v>306</v>
      </c>
      <c r="D8" s="151"/>
    </row>
    <row r="10" spans="3:4" x14ac:dyDescent="0.25">
      <c r="C10" s="154" t="s">
        <v>307</v>
      </c>
      <c r="D10" s="151"/>
    </row>
    <row r="11" spans="3:4" x14ac:dyDescent="0.25">
      <c r="C11" s="154" t="s">
        <v>368</v>
      </c>
      <c r="D11" s="151"/>
    </row>
    <row r="12" spans="3:4" x14ac:dyDescent="0.25">
      <c r="C12" s="154" t="s">
        <v>369</v>
      </c>
      <c r="D12" s="151"/>
    </row>
    <row r="13" spans="3:4" x14ac:dyDescent="0.25">
      <c r="C13" s="154" t="s">
        <v>370</v>
      </c>
      <c r="D13" s="151"/>
    </row>
    <row r="14" spans="3:4" x14ac:dyDescent="0.25">
      <c r="C14" s="154" t="s">
        <v>318</v>
      </c>
      <c r="D14" s="154" t="s">
        <v>319</v>
      </c>
    </row>
    <row r="15" spans="3:4" ht="12" customHeight="1" x14ac:dyDescent="0.25">
      <c r="C15" s="154"/>
      <c r="D15" s="154" t="s">
        <v>321</v>
      </c>
    </row>
    <row r="16" spans="3:4" ht="12" customHeight="1" x14ac:dyDescent="0.25">
      <c r="C16" s="154"/>
      <c r="D16" s="154"/>
    </row>
    <row r="17" spans="3:13" ht="12" customHeight="1" x14ac:dyDescent="0.25">
      <c r="C17" s="154"/>
      <c r="D17" s="154"/>
      <c r="E17" s="151"/>
      <c r="F17" s="151"/>
      <c r="G17" s="151"/>
      <c r="H17" s="151"/>
      <c r="I17" s="151"/>
      <c r="J17" s="151"/>
      <c r="K17" s="151"/>
      <c r="L17" s="151"/>
      <c r="M17" s="151"/>
    </row>
    <row r="18" spans="3:13" ht="12" customHeight="1" x14ac:dyDescent="0.25">
      <c r="C18" s="154"/>
      <c r="D18" s="158" t="s">
        <v>336</v>
      </c>
      <c r="E18" s="151"/>
      <c r="F18" s="151"/>
      <c r="G18" s="151"/>
      <c r="H18" s="151"/>
      <c r="I18" s="151"/>
      <c r="J18" s="151"/>
      <c r="K18" s="151"/>
      <c r="L18" s="151"/>
      <c r="M18" s="151"/>
    </row>
    <row r="19" spans="3:13" x14ac:dyDescent="0.25">
      <c r="C19" s="154"/>
      <c r="D19" s="154" t="s">
        <v>334</v>
      </c>
      <c r="E19" s="151">
        <f>SOA!H25</f>
        <v>55</v>
      </c>
      <c r="F19" s="151"/>
      <c r="G19" s="151"/>
      <c r="H19" s="151"/>
      <c r="I19" s="151"/>
      <c r="J19" s="151"/>
      <c r="K19" s="151"/>
      <c r="L19" s="151"/>
      <c r="M19" s="151"/>
    </row>
    <row r="20" spans="3:13" x14ac:dyDescent="0.25">
      <c r="C20" s="151"/>
      <c r="D20" s="154" t="s">
        <v>316</v>
      </c>
      <c r="E20" s="151">
        <v>1.3</v>
      </c>
      <c r="F20" s="151"/>
      <c r="G20" s="151"/>
      <c r="H20" s="151"/>
      <c r="I20" s="159" t="s">
        <v>325</v>
      </c>
      <c r="J20" s="151"/>
      <c r="K20" s="157"/>
      <c r="L20" s="157"/>
      <c r="M20" s="157"/>
    </row>
    <row r="21" spans="3:13" x14ac:dyDescent="0.25">
      <c r="C21" s="151"/>
      <c r="D21" s="154" t="s">
        <v>308</v>
      </c>
      <c r="E21" s="151">
        <f>1/2*COUTMAX*VINMAX^2*0.000001</f>
        <v>4.224E-2</v>
      </c>
      <c r="F21" s="151"/>
      <c r="G21" s="151"/>
      <c r="H21" s="151"/>
      <c r="I21" s="151"/>
      <c r="J21" s="158" t="s">
        <v>326</v>
      </c>
      <c r="K21" s="162" t="s">
        <v>327</v>
      </c>
      <c r="L21" s="162" t="s">
        <v>328</v>
      </c>
      <c r="M21" s="162" t="s">
        <v>329</v>
      </c>
    </row>
    <row r="22" spans="3:13" x14ac:dyDescent="0.25">
      <c r="C22" s="151"/>
      <c r="D22" s="154" t="s">
        <v>310</v>
      </c>
      <c r="E22" s="151">
        <f>MAX(Equations!F76-E21,0)</f>
        <v>6.2426193293885671E-2</v>
      </c>
      <c r="F22" s="151"/>
      <c r="G22" s="151"/>
      <c r="H22" s="151"/>
      <c r="I22" s="159" t="s">
        <v>330</v>
      </c>
      <c r="J22" s="155">
        <v>0.1</v>
      </c>
      <c r="K22" s="152">
        <v>1</v>
      </c>
      <c r="L22" s="157">
        <v>10</v>
      </c>
      <c r="M22" s="156">
        <v>100</v>
      </c>
    </row>
    <row r="23" spans="3:13" x14ac:dyDescent="0.25">
      <c r="C23" s="151"/>
      <c r="D23" s="154" t="s">
        <v>311</v>
      </c>
      <c r="E23" s="151">
        <f>Equations!F75</f>
        <v>6.4</v>
      </c>
      <c r="F23" s="151"/>
      <c r="G23" s="151"/>
      <c r="H23" s="151"/>
      <c r="I23" s="155" t="s">
        <v>331</v>
      </c>
      <c r="J23" s="152">
        <v>1</v>
      </c>
      <c r="K23" s="152">
        <v>10</v>
      </c>
      <c r="L23" s="157">
        <v>100</v>
      </c>
      <c r="M23" s="156">
        <v>1000</v>
      </c>
    </row>
    <row r="24" spans="3:13" x14ac:dyDescent="0.25">
      <c r="C24" s="151"/>
      <c r="D24" s="151"/>
      <c r="E24" s="151"/>
      <c r="F24" s="151"/>
      <c r="G24" s="151"/>
      <c r="H24" s="151"/>
      <c r="I24" s="155" t="s">
        <v>145</v>
      </c>
      <c r="J24" s="152">
        <f>SOA!C33</f>
        <v>21.000000000000007</v>
      </c>
      <c r="K24" s="152">
        <f>SOA!D33</f>
        <v>21</v>
      </c>
      <c r="L24" s="152">
        <f>SOA!E33</f>
        <v>20</v>
      </c>
      <c r="M24" s="152">
        <f>SOA!F33</f>
        <v>15.943877551020408</v>
      </c>
    </row>
    <row r="25" spans="3:13" x14ac:dyDescent="0.25">
      <c r="C25" s="151"/>
      <c r="D25" s="151" t="s">
        <v>152</v>
      </c>
      <c r="E25" s="151">
        <f>'Design Calculator'!F66</f>
        <v>6</v>
      </c>
      <c r="F25" s="151"/>
      <c r="G25" s="151"/>
      <c r="H25" s="151"/>
      <c r="I25" s="155" t="s">
        <v>146</v>
      </c>
      <c r="J25" s="150">
        <f>SOA!C34</f>
        <v>-0.88190068792200549</v>
      </c>
      <c r="K25" s="150">
        <f>SOA!D34</f>
        <v>-0.3222192947339193</v>
      </c>
      <c r="L25" s="150">
        <f>SOA!E34</f>
        <v>-0.3010299956639812</v>
      </c>
      <c r="M25" s="150">
        <f>SOA!F34</f>
        <v>-0.25181197299379959</v>
      </c>
    </row>
    <row r="26" spans="3:13" x14ac:dyDescent="0.25">
      <c r="C26" s="151"/>
      <c r="D26" s="151" t="s">
        <v>97</v>
      </c>
      <c r="E26" s="151" t="str">
        <f>'Design Calculator'!F67</f>
        <v>Resistive</v>
      </c>
      <c r="F26" s="151"/>
      <c r="G26" s="151"/>
      <c r="H26" s="151"/>
      <c r="I26" s="151"/>
      <c r="J26" s="151"/>
      <c r="K26" s="151"/>
      <c r="L26" s="151"/>
      <c r="M26" s="151"/>
    </row>
    <row r="27" spans="3:13" x14ac:dyDescent="0.25">
      <c r="C27" s="151"/>
      <c r="D27" s="151" t="s">
        <v>98</v>
      </c>
      <c r="E27" s="151">
        <f>'Design Calculator'!F68</f>
        <v>3</v>
      </c>
      <c r="F27" s="151"/>
      <c r="G27" s="151"/>
      <c r="H27" s="151"/>
      <c r="I27" s="160" t="s">
        <v>347</v>
      </c>
      <c r="J27" s="158" t="s">
        <v>111</v>
      </c>
      <c r="K27" s="151"/>
      <c r="L27" s="151"/>
      <c r="M27" s="151"/>
    </row>
    <row r="28" spans="3:13" x14ac:dyDescent="0.25">
      <c r="C28" s="151"/>
      <c r="D28" s="151"/>
      <c r="E28" s="151"/>
      <c r="F28" s="151"/>
      <c r="G28" s="151" t="s">
        <v>345</v>
      </c>
      <c r="H28" s="151"/>
      <c r="I28" s="153">
        <f>SUM(E58:X58)</f>
        <v>12</v>
      </c>
      <c r="J28" s="153">
        <f>IF(I28=0, "NA", I28/AVERAGE(1, E32))</f>
        <v>13.662394164676858</v>
      </c>
      <c r="K28" s="151"/>
      <c r="L28" s="151"/>
      <c r="M28" s="151"/>
    </row>
    <row r="29" spans="3:13" x14ac:dyDescent="0.25">
      <c r="C29" s="151"/>
      <c r="D29" s="154" t="s">
        <v>366</v>
      </c>
      <c r="E29" s="151">
        <f>12/1</f>
        <v>12</v>
      </c>
      <c r="F29" s="151"/>
      <c r="G29" s="151" t="s">
        <v>346</v>
      </c>
      <c r="H29" s="151"/>
      <c r="I29" s="153">
        <f>SUM(E59:X59)</f>
        <v>5.9999999999999984E-2</v>
      </c>
      <c r="J29" s="153">
        <f>IF(I29=0, "NA", I29*AVERAGE(1,E32))</f>
        <v>5.2699401826768279E-2</v>
      </c>
      <c r="K29" s="151"/>
      <c r="L29" s="151"/>
      <c r="M29" s="151"/>
    </row>
    <row r="30" spans="3:13" x14ac:dyDescent="0.25">
      <c r="C30" s="151"/>
      <c r="D30" s="154" t="s">
        <v>367</v>
      </c>
      <c r="E30" s="151">
        <v>0.06</v>
      </c>
      <c r="F30" s="151"/>
      <c r="G30" s="151"/>
      <c r="H30" s="151"/>
      <c r="I30" s="151"/>
      <c r="J30" s="151"/>
      <c r="K30" s="151"/>
      <c r="L30" s="151"/>
      <c r="M30" s="151"/>
    </row>
    <row r="31" spans="3:13" x14ac:dyDescent="0.25">
      <c r="C31" s="151"/>
      <c r="D31" s="154" t="s">
        <v>337</v>
      </c>
      <c r="E31" s="151">
        <v>20</v>
      </c>
      <c r="F31" s="151"/>
      <c r="G31" s="151"/>
      <c r="H31" s="151"/>
      <c r="I31" s="151"/>
      <c r="J31" s="151"/>
      <c r="K31" s="151"/>
      <c r="L31" s="151"/>
      <c r="M31" s="151"/>
    </row>
    <row r="32" spans="3:13" x14ac:dyDescent="0.25">
      <c r="C32" s="151"/>
      <c r="D32" s="154" t="s">
        <v>338</v>
      </c>
      <c r="E32" s="151">
        <f>(E30/E29)^(1/(E31-1))</f>
        <v>0.75664672755894302</v>
      </c>
      <c r="F32" s="151"/>
      <c r="G32" s="151"/>
      <c r="H32" s="151"/>
      <c r="I32" s="151"/>
      <c r="J32" s="151"/>
      <c r="K32" s="151"/>
      <c r="L32" s="151"/>
      <c r="M32" s="151"/>
    </row>
    <row r="33" spans="4:24" x14ac:dyDescent="0.25">
      <c r="D33" s="154"/>
      <c r="E33" s="151"/>
      <c r="F33" s="151"/>
      <c r="G33" s="151"/>
      <c r="H33" s="151"/>
      <c r="I33" s="151"/>
      <c r="J33" s="151"/>
      <c r="K33" s="151"/>
      <c r="L33" s="151"/>
      <c r="M33" s="151"/>
      <c r="N33" s="151"/>
      <c r="O33" s="151"/>
      <c r="P33" s="151"/>
      <c r="Q33" s="151"/>
      <c r="R33" s="151"/>
      <c r="S33" s="151"/>
      <c r="T33" s="151"/>
      <c r="U33" s="151"/>
      <c r="V33" s="151"/>
      <c r="W33" s="151"/>
      <c r="X33" s="151"/>
    </row>
    <row r="34" spans="4:24" x14ac:dyDescent="0.25">
      <c r="D34" s="151"/>
      <c r="E34" s="151">
        <v>1</v>
      </c>
      <c r="F34" s="151">
        <v>2</v>
      </c>
      <c r="G34" s="151">
        <v>3</v>
      </c>
      <c r="H34" s="151">
        <v>4</v>
      </c>
      <c r="I34" s="151">
        <v>5</v>
      </c>
      <c r="J34" s="151">
        <v>6</v>
      </c>
      <c r="K34" s="151">
        <v>7</v>
      </c>
      <c r="L34" s="151">
        <v>8</v>
      </c>
      <c r="M34" s="151">
        <v>9</v>
      </c>
      <c r="N34" s="151">
        <v>10</v>
      </c>
      <c r="O34" s="151">
        <v>11</v>
      </c>
      <c r="P34" s="151">
        <v>12</v>
      </c>
      <c r="Q34" s="151">
        <v>13</v>
      </c>
      <c r="R34" s="151">
        <v>14</v>
      </c>
      <c r="S34" s="151">
        <v>15</v>
      </c>
      <c r="T34" s="151">
        <v>16</v>
      </c>
      <c r="U34" s="151">
        <v>17</v>
      </c>
      <c r="V34" s="151">
        <v>18</v>
      </c>
      <c r="W34" s="151">
        <v>19</v>
      </c>
      <c r="X34" s="151">
        <v>20</v>
      </c>
    </row>
    <row r="35" spans="4:24" x14ac:dyDescent="0.25">
      <c r="D35" s="161" t="s">
        <v>309</v>
      </c>
      <c r="E35" s="161">
        <f>E29</f>
        <v>12</v>
      </c>
      <c r="F35" s="161">
        <f t="shared" ref="F35:X35" si="0">E35*$E$32</f>
        <v>9.0797607307073172</v>
      </c>
      <c r="G35" s="161">
        <f t="shared" si="0"/>
        <v>6.8701712439078886</v>
      </c>
      <c r="H35" s="161">
        <f t="shared" si="0"/>
        <v>5.198292589472457</v>
      </c>
      <c r="I35" s="161">
        <f t="shared" si="0"/>
        <v>3.9332710767182384</v>
      </c>
      <c r="J35" s="161">
        <f t="shared" si="0"/>
        <v>2.9760966888010953</v>
      </c>
      <c r="K35" s="161">
        <f t="shared" si="0"/>
        <v>2.2518538204803549</v>
      </c>
      <c r="L35" s="161">
        <f t="shared" si="0"/>
        <v>1.7038578242075642</v>
      </c>
      <c r="M35" s="161">
        <f t="shared" si="0"/>
        <v>1.2892184469123542</v>
      </c>
      <c r="N35" s="161">
        <f t="shared" si="0"/>
        <v>0.97548291896485573</v>
      </c>
      <c r="O35" s="161">
        <f t="shared" si="0"/>
        <v>0.73809595842440368</v>
      </c>
      <c r="P35" s="161">
        <f t="shared" si="0"/>
        <v>0.55847789156630667</v>
      </c>
      <c r="Q35" s="161">
        <f t="shared" si="0"/>
        <v>0.42257046906766416</v>
      </c>
      <c r="R35" s="161">
        <f t="shared" si="0"/>
        <v>0.31973656258309563</v>
      </c>
      <c r="S35" s="161">
        <f t="shared" si="0"/>
        <v>0.24192762375944449</v>
      </c>
      <c r="T35" s="161">
        <f t="shared" si="0"/>
        <v>0.18305374482369485</v>
      </c>
      <c r="U35" s="161">
        <f t="shared" si="0"/>
        <v>0.13850701698825851</v>
      </c>
      <c r="V35" s="161">
        <f t="shared" si="0"/>
        <v>0.10480088114811673</v>
      </c>
      <c r="W35" s="161">
        <f t="shared" si="0"/>
        <v>7.929724376601624E-2</v>
      </c>
      <c r="X35" s="161">
        <f t="shared" si="0"/>
        <v>5.9999999999999984E-2</v>
      </c>
    </row>
    <row r="36" spans="4:24" x14ac:dyDescent="0.25">
      <c r="D36" s="154" t="s">
        <v>312</v>
      </c>
      <c r="E36" s="151">
        <f t="shared" ref="E36:X36" si="1">VINMAX/E35</f>
        <v>1.3333333333333333</v>
      </c>
      <c r="F36" s="151">
        <f t="shared" si="1"/>
        <v>1.7621609725781391</v>
      </c>
      <c r="G36" s="151">
        <f t="shared" si="1"/>
        <v>2.3289084699581499</v>
      </c>
      <c r="H36" s="151">
        <f t="shared" si="1"/>
        <v>3.0779337108501896</v>
      </c>
      <c r="I36" s="151">
        <f t="shared" si="1"/>
        <v>4.0678609960821079</v>
      </c>
      <c r="J36" s="151">
        <f t="shared" si="1"/>
        <v>5.3761694168765448</v>
      </c>
      <c r="K36" s="151">
        <f t="shared" si="1"/>
        <v>7.1052569462910142</v>
      </c>
      <c r="L36" s="151">
        <f t="shared" si="1"/>
        <v>9.3904548681703144</v>
      </c>
      <c r="M36" s="151">
        <f t="shared" si="1"/>
        <v>12.410619812584592</v>
      </c>
      <c r="N36" s="151">
        <f t="shared" si="1"/>
        <v>16.402132409431189</v>
      </c>
      <c r="O36" s="151">
        <f t="shared" si="1"/>
        <v>21.677398199219013</v>
      </c>
      <c r="P36" s="151">
        <f t="shared" si="1"/>
        <v>28.649298820274534</v>
      </c>
      <c r="Q36" s="151">
        <f t="shared" si="1"/>
        <v>37.863507204612532</v>
      </c>
      <c r="R36" s="151">
        <f t="shared" si="1"/>
        <v>50.041196010674554</v>
      </c>
      <c r="S36" s="151">
        <f t="shared" si="1"/>
        <v>66.135481973357685</v>
      </c>
      <c r="T36" s="151">
        <f t="shared" si="1"/>
        <v>87.406023927071971</v>
      </c>
      <c r="U36" s="151">
        <f t="shared" si="1"/>
        <v>115.51761309938794</v>
      </c>
      <c r="V36" s="151">
        <f t="shared" si="1"/>
        <v>152.67047208684198</v>
      </c>
      <c r="W36" s="151">
        <f t="shared" si="1"/>
        <v>201.77246068238486</v>
      </c>
      <c r="X36" s="151">
        <f t="shared" si="1"/>
        <v>266.66666666666674</v>
      </c>
    </row>
    <row r="37" spans="4:24" x14ac:dyDescent="0.25">
      <c r="D37" s="154" t="s">
        <v>313</v>
      </c>
      <c r="E37" s="151">
        <f t="shared" ref="E37:X37" si="2">E35*COUTMAX/1000</f>
        <v>3.96</v>
      </c>
      <c r="F37" s="151">
        <f t="shared" si="2"/>
        <v>2.9963210411334149</v>
      </c>
      <c r="G37" s="151">
        <f t="shared" si="2"/>
        <v>2.267156510489603</v>
      </c>
      <c r="H37" s="151">
        <f t="shared" si="2"/>
        <v>1.7154365545259109</v>
      </c>
      <c r="I37" s="151">
        <f t="shared" si="2"/>
        <v>1.2979794553170185</v>
      </c>
      <c r="J37" s="151">
        <f t="shared" si="2"/>
        <v>0.98211190730436149</v>
      </c>
      <c r="K37" s="151">
        <f t="shared" si="2"/>
        <v>0.74311176075851715</v>
      </c>
      <c r="L37" s="151">
        <f t="shared" si="2"/>
        <v>0.56227308198849624</v>
      </c>
      <c r="M37" s="151">
        <f t="shared" si="2"/>
        <v>0.42544208748107687</v>
      </c>
      <c r="N37" s="151">
        <f t="shared" si="2"/>
        <v>0.32190936325840236</v>
      </c>
      <c r="O37" s="151">
        <f t="shared" si="2"/>
        <v>0.24357166628005322</v>
      </c>
      <c r="P37" s="151">
        <f t="shared" si="2"/>
        <v>0.18429770421688121</v>
      </c>
      <c r="Q37" s="151">
        <f t="shared" si="2"/>
        <v>0.13944825479232917</v>
      </c>
      <c r="R37" s="151">
        <f t="shared" si="2"/>
        <v>0.10551306565242156</v>
      </c>
      <c r="S37" s="151">
        <f t="shared" si="2"/>
        <v>7.9836115840616687E-2</v>
      </c>
      <c r="T37" s="151">
        <f t="shared" si="2"/>
        <v>6.0407735791819302E-2</v>
      </c>
      <c r="U37" s="151">
        <f t="shared" si="2"/>
        <v>4.5707315606125308E-2</v>
      </c>
      <c r="V37" s="151">
        <f t="shared" si="2"/>
        <v>3.4584290778878521E-2</v>
      </c>
      <c r="W37" s="151">
        <f t="shared" si="2"/>
        <v>2.6168090442785358E-2</v>
      </c>
      <c r="X37" s="151">
        <f t="shared" si="2"/>
        <v>1.9799999999999995E-2</v>
      </c>
    </row>
    <row r="38" spans="4:24" x14ac:dyDescent="0.25">
      <c r="D38" s="154" t="s">
        <v>314</v>
      </c>
      <c r="E38" s="151">
        <f t="shared" ref="E38:X38" si="3">$E$21+$E$22*E36/$E$23</f>
        <v>5.5245456936226178E-2</v>
      </c>
      <c r="F38" s="151">
        <f t="shared" si="3"/>
        <v>5.9428281482672568E-2</v>
      </c>
      <c r="G38" s="151">
        <f t="shared" si="3"/>
        <v>6.4956389110839841E-2</v>
      </c>
      <c r="H38" s="151">
        <f t="shared" si="3"/>
        <v>7.2262450746765738E-2</v>
      </c>
      <c r="I38" s="151">
        <f t="shared" si="3"/>
        <v>8.1918293255324987E-2</v>
      </c>
      <c r="J38" s="151">
        <f t="shared" si="3"/>
        <v>9.4679654874783081E-2</v>
      </c>
      <c r="K38" s="151">
        <f t="shared" si="3"/>
        <v>0.1115453349268573</v>
      </c>
      <c r="L38" s="151">
        <f t="shared" si="3"/>
        <v>0.13383536729967338</v>
      </c>
      <c r="M38" s="151">
        <f t="shared" si="3"/>
        <v>0.16329433614333327</v>
      </c>
      <c r="N38" s="151">
        <f t="shared" si="3"/>
        <v>0.20222792003485282</v>
      </c>
      <c r="O38" s="151">
        <f t="shared" si="3"/>
        <v>0.25368335157702737</v>
      </c>
      <c r="P38" s="151">
        <f t="shared" si="3"/>
        <v>0.32168791654511697</v>
      </c>
      <c r="Q38" s="151">
        <f t="shared" si="3"/>
        <v>0.41156415930305856</v>
      </c>
      <c r="R38" s="151">
        <f t="shared" si="3"/>
        <v>0.53034646481556091</v>
      </c>
      <c r="S38" s="151">
        <f t="shared" si="3"/>
        <v>0.68733162207079967</v>
      </c>
      <c r="T38" s="151">
        <f t="shared" si="3"/>
        <v>0.89480646011271725</v>
      </c>
      <c r="U38" s="151">
        <f t="shared" si="3"/>
        <v>1.1690095069047954</v>
      </c>
      <c r="V38" s="151">
        <f t="shared" si="3"/>
        <v>1.5314019376190584</v>
      </c>
      <c r="W38" s="151">
        <f t="shared" si="3"/>
        <v>2.0103472862408598</v>
      </c>
      <c r="X38" s="151">
        <f t="shared" si="3"/>
        <v>2.6433313872452366</v>
      </c>
    </row>
    <row r="39" spans="4:24" x14ac:dyDescent="0.25">
      <c r="D39" s="154" t="s">
        <v>317</v>
      </c>
      <c r="E39" s="151">
        <f t="shared" ref="E39:X39" si="4">(E37+IF($E$26="Resistive",0,IF($E$25=0,$E$27,0)))*VINMAX</f>
        <v>63.36</v>
      </c>
      <c r="F39" s="151">
        <f t="shared" si="4"/>
        <v>47.941136658134639</v>
      </c>
      <c r="G39" s="151">
        <f t="shared" si="4"/>
        <v>36.274504167833648</v>
      </c>
      <c r="H39" s="151">
        <f t="shared" si="4"/>
        <v>27.446984872414575</v>
      </c>
      <c r="I39" s="151">
        <f t="shared" si="4"/>
        <v>20.767671285072296</v>
      </c>
      <c r="J39" s="151">
        <f t="shared" si="4"/>
        <v>15.713790516869784</v>
      </c>
      <c r="K39" s="151">
        <f t="shared" si="4"/>
        <v>11.889788172136274</v>
      </c>
      <c r="L39" s="151">
        <f t="shared" si="4"/>
        <v>8.9963693118159398</v>
      </c>
      <c r="M39" s="151">
        <f t="shared" si="4"/>
        <v>6.8070733996972299</v>
      </c>
      <c r="N39" s="151">
        <f t="shared" si="4"/>
        <v>5.1505498121344377</v>
      </c>
      <c r="O39" s="151">
        <f t="shared" si="4"/>
        <v>3.8971466604808516</v>
      </c>
      <c r="P39" s="151">
        <f t="shared" si="4"/>
        <v>2.9487632674700994</v>
      </c>
      <c r="Q39" s="151">
        <f t="shared" si="4"/>
        <v>2.2311720766772667</v>
      </c>
      <c r="R39" s="151">
        <f t="shared" si="4"/>
        <v>1.688209050438745</v>
      </c>
      <c r="S39" s="151">
        <f t="shared" si="4"/>
        <v>1.277377853449867</v>
      </c>
      <c r="T39" s="151">
        <f t="shared" si="4"/>
        <v>0.96652377266910883</v>
      </c>
      <c r="U39" s="151">
        <f t="shared" si="4"/>
        <v>0.73131704969800493</v>
      </c>
      <c r="V39" s="151">
        <f t="shared" si="4"/>
        <v>0.55334865246205633</v>
      </c>
      <c r="W39" s="151">
        <f t="shared" si="4"/>
        <v>0.41868944708456574</v>
      </c>
      <c r="X39" s="151">
        <f t="shared" si="4"/>
        <v>0.31679999999999992</v>
      </c>
    </row>
    <row r="40" spans="4:24" x14ac:dyDescent="0.25">
      <c r="D40" s="154" t="s">
        <v>315</v>
      </c>
      <c r="E40" s="151">
        <f t="shared" ref="E40:X40" si="5">(E37+IF($E$26="Resistive", $E$25/$E$27,$E$27)) *(VINMAX-$E$25)</f>
        <v>59.6</v>
      </c>
      <c r="F40" s="151">
        <f t="shared" si="5"/>
        <v>49.963210411334146</v>
      </c>
      <c r="G40" s="151">
        <f t="shared" si="5"/>
        <v>42.671565104896025</v>
      </c>
      <c r="H40" s="151">
        <f t="shared" si="5"/>
        <v>37.154365545259111</v>
      </c>
      <c r="I40" s="151">
        <f t="shared" si="5"/>
        <v>32.979794553170187</v>
      </c>
      <c r="J40" s="151">
        <f t="shared" si="5"/>
        <v>29.821119073043615</v>
      </c>
      <c r="K40" s="151">
        <f t="shared" si="5"/>
        <v>27.431117607585172</v>
      </c>
      <c r="L40" s="151">
        <f t="shared" si="5"/>
        <v>25.622730819884964</v>
      </c>
      <c r="M40" s="151">
        <f t="shared" si="5"/>
        <v>24.254420874810769</v>
      </c>
      <c r="N40" s="151">
        <f t="shared" si="5"/>
        <v>23.219093632584023</v>
      </c>
      <c r="O40" s="151">
        <f t="shared" si="5"/>
        <v>22.43571666280053</v>
      </c>
      <c r="P40" s="151">
        <f t="shared" si="5"/>
        <v>21.842977042168812</v>
      </c>
      <c r="Q40" s="151">
        <f t="shared" si="5"/>
        <v>21.394482547923293</v>
      </c>
      <c r="R40" s="151">
        <f t="shared" si="5"/>
        <v>21.055130656524213</v>
      </c>
      <c r="S40" s="151">
        <f t="shared" si="5"/>
        <v>20.79836115840617</v>
      </c>
      <c r="T40" s="151">
        <f t="shared" si="5"/>
        <v>20.604077357918193</v>
      </c>
      <c r="U40" s="151">
        <f t="shared" si="5"/>
        <v>20.457073156061256</v>
      </c>
      <c r="V40" s="151">
        <f t="shared" si="5"/>
        <v>20.345842907788786</v>
      </c>
      <c r="W40" s="151">
        <f t="shared" si="5"/>
        <v>20.261680904427855</v>
      </c>
      <c r="X40" s="151">
        <f t="shared" si="5"/>
        <v>20.198</v>
      </c>
    </row>
    <row r="41" spans="4:24" x14ac:dyDescent="0.25">
      <c r="D41" s="154" t="s">
        <v>320</v>
      </c>
      <c r="E41" s="151">
        <f t="shared" ref="E41:X41" si="6">IF($E$26="Resistive", -$E$27*E37/2 + VINMAX/2, -1)</f>
        <v>2.0600000000000005</v>
      </c>
      <c r="F41" s="151">
        <f t="shared" si="6"/>
        <v>3.5055184382998776</v>
      </c>
      <c r="G41" s="151">
        <f t="shared" si="6"/>
        <v>4.5992652342655953</v>
      </c>
      <c r="H41" s="151">
        <f t="shared" si="6"/>
        <v>5.4268451682111341</v>
      </c>
      <c r="I41" s="151">
        <f t="shared" si="6"/>
        <v>6.0530308170244727</v>
      </c>
      <c r="J41" s="151">
        <f t="shared" si="6"/>
        <v>6.5268321390434583</v>
      </c>
      <c r="K41" s="151">
        <f t="shared" si="6"/>
        <v>6.8853323588622244</v>
      </c>
      <c r="L41" s="151">
        <f t="shared" si="6"/>
        <v>7.1565903770172561</v>
      </c>
      <c r="M41" s="151">
        <f t="shared" si="6"/>
        <v>7.3618368687783846</v>
      </c>
      <c r="N41" s="151">
        <f t="shared" si="6"/>
        <v>7.5171359551123969</v>
      </c>
      <c r="O41" s="151">
        <f t="shared" si="6"/>
        <v>7.6346425005799201</v>
      </c>
      <c r="P41" s="151">
        <f t="shared" si="6"/>
        <v>7.7235534436746782</v>
      </c>
      <c r="Q41" s="151">
        <f t="shared" si="6"/>
        <v>7.7908276178115061</v>
      </c>
      <c r="R41" s="151">
        <f t="shared" si="6"/>
        <v>7.8417304015213674</v>
      </c>
      <c r="S41" s="151">
        <f t="shared" si="6"/>
        <v>7.8802458262390749</v>
      </c>
      <c r="T41" s="151">
        <f t="shared" si="6"/>
        <v>7.9093883963122709</v>
      </c>
      <c r="U41" s="151">
        <f t="shared" si="6"/>
        <v>7.9314390265908123</v>
      </c>
      <c r="V41" s="151">
        <f t="shared" si="6"/>
        <v>7.9481235638316825</v>
      </c>
      <c r="W41" s="151">
        <f t="shared" si="6"/>
        <v>7.960747864335822</v>
      </c>
      <c r="X41" s="151">
        <f t="shared" si="6"/>
        <v>7.9702999999999999</v>
      </c>
    </row>
    <row r="42" spans="4:24" x14ac:dyDescent="0.25">
      <c r="D42" s="154" t="s">
        <v>322</v>
      </c>
      <c r="E42" s="151">
        <f t="shared" ref="E42:X42" si="7">IF(AND(E41&lt;VINMAX, E41&gt;$E$25), (VINMAX-E41)*(E37+E41/$E$27), 0)</f>
        <v>0</v>
      </c>
      <c r="F42" s="151">
        <f t="shared" si="7"/>
        <v>0</v>
      </c>
      <c r="G42" s="151">
        <f t="shared" si="7"/>
        <v>0</v>
      </c>
      <c r="H42" s="151">
        <f t="shared" si="7"/>
        <v>0</v>
      </c>
      <c r="I42" s="151">
        <f t="shared" si="7"/>
        <v>32.980731975688279</v>
      </c>
      <c r="J42" s="151">
        <f t="shared" si="7"/>
        <v>29.913636440619982</v>
      </c>
      <c r="K42" s="151">
        <f t="shared" si="7"/>
        <v>27.692388736134685</v>
      </c>
      <c r="L42" s="151">
        <f t="shared" si="7"/>
        <v>26.068631253287936</v>
      </c>
      <c r="M42" s="151">
        <f t="shared" si="7"/>
        <v>24.87262076053214</v>
      </c>
      <c r="N42" s="151">
        <f t="shared" si="7"/>
        <v>23.98632746801562</v>
      </c>
      <c r="O42" s="151">
        <f t="shared" si="7"/>
        <v>23.32640203103459</v>
      </c>
      <c r="P42" s="151">
        <f t="shared" si="7"/>
        <v>22.833189199903092</v>
      </c>
      <c r="Q42" s="151">
        <f t="shared" si="7"/>
        <v>22.46350373349544</v>
      </c>
      <c r="R42" s="151">
        <f t="shared" si="7"/>
        <v>22.185787613820235</v>
      </c>
      <c r="S42" s="151">
        <f t="shared" si="7"/>
        <v>21.976802614102652</v>
      </c>
      <c r="T42" s="151">
        <f t="shared" si="7"/>
        <v>21.81933204057551</v>
      </c>
      <c r="U42" s="151">
        <f t="shared" si="7"/>
        <v>21.700558727207277</v>
      </c>
      <c r="V42" s="151">
        <f t="shared" si="7"/>
        <v>21.610904714440871</v>
      </c>
      <c r="W42" s="151">
        <f t="shared" si="7"/>
        <v>21.543191633593683</v>
      </c>
      <c r="X42" s="151">
        <f t="shared" si="7"/>
        <v>21.492027363333332</v>
      </c>
    </row>
    <row r="44" spans="4:24" x14ac:dyDescent="0.25">
      <c r="D44" s="154" t="s">
        <v>323</v>
      </c>
      <c r="E44" s="151">
        <f t="shared" ref="E44:X44" si="8">MAX(E39,E40,E42)</f>
        <v>63.36</v>
      </c>
      <c r="F44" s="151">
        <f t="shared" si="8"/>
        <v>49.963210411334146</v>
      </c>
      <c r="G44" s="151">
        <f t="shared" si="8"/>
        <v>42.671565104896025</v>
      </c>
      <c r="H44" s="151">
        <f t="shared" si="8"/>
        <v>37.154365545259111</v>
      </c>
      <c r="I44" s="151">
        <f t="shared" si="8"/>
        <v>32.980731975688279</v>
      </c>
      <c r="J44" s="151">
        <f t="shared" si="8"/>
        <v>29.913636440619982</v>
      </c>
      <c r="K44" s="151">
        <f t="shared" si="8"/>
        <v>27.692388736134685</v>
      </c>
      <c r="L44" s="151">
        <f t="shared" si="8"/>
        <v>26.068631253287936</v>
      </c>
      <c r="M44" s="151">
        <f t="shared" si="8"/>
        <v>24.87262076053214</v>
      </c>
      <c r="N44" s="151">
        <f t="shared" si="8"/>
        <v>23.98632746801562</v>
      </c>
      <c r="O44" s="151">
        <f t="shared" si="8"/>
        <v>23.32640203103459</v>
      </c>
      <c r="P44" s="151">
        <f t="shared" si="8"/>
        <v>22.833189199903092</v>
      </c>
      <c r="Q44" s="151">
        <f t="shared" si="8"/>
        <v>22.46350373349544</v>
      </c>
      <c r="R44" s="151">
        <f t="shared" si="8"/>
        <v>22.185787613820235</v>
      </c>
      <c r="S44" s="151">
        <f t="shared" si="8"/>
        <v>21.976802614102652</v>
      </c>
      <c r="T44" s="151">
        <f t="shared" si="8"/>
        <v>21.81933204057551</v>
      </c>
      <c r="U44" s="151">
        <f t="shared" si="8"/>
        <v>21.700558727207277</v>
      </c>
      <c r="V44" s="151">
        <f t="shared" si="8"/>
        <v>21.610904714440871</v>
      </c>
      <c r="W44" s="151">
        <f t="shared" si="8"/>
        <v>21.543191633593683</v>
      </c>
      <c r="X44" s="151">
        <f t="shared" si="8"/>
        <v>21.492027363333332</v>
      </c>
    </row>
    <row r="45" spans="4:24" x14ac:dyDescent="0.25">
      <c r="D45" s="154" t="s">
        <v>324</v>
      </c>
      <c r="E45" s="151">
        <f t="shared" ref="E45:X45" si="9">E38/E44*1000</f>
        <v>0.87192956023084245</v>
      </c>
      <c r="F45" s="151">
        <f t="shared" si="9"/>
        <v>1.1894408104166037</v>
      </c>
      <c r="G45" s="151">
        <f t="shared" si="9"/>
        <v>1.5222406056858437</v>
      </c>
      <c r="H45" s="151">
        <f t="shared" si="9"/>
        <v>1.9449249014557972</v>
      </c>
      <c r="I45" s="151">
        <f t="shared" si="9"/>
        <v>2.4838227761503595</v>
      </c>
      <c r="J45" s="151">
        <f t="shared" si="9"/>
        <v>3.1651001396211655</v>
      </c>
      <c r="K45" s="151">
        <f t="shared" si="9"/>
        <v>4.0280141951534238</v>
      </c>
      <c r="L45" s="151">
        <f t="shared" si="9"/>
        <v>5.1339621938452655</v>
      </c>
      <c r="M45" s="151">
        <f t="shared" si="9"/>
        <v>6.5652243772577688</v>
      </c>
      <c r="N45" s="151">
        <f t="shared" si="9"/>
        <v>8.4309663621707838</v>
      </c>
      <c r="O45" s="151">
        <f t="shared" si="9"/>
        <v>10.875374232147529</v>
      </c>
      <c r="P45" s="151">
        <f t="shared" si="9"/>
        <v>14.088610825617048</v>
      </c>
      <c r="Q45" s="151">
        <f t="shared" si="9"/>
        <v>18.321458851023905</v>
      </c>
      <c r="R45" s="151">
        <f t="shared" si="9"/>
        <v>23.904784181977437</v>
      </c>
      <c r="S45" s="151">
        <f t="shared" si="9"/>
        <v>31.275323992296073</v>
      </c>
      <c r="T45" s="151">
        <f t="shared" si="9"/>
        <v>41.009800778902111</v>
      </c>
      <c r="U45" s="151">
        <f t="shared" si="9"/>
        <v>53.870018813807725</v>
      </c>
      <c r="V45" s="151">
        <f t="shared" si="9"/>
        <v>70.862463087708804</v>
      </c>
      <c r="W45" s="151">
        <f t="shared" si="9"/>
        <v>93.317059070578765</v>
      </c>
      <c r="X45" s="151">
        <f t="shared" si="9"/>
        <v>122.99125357316994</v>
      </c>
    </row>
    <row r="47" spans="4:24" x14ac:dyDescent="0.25">
      <c r="D47" s="154" t="s">
        <v>145</v>
      </c>
      <c r="E47" s="151">
        <f t="shared" ref="E47:X47" si="10">IF(E45&lt;$J$23,$J$24,IF(E45&lt;$K$23,$K$24,IF(E45&lt;$L$23,$L$24,$M$24)))</f>
        <v>21.000000000000007</v>
      </c>
      <c r="F47" s="151">
        <f t="shared" si="10"/>
        <v>21</v>
      </c>
      <c r="G47" s="151">
        <f t="shared" si="10"/>
        <v>21</v>
      </c>
      <c r="H47" s="151">
        <f t="shared" si="10"/>
        <v>21</v>
      </c>
      <c r="I47" s="151">
        <f t="shared" si="10"/>
        <v>21</v>
      </c>
      <c r="J47" s="151">
        <f t="shared" si="10"/>
        <v>21</v>
      </c>
      <c r="K47" s="151">
        <f t="shared" si="10"/>
        <v>21</v>
      </c>
      <c r="L47" s="151">
        <f t="shared" si="10"/>
        <v>21</v>
      </c>
      <c r="M47" s="151">
        <f t="shared" si="10"/>
        <v>21</v>
      </c>
      <c r="N47" s="151">
        <f t="shared" si="10"/>
        <v>21</v>
      </c>
      <c r="O47" s="151">
        <f t="shared" si="10"/>
        <v>20</v>
      </c>
      <c r="P47" s="151">
        <f t="shared" si="10"/>
        <v>20</v>
      </c>
      <c r="Q47" s="151">
        <f t="shared" si="10"/>
        <v>20</v>
      </c>
      <c r="R47" s="151">
        <f t="shared" si="10"/>
        <v>20</v>
      </c>
      <c r="S47" s="151">
        <f t="shared" si="10"/>
        <v>20</v>
      </c>
      <c r="T47" s="151">
        <f t="shared" si="10"/>
        <v>20</v>
      </c>
      <c r="U47" s="151">
        <f t="shared" si="10"/>
        <v>20</v>
      </c>
      <c r="V47" s="151">
        <f t="shared" si="10"/>
        <v>20</v>
      </c>
      <c r="W47" s="151">
        <f t="shared" si="10"/>
        <v>20</v>
      </c>
      <c r="X47" s="151">
        <f t="shared" si="10"/>
        <v>15.943877551020408</v>
      </c>
    </row>
    <row r="48" spans="4:24" x14ac:dyDescent="0.25">
      <c r="D48" s="154" t="s">
        <v>146</v>
      </c>
      <c r="E48" s="151">
        <f t="shared" ref="E48:X48" si="11">IF(E45&lt;$J$23,$J$25,IF(E45&lt;$K$23,$K$25,IF(E45&lt;$L$23,$L$25,$M$25)))</f>
        <v>-0.88190068792200549</v>
      </c>
      <c r="F48" s="151">
        <f t="shared" si="11"/>
        <v>-0.3222192947339193</v>
      </c>
      <c r="G48" s="151">
        <f t="shared" si="11"/>
        <v>-0.3222192947339193</v>
      </c>
      <c r="H48" s="151">
        <f t="shared" si="11"/>
        <v>-0.3222192947339193</v>
      </c>
      <c r="I48" s="151">
        <f t="shared" si="11"/>
        <v>-0.3222192947339193</v>
      </c>
      <c r="J48" s="151">
        <f t="shared" si="11"/>
        <v>-0.3222192947339193</v>
      </c>
      <c r="K48" s="151">
        <f t="shared" si="11"/>
        <v>-0.3222192947339193</v>
      </c>
      <c r="L48" s="151">
        <f t="shared" si="11"/>
        <v>-0.3222192947339193</v>
      </c>
      <c r="M48" s="151">
        <f t="shared" si="11"/>
        <v>-0.3222192947339193</v>
      </c>
      <c r="N48" s="151">
        <f t="shared" si="11"/>
        <v>-0.3222192947339193</v>
      </c>
      <c r="O48" s="151">
        <f t="shared" si="11"/>
        <v>-0.3010299956639812</v>
      </c>
      <c r="P48" s="151">
        <f t="shared" si="11"/>
        <v>-0.3010299956639812</v>
      </c>
      <c r="Q48" s="151">
        <f t="shared" si="11"/>
        <v>-0.3010299956639812</v>
      </c>
      <c r="R48" s="151">
        <f t="shared" si="11"/>
        <v>-0.3010299956639812</v>
      </c>
      <c r="S48" s="151">
        <f t="shared" si="11"/>
        <v>-0.3010299956639812</v>
      </c>
      <c r="T48" s="151">
        <f t="shared" si="11"/>
        <v>-0.3010299956639812</v>
      </c>
      <c r="U48" s="151">
        <f t="shared" si="11"/>
        <v>-0.3010299956639812</v>
      </c>
      <c r="V48" s="151">
        <f t="shared" si="11"/>
        <v>-0.3010299956639812</v>
      </c>
      <c r="W48" s="151">
        <f t="shared" si="11"/>
        <v>-0.3010299956639812</v>
      </c>
      <c r="X48" s="151">
        <f t="shared" si="11"/>
        <v>-0.25181197299379959</v>
      </c>
    </row>
    <row r="50" spans="4:25" x14ac:dyDescent="0.25">
      <c r="D50" s="154" t="s">
        <v>332</v>
      </c>
      <c r="E50" s="151">
        <f t="shared" ref="E50:X50" si="12">E47*E45^E48*VINMAX</f>
        <v>379.16546169088559</v>
      </c>
      <c r="F50" s="151">
        <f t="shared" si="12"/>
        <v>317.73302838120549</v>
      </c>
      <c r="G50" s="151">
        <f t="shared" si="12"/>
        <v>293.45373153792099</v>
      </c>
      <c r="H50" s="151">
        <f t="shared" si="12"/>
        <v>271.17472542083533</v>
      </c>
      <c r="I50" s="151">
        <f t="shared" si="12"/>
        <v>250.6246564594905</v>
      </c>
      <c r="J50" s="151">
        <f t="shared" si="12"/>
        <v>231.79538474575156</v>
      </c>
      <c r="K50" s="151">
        <f t="shared" si="12"/>
        <v>214.47036187701212</v>
      </c>
      <c r="L50" s="151">
        <f t="shared" si="12"/>
        <v>198.34338479329219</v>
      </c>
      <c r="M50" s="151">
        <f t="shared" si="12"/>
        <v>183.23384552503495</v>
      </c>
      <c r="N50" s="151">
        <f t="shared" si="12"/>
        <v>169.04554446516354</v>
      </c>
      <c r="O50" s="151">
        <f t="shared" si="12"/>
        <v>156.00883083487693</v>
      </c>
      <c r="P50" s="151">
        <f t="shared" si="12"/>
        <v>144.31324667241716</v>
      </c>
      <c r="Q50" s="151">
        <f t="shared" si="12"/>
        <v>133.34020530795704</v>
      </c>
      <c r="R50" s="151">
        <f t="shared" si="12"/>
        <v>123.07920908621709</v>
      </c>
      <c r="S50" s="151">
        <f t="shared" si="12"/>
        <v>113.51398800858649</v>
      </c>
      <c r="T50" s="151">
        <f t="shared" si="12"/>
        <v>104.62185430996881</v>
      </c>
      <c r="U50" s="151">
        <f t="shared" si="12"/>
        <v>96.374593694122609</v>
      </c>
      <c r="V50" s="151">
        <f t="shared" si="12"/>
        <v>88.73995098075865</v>
      </c>
      <c r="W50" s="151">
        <f t="shared" si="12"/>
        <v>81.683175692445573</v>
      </c>
      <c r="X50" s="151">
        <f t="shared" si="12"/>
        <v>75.937899544956991</v>
      </c>
      <c r="Y50" s="151"/>
    </row>
    <row r="51" spans="4:25" x14ac:dyDescent="0.25">
      <c r="D51" s="154" t="s">
        <v>333</v>
      </c>
      <c r="E51" s="151">
        <f t="shared" ref="E51:X51" si="13">E50*(TJMAX-$E$19)/(TJMAX - 25)</f>
        <v>288.16575088507301</v>
      </c>
      <c r="F51" s="151">
        <f t="shared" si="13"/>
        <v>241.47710156971618</v>
      </c>
      <c r="G51" s="151">
        <f t="shared" si="13"/>
        <v>223.02483596881993</v>
      </c>
      <c r="H51" s="151">
        <f t="shared" si="13"/>
        <v>206.09279131983484</v>
      </c>
      <c r="I51" s="151">
        <f t="shared" si="13"/>
        <v>190.47473890921279</v>
      </c>
      <c r="J51" s="151">
        <f t="shared" si="13"/>
        <v>176.16449240677119</v>
      </c>
      <c r="K51" s="151">
        <f t="shared" si="13"/>
        <v>162.99747502652923</v>
      </c>
      <c r="L51" s="151">
        <f t="shared" si="13"/>
        <v>150.74097244290206</v>
      </c>
      <c r="M51" s="151">
        <f t="shared" si="13"/>
        <v>139.25772259902658</v>
      </c>
      <c r="N51" s="151">
        <f t="shared" si="13"/>
        <v>128.4746137935243</v>
      </c>
      <c r="O51" s="151">
        <f t="shared" si="13"/>
        <v>118.56671143450646</v>
      </c>
      <c r="P51" s="151">
        <f t="shared" si="13"/>
        <v>109.67806747103705</v>
      </c>
      <c r="Q51" s="151">
        <f t="shared" si="13"/>
        <v>101.33855603404734</v>
      </c>
      <c r="R51" s="151">
        <f t="shared" si="13"/>
        <v>93.540198905524989</v>
      </c>
      <c r="S51" s="151">
        <f t="shared" si="13"/>
        <v>86.270630886525737</v>
      </c>
      <c r="T51" s="151">
        <f t="shared" si="13"/>
        <v>79.512609275576295</v>
      </c>
      <c r="U51" s="151">
        <f t="shared" si="13"/>
        <v>73.24469120753318</v>
      </c>
      <c r="V51" s="151">
        <f t="shared" si="13"/>
        <v>67.442362745376585</v>
      </c>
      <c r="W51" s="151">
        <f t="shared" si="13"/>
        <v>62.079213526258641</v>
      </c>
      <c r="X51" s="151">
        <f t="shared" si="13"/>
        <v>57.712803654167317</v>
      </c>
      <c r="Y51" s="151"/>
    </row>
    <row r="52" spans="4:25" x14ac:dyDescent="0.25">
      <c r="D52" s="154" t="s">
        <v>335</v>
      </c>
      <c r="E52" s="151">
        <f t="shared" ref="E52:X52" si="14">E51/E44</f>
        <v>4.5480705632113798</v>
      </c>
      <c r="F52" s="151">
        <f t="shared" si="14"/>
        <v>4.8330981852786854</v>
      </c>
      <c r="G52" s="151">
        <f t="shared" si="14"/>
        <v>5.2265445483561752</v>
      </c>
      <c r="H52" s="151">
        <f t="shared" si="14"/>
        <v>5.5469334032574338</v>
      </c>
      <c r="I52" s="151">
        <f t="shared" si="14"/>
        <v>5.7753338843304354</v>
      </c>
      <c r="J52" s="151">
        <f t="shared" si="14"/>
        <v>5.889103210720176</v>
      </c>
      <c r="K52" s="151">
        <f t="shared" si="14"/>
        <v>5.8860027056402098</v>
      </c>
      <c r="L52" s="151">
        <f t="shared" si="14"/>
        <v>5.7824659445397497</v>
      </c>
      <c r="M52" s="151">
        <f t="shared" si="14"/>
        <v>5.5988359224292381</v>
      </c>
      <c r="N52" s="151">
        <f t="shared" si="14"/>
        <v>5.3561602527455596</v>
      </c>
      <c r="O52" s="151">
        <f t="shared" si="14"/>
        <v>5.0829404070443225</v>
      </c>
      <c r="P52" s="151">
        <f t="shared" si="14"/>
        <v>4.8034493346861309</v>
      </c>
      <c r="Q52" s="151">
        <f t="shared" si="14"/>
        <v>4.5112533305719769</v>
      </c>
      <c r="R52" s="151">
        <f t="shared" si="14"/>
        <v>4.2162216881250503</v>
      </c>
      <c r="S52" s="151">
        <f t="shared" si="14"/>
        <v>3.925531497978934</v>
      </c>
      <c r="T52" s="151">
        <f t="shared" si="14"/>
        <v>3.6441358116606697</v>
      </c>
      <c r="U52" s="151">
        <f t="shared" si="14"/>
        <v>3.3752444869404199</v>
      </c>
      <c r="V52" s="151">
        <f t="shared" si="14"/>
        <v>3.1207561014467919</v>
      </c>
      <c r="W52" s="151">
        <f t="shared" si="14"/>
        <v>2.8816163631694449</v>
      </c>
      <c r="X52" s="151">
        <f t="shared" si="14"/>
        <v>2.6853122173401274</v>
      </c>
      <c r="Y52" s="151"/>
    </row>
    <row r="54" spans="4:25" x14ac:dyDescent="0.25">
      <c r="D54" s="154" t="s">
        <v>339</v>
      </c>
      <c r="E54" s="151" t="str">
        <f t="shared" ref="E54:X54" si="15">IF(E52&gt;$E$20, "Y", "N")</f>
        <v>Y</v>
      </c>
      <c r="F54" s="151" t="str">
        <f t="shared" si="15"/>
        <v>Y</v>
      </c>
      <c r="G54" s="151" t="str">
        <f t="shared" si="15"/>
        <v>Y</v>
      </c>
      <c r="H54" s="151" t="str">
        <f t="shared" si="15"/>
        <v>Y</v>
      </c>
      <c r="I54" s="151" t="str">
        <f t="shared" si="15"/>
        <v>Y</v>
      </c>
      <c r="J54" s="151" t="str">
        <f t="shared" si="15"/>
        <v>Y</v>
      </c>
      <c r="K54" s="151" t="str">
        <f t="shared" si="15"/>
        <v>Y</v>
      </c>
      <c r="L54" s="151" t="str">
        <f t="shared" si="15"/>
        <v>Y</v>
      </c>
      <c r="M54" s="151" t="str">
        <f t="shared" si="15"/>
        <v>Y</v>
      </c>
      <c r="N54" s="151" t="str">
        <f t="shared" si="15"/>
        <v>Y</v>
      </c>
      <c r="O54" s="151" t="str">
        <f t="shared" si="15"/>
        <v>Y</v>
      </c>
      <c r="P54" s="151" t="str">
        <f t="shared" si="15"/>
        <v>Y</v>
      </c>
      <c r="Q54" s="151" t="str">
        <f t="shared" si="15"/>
        <v>Y</v>
      </c>
      <c r="R54" s="151" t="str">
        <f t="shared" si="15"/>
        <v>Y</v>
      </c>
      <c r="S54" s="151" t="str">
        <f t="shared" si="15"/>
        <v>Y</v>
      </c>
      <c r="T54" s="151" t="str">
        <f t="shared" si="15"/>
        <v>Y</v>
      </c>
      <c r="U54" s="151" t="str">
        <f t="shared" si="15"/>
        <v>Y</v>
      </c>
      <c r="V54" s="151" t="str">
        <f t="shared" si="15"/>
        <v>Y</v>
      </c>
      <c r="W54" s="151" t="str">
        <f t="shared" si="15"/>
        <v>Y</v>
      </c>
      <c r="X54" s="151" t="str">
        <f t="shared" si="15"/>
        <v>Y</v>
      </c>
      <c r="Y54" s="151" t="s">
        <v>342</v>
      </c>
    </row>
    <row r="55" spans="4:25" x14ac:dyDescent="0.25">
      <c r="D55" s="154" t="s">
        <v>340</v>
      </c>
      <c r="E55" s="151">
        <f>IF(E54="Y", 1, 0)</f>
        <v>1</v>
      </c>
      <c r="F55" s="151">
        <f t="shared" ref="F55:X55" si="16">IF(AND(F54="Y", E54="N"),  1, 0)</f>
        <v>0</v>
      </c>
      <c r="G55" s="151">
        <f t="shared" si="16"/>
        <v>0</v>
      </c>
      <c r="H55" s="151">
        <f t="shared" si="16"/>
        <v>0</v>
      </c>
      <c r="I55" s="151">
        <f t="shared" si="16"/>
        <v>0</v>
      </c>
      <c r="J55" s="151">
        <f t="shared" si="16"/>
        <v>0</v>
      </c>
      <c r="K55" s="151">
        <f t="shared" si="16"/>
        <v>0</v>
      </c>
      <c r="L55" s="151">
        <f t="shared" si="16"/>
        <v>0</v>
      </c>
      <c r="M55" s="151">
        <f t="shared" si="16"/>
        <v>0</v>
      </c>
      <c r="N55" s="151">
        <f t="shared" si="16"/>
        <v>0</v>
      </c>
      <c r="O55" s="151">
        <f t="shared" si="16"/>
        <v>0</v>
      </c>
      <c r="P55" s="151">
        <f t="shared" si="16"/>
        <v>0</v>
      </c>
      <c r="Q55" s="151">
        <f t="shared" si="16"/>
        <v>0</v>
      </c>
      <c r="R55" s="151">
        <f t="shared" si="16"/>
        <v>0</v>
      </c>
      <c r="S55" s="151">
        <f t="shared" si="16"/>
        <v>0</v>
      </c>
      <c r="T55" s="151">
        <f t="shared" si="16"/>
        <v>0</v>
      </c>
      <c r="U55" s="151">
        <f t="shared" si="16"/>
        <v>0</v>
      </c>
      <c r="V55" s="151">
        <f t="shared" si="16"/>
        <v>0</v>
      </c>
      <c r="W55" s="151">
        <f t="shared" si="16"/>
        <v>0</v>
      </c>
      <c r="X55" s="151">
        <f t="shared" si="16"/>
        <v>0</v>
      </c>
      <c r="Y55" s="151"/>
    </row>
    <row r="56" spans="4:25" x14ac:dyDescent="0.25">
      <c r="D56" s="154" t="s">
        <v>341</v>
      </c>
      <c r="E56" s="151">
        <v>0</v>
      </c>
      <c r="F56" s="151">
        <f t="shared" ref="F56:X56" si="17">IF(AND(F54="Y", G54="N"),  1, 0)</f>
        <v>0</v>
      </c>
      <c r="G56" s="151">
        <f t="shared" si="17"/>
        <v>0</v>
      </c>
      <c r="H56" s="151">
        <f t="shared" si="17"/>
        <v>0</v>
      </c>
      <c r="I56" s="151">
        <f t="shared" si="17"/>
        <v>0</v>
      </c>
      <c r="J56" s="151">
        <f t="shared" si="17"/>
        <v>0</v>
      </c>
      <c r="K56" s="151">
        <f t="shared" si="17"/>
        <v>0</v>
      </c>
      <c r="L56" s="151">
        <f t="shared" si="17"/>
        <v>0</v>
      </c>
      <c r="M56" s="151">
        <f t="shared" si="17"/>
        <v>0</v>
      </c>
      <c r="N56" s="151">
        <f t="shared" si="17"/>
        <v>0</v>
      </c>
      <c r="O56" s="151">
        <f t="shared" si="17"/>
        <v>0</v>
      </c>
      <c r="P56" s="151">
        <f t="shared" si="17"/>
        <v>0</v>
      </c>
      <c r="Q56" s="151">
        <f t="shared" si="17"/>
        <v>0</v>
      </c>
      <c r="R56" s="151">
        <f t="shared" si="17"/>
        <v>0</v>
      </c>
      <c r="S56" s="151">
        <f t="shared" si="17"/>
        <v>0</v>
      </c>
      <c r="T56" s="151">
        <f t="shared" si="17"/>
        <v>0</v>
      </c>
      <c r="U56" s="151">
        <f t="shared" si="17"/>
        <v>0</v>
      </c>
      <c r="V56" s="151">
        <f t="shared" si="17"/>
        <v>0</v>
      </c>
      <c r="W56" s="151">
        <f t="shared" si="17"/>
        <v>0</v>
      </c>
      <c r="X56" s="151">
        <f t="shared" si="17"/>
        <v>1</v>
      </c>
      <c r="Y56" s="151"/>
    </row>
    <row r="58" spans="4:25" x14ac:dyDescent="0.25">
      <c r="D58" s="151" t="s">
        <v>343</v>
      </c>
      <c r="E58" s="151">
        <f t="shared" ref="E58:X58" si="18">E55*E35</f>
        <v>12</v>
      </c>
      <c r="F58" s="151">
        <f t="shared" si="18"/>
        <v>0</v>
      </c>
      <c r="G58" s="151">
        <f t="shared" si="18"/>
        <v>0</v>
      </c>
      <c r="H58" s="151">
        <f t="shared" si="18"/>
        <v>0</v>
      </c>
      <c r="I58" s="151">
        <f t="shared" si="18"/>
        <v>0</v>
      </c>
      <c r="J58" s="151">
        <f t="shared" si="18"/>
        <v>0</v>
      </c>
      <c r="K58" s="151">
        <f t="shared" si="18"/>
        <v>0</v>
      </c>
      <c r="L58" s="151">
        <f t="shared" si="18"/>
        <v>0</v>
      </c>
      <c r="M58" s="151">
        <f t="shared" si="18"/>
        <v>0</v>
      </c>
      <c r="N58" s="151">
        <f t="shared" si="18"/>
        <v>0</v>
      </c>
      <c r="O58" s="151">
        <f t="shared" si="18"/>
        <v>0</v>
      </c>
      <c r="P58" s="151">
        <f t="shared" si="18"/>
        <v>0</v>
      </c>
      <c r="Q58" s="151">
        <f t="shared" si="18"/>
        <v>0</v>
      </c>
      <c r="R58" s="151">
        <f t="shared" si="18"/>
        <v>0</v>
      </c>
      <c r="S58" s="151">
        <f t="shared" si="18"/>
        <v>0</v>
      </c>
      <c r="T58" s="151">
        <f t="shared" si="18"/>
        <v>0</v>
      </c>
      <c r="U58" s="151">
        <f t="shared" si="18"/>
        <v>0</v>
      </c>
      <c r="V58" s="151">
        <f t="shared" si="18"/>
        <v>0</v>
      </c>
      <c r="W58" s="151">
        <f t="shared" si="18"/>
        <v>0</v>
      </c>
      <c r="X58" s="151">
        <f t="shared" si="18"/>
        <v>0</v>
      </c>
      <c r="Y58" s="151"/>
    </row>
    <row r="59" spans="4:25" x14ac:dyDescent="0.25">
      <c r="D59" s="151" t="s">
        <v>344</v>
      </c>
      <c r="E59" s="151">
        <f t="shared" ref="E59:X59" si="19">E35*E56</f>
        <v>0</v>
      </c>
      <c r="F59" s="151">
        <f t="shared" si="19"/>
        <v>0</v>
      </c>
      <c r="G59" s="151">
        <f t="shared" si="19"/>
        <v>0</v>
      </c>
      <c r="H59" s="151">
        <f t="shared" si="19"/>
        <v>0</v>
      </c>
      <c r="I59" s="151">
        <f t="shared" si="19"/>
        <v>0</v>
      </c>
      <c r="J59" s="151">
        <f t="shared" si="19"/>
        <v>0</v>
      </c>
      <c r="K59" s="151">
        <f t="shared" si="19"/>
        <v>0</v>
      </c>
      <c r="L59" s="151">
        <f t="shared" si="19"/>
        <v>0</v>
      </c>
      <c r="M59" s="151">
        <f t="shared" si="19"/>
        <v>0</v>
      </c>
      <c r="N59" s="151">
        <f t="shared" si="19"/>
        <v>0</v>
      </c>
      <c r="O59" s="151">
        <f t="shared" si="19"/>
        <v>0</v>
      </c>
      <c r="P59" s="151">
        <f t="shared" si="19"/>
        <v>0</v>
      </c>
      <c r="Q59" s="151">
        <f t="shared" si="19"/>
        <v>0</v>
      </c>
      <c r="R59" s="151">
        <f t="shared" si="19"/>
        <v>0</v>
      </c>
      <c r="S59" s="151">
        <f t="shared" si="19"/>
        <v>0</v>
      </c>
      <c r="T59" s="151">
        <f t="shared" si="19"/>
        <v>0</v>
      </c>
      <c r="U59" s="151">
        <f t="shared" si="19"/>
        <v>0</v>
      </c>
      <c r="V59" s="151">
        <f t="shared" si="19"/>
        <v>0</v>
      </c>
      <c r="W59" s="151">
        <f t="shared" si="19"/>
        <v>0</v>
      </c>
      <c r="X59" s="151">
        <f t="shared" si="19"/>
        <v>5.9999999999999984E-2</v>
      </c>
      <c r="Y59" s="151"/>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F2F6-198F-4983-9FCB-B284F1354979}">
  <sheetPr>
    <tabColor theme="7" tint="-0.499984740745262"/>
  </sheetPr>
  <dimension ref="A1:F75"/>
  <sheetViews>
    <sheetView workbookViewId="0">
      <pane xSplit="1" ySplit="3" topLeftCell="B4" activePane="bottomRight" state="frozen"/>
      <selection activeCell="D21" sqref="D21:D24"/>
      <selection pane="topRight" activeCell="D21" sqref="D21:D24"/>
      <selection pane="bottomLeft" activeCell="D21" sqref="D21:D24"/>
      <selection pane="bottomRight" activeCell="D21" sqref="D21:D24"/>
    </sheetView>
  </sheetViews>
  <sheetFormatPr defaultColWidth="8.88671875" defaultRowHeight="14.4" x14ac:dyDescent="0.3"/>
  <cols>
    <col min="1" max="4" width="9.33203125" style="200" bestFit="1" customWidth="1"/>
    <col min="5" max="16384" width="8.88671875" style="200"/>
  </cols>
  <sheetData>
    <row r="1" spans="1:4" ht="25.8" x14ac:dyDescent="0.5">
      <c r="A1" s="213" t="s">
        <v>423</v>
      </c>
      <c r="B1" s="213"/>
    </row>
    <row r="3" spans="1:4" x14ac:dyDescent="0.3">
      <c r="A3" s="214" t="s">
        <v>424</v>
      </c>
      <c r="B3" s="214" t="s">
        <v>85</v>
      </c>
      <c r="C3" s="214" t="s">
        <v>65</v>
      </c>
      <c r="D3" s="214" t="s">
        <v>425</v>
      </c>
    </row>
    <row r="4" spans="1:4" x14ac:dyDescent="0.3">
      <c r="A4" s="215">
        <v>1</v>
      </c>
      <c r="B4" s="215">
        <v>1</v>
      </c>
      <c r="C4" s="215">
        <v>1</v>
      </c>
      <c r="D4" s="215">
        <v>1</v>
      </c>
    </row>
    <row r="5" spans="1:4" x14ac:dyDescent="0.3">
      <c r="A5" s="215">
        <v>1.1000000000000001</v>
      </c>
      <c r="B5" s="215">
        <v>1.1000000000000001</v>
      </c>
      <c r="C5" s="215">
        <v>1</v>
      </c>
      <c r="D5" s="215"/>
    </row>
    <row r="6" spans="1:4" x14ac:dyDescent="0.3">
      <c r="A6" s="215">
        <v>1.2</v>
      </c>
      <c r="B6" s="215">
        <v>1.2</v>
      </c>
      <c r="C6" s="215">
        <v>1</v>
      </c>
      <c r="D6" s="215"/>
    </row>
    <row r="7" spans="1:4" x14ac:dyDescent="0.3">
      <c r="A7" s="215">
        <v>1.3</v>
      </c>
      <c r="B7" s="215">
        <v>1.3</v>
      </c>
      <c r="C7" s="215">
        <v>1</v>
      </c>
      <c r="D7" s="215"/>
    </row>
    <row r="8" spans="1:4" x14ac:dyDescent="0.3">
      <c r="A8" s="215">
        <v>1.5</v>
      </c>
      <c r="B8" s="215">
        <v>1.5</v>
      </c>
      <c r="C8" s="215">
        <v>1.5</v>
      </c>
      <c r="D8" s="215">
        <v>1.5</v>
      </c>
    </row>
    <row r="9" spans="1:4" x14ac:dyDescent="0.3">
      <c r="A9" s="215">
        <v>1.6</v>
      </c>
      <c r="B9" s="215">
        <v>1.6</v>
      </c>
      <c r="C9" s="215">
        <v>1.5</v>
      </c>
      <c r="D9" s="215"/>
    </row>
    <row r="10" spans="1:4" x14ac:dyDescent="0.3">
      <c r="A10" s="215">
        <v>1.8</v>
      </c>
      <c r="B10" s="215">
        <v>1.8</v>
      </c>
      <c r="C10" s="215">
        <v>1.5</v>
      </c>
      <c r="D10" s="215"/>
    </row>
    <row r="11" spans="1:4" x14ac:dyDescent="0.3">
      <c r="A11" s="215">
        <v>2</v>
      </c>
      <c r="B11" s="215">
        <v>2</v>
      </c>
      <c r="C11" s="215">
        <v>1.5</v>
      </c>
      <c r="D11" s="215"/>
    </row>
    <row r="12" spans="1:4" x14ac:dyDescent="0.3">
      <c r="A12" s="215">
        <v>2.2000000000000002</v>
      </c>
      <c r="B12" s="215">
        <v>2.2000000000000002</v>
      </c>
      <c r="C12" s="215">
        <v>2.2000000000000002</v>
      </c>
      <c r="D12" s="215">
        <v>2.2000000000000002</v>
      </c>
    </row>
    <row r="13" spans="1:4" x14ac:dyDescent="0.3">
      <c r="A13" s="215">
        <v>2.4</v>
      </c>
      <c r="B13" s="215">
        <v>2.4</v>
      </c>
      <c r="C13" s="215">
        <v>2.2000000000000002</v>
      </c>
      <c r="D13" s="215"/>
    </row>
    <row r="14" spans="1:4" x14ac:dyDescent="0.3">
      <c r="A14" s="215">
        <v>2.7</v>
      </c>
      <c r="B14" s="215">
        <v>2.7</v>
      </c>
      <c r="C14" s="215">
        <v>2.2000000000000002</v>
      </c>
      <c r="D14" s="215"/>
    </row>
    <row r="15" spans="1:4" x14ac:dyDescent="0.3">
      <c r="A15" s="215">
        <v>3</v>
      </c>
      <c r="B15" s="215">
        <v>3</v>
      </c>
      <c r="C15" s="215">
        <v>2.2000000000000002</v>
      </c>
      <c r="D15" s="215"/>
    </row>
    <row r="16" spans="1:4" x14ac:dyDescent="0.3">
      <c r="A16" s="215">
        <v>3.3</v>
      </c>
      <c r="B16" s="215">
        <v>3.3</v>
      </c>
      <c r="C16" s="215">
        <v>3.3</v>
      </c>
      <c r="D16" s="215">
        <v>3.3</v>
      </c>
    </row>
    <row r="17" spans="1:6" x14ac:dyDescent="0.3">
      <c r="A17" s="215">
        <v>3.6</v>
      </c>
      <c r="B17" s="215">
        <v>3.6</v>
      </c>
      <c r="C17" s="215">
        <f>C18</f>
        <v>4.7</v>
      </c>
      <c r="D17" s="215"/>
    </row>
    <row r="18" spans="1:6" x14ac:dyDescent="0.3">
      <c r="A18" s="215">
        <v>3.9</v>
      </c>
      <c r="B18" s="215">
        <v>3.9</v>
      </c>
      <c r="C18" s="215">
        <f>C19</f>
        <v>4.7</v>
      </c>
      <c r="D18" s="215"/>
    </row>
    <row r="19" spans="1:6" x14ac:dyDescent="0.3">
      <c r="A19" s="215">
        <v>4.3</v>
      </c>
      <c r="B19" s="215">
        <v>4.3</v>
      </c>
      <c r="C19" s="215">
        <f>C20</f>
        <v>4.7</v>
      </c>
      <c r="D19" s="215"/>
    </row>
    <row r="20" spans="1:6" x14ac:dyDescent="0.3">
      <c r="A20" s="215">
        <v>4.7</v>
      </c>
      <c r="B20" s="215">
        <v>4.7</v>
      </c>
      <c r="C20" s="215">
        <v>4.7</v>
      </c>
      <c r="D20" s="215">
        <v>4.7</v>
      </c>
    </row>
    <row r="21" spans="1:6" x14ac:dyDescent="0.3">
      <c r="A21" s="215">
        <v>5.0999999999999996</v>
      </c>
      <c r="B21" s="215">
        <v>5.0999999999999996</v>
      </c>
      <c r="C21" s="215">
        <f>C22</f>
        <v>6.8</v>
      </c>
      <c r="D21" s="215"/>
    </row>
    <row r="22" spans="1:6" x14ac:dyDescent="0.3">
      <c r="A22" s="215">
        <v>5.6</v>
      </c>
      <c r="B22" s="215">
        <v>5.6</v>
      </c>
      <c r="C22" s="215">
        <f>C23</f>
        <v>6.8</v>
      </c>
      <c r="D22" s="215"/>
    </row>
    <row r="23" spans="1:6" x14ac:dyDescent="0.3">
      <c r="A23" s="215">
        <v>6.2</v>
      </c>
      <c r="B23" s="215">
        <v>6.2</v>
      </c>
      <c r="C23" s="215">
        <f>C24</f>
        <v>6.8</v>
      </c>
      <c r="D23" s="215"/>
    </row>
    <row r="24" spans="1:6" x14ac:dyDescent="0.3">
      <c r="A24" s="215">
        <v>6.8</v>
      </c>
      <c r="B24" s="215">
        <v>6.8</v>
      </c>
      <c r="C24" s="215">
        <v>6.8</v>
      </c>
      <c r="D24" s="215">
        <v>6.8</v>
      </c>
    </row>
    <row r="25" spans="1:6" x14ac:dyDescent="0.3">
      <c r="A25" s="215">
        <v>7.5</v>
      </c>
      <c r="B25" s="215">
        <v>7.5</v>
      </c>
      <c r="C25" s="215">
        <f>C26</f>
        <v>10</v>
      </c>
      <c r="D25" s="215"/>
    </row>
    <row r="26" spans="1:6" x14ac:dyDescent="0.3">
      <c r="A26" s="215">
        <v>8.1999999999999993</v>
      </c>
      <c r="B26" s="215">
        <v>8.1999999999999993</v>
      </c>
      <c r="C26" s="215">
        <f>C27</f>
        <v>10</v>
      </c>
      <c r="D26" s="215"/>
    </row>
    <row r="27" spans="1:6" x14ac:dyDescent="0.3">
      <c r="A27" s="215">
        <v>9.1</v>
      </c>
      <c r="B27" s="215">
        <v>9.1</v>
      </c>
      <c r="C27" s="215">
        <f>C28</f>
        <v>10</v>
      </c>
      <c r="D27" s="215"/>
    </row>
    <row r="28" spans="1:6" x14ac:dyDescent="0.3">
      <c r="A28" s="215">
        <v>10</v>
      </c>
      <c r="B28" s="215">
        <v>10</v>
      </c>
      <c r="C28" s="215">
        <v>10</v>
      </c>
      <c r="D28" s="215">
        <v>10</v>
      </c>
    </row>
    <row r="29" spans="1:6" x14ac:dyDescent="0.3">
      <c r="A29" s="215">
        <v>11</v>
      </c>
      <c r="B29" s="215">
        <f t="shared" ref="B29:C31" si="0">B30</f>
        <v>15</v>
      </c>
      <c r="C29" s="215">
        <f t="shared" si="0"/>
        <v>15</v>
      </c>
      <c r="D29" s="215"/>
    </row>
    <row r="30" spans="1:6" x14ac:dyDescent="0.3">
      <c r="A30" s="215">
        <v>12</v>
      </c>
      <c r="B30" s="215">
        <f t="shared" si="0"/>
        <v>15</v>
      </c>
      <c r="C30" s="215">
        <f t="shared" si="0"/>
        <v>15</v>
      </c>
      <c r="D30" s="215"/>
    </row>
    <row r="31" spans="1:6" x14ac:dyDescent="0.3">
      <c r="A31" s="215">
        <v>13</v>
      </c>
      <c r="B31" s="215">
        <f t="shared" si="0"/>
        <v>15</v>
      </c>
      <c r="C31" s="215">
        <f t="shared" si="0"/>
        <v>15</v>
      </c>
      <c r="D31" s="215"/>
    </row>
    <row r="32" spans="1:6" x14ac:dyDescent="0.3">
      <c r="A32" s="215">
        <v>15</v>
      </c>
      <c r="B32" s="215">
        <v>15</v>
      </c>
      <c r="C32" s="215">
        <v>15</v>
      </c>
      <c r="D32" s="215"/>
      <c r="F32" s="216"/>
    </row>
    <row r="33" spans="1:4" x14ac:dyDescent="0.3">
      <c r="A33" s="215">
        <v>16</v>
      </c>
      <c r="B33" s="215">
        <f t="shared" ref="B33:C35" si="1">B34</f>
        <v>22</v>
      </c>
      <c r="C33" s="215">
        <f t="shared" si="1"/>
        <v>22</v>
      </c>
      <c r="D33" s="215"/>
    </row>
    <row r="34" spans="1:4" x14ac:dyDescent="0.3">
      <c r="A34" s="215">
        <v>18</v>
      </c>
      <c r="B34" s="215">
        <f t="shared" si="1"/>
        <v>22</v>
      </c>
      <c r="C34" s="215">
        <f t="shared" si="1"/>
        <v>22</v>
      </c>
      <c r="D34" s="215"/>
    </row>
    <row r="35" spans="1:4" x14ac:dyDescent="0.3">
      <c r="A35" s="215">
        <v>20</v>
      </c>
      <c r="B35" s="215">
        <f t="shared" si="1"/>
        <v>22</v>
      </c>
      <c r="C35" s="215">
        <f t="shared" si="1"/>
        <v>22</v>
      </c>
      <c r="D35" s="215"/>
    </row>
    <row r="36" spans="1:4" x14ac:dyDescent="0.3">
      <c r="A36" s="215">
        <v>22</v>
      </c>
      <c r="B36" s="215">
        <v>22</v>
      </c>
      <c r="C36" s="215">
        <v>22</v>
      </c>
      <c r="D36" s="215"/>
    </row>
    <row r="37" spans="1:4" x14ac:dyDescent="0.3">
      <c r="A37" s="215">
        <v>24</v>
      </c>
      <c r="B37" s="215">
        <f t="shared" ref="B37:C39" si="2">B38</f>
        <v>33</v>
      </c>
      <c r="C37" s="215">
        <f t="shared" si="2"/>
        <v>33</v>
      </c>
      <c r="D37" s="215"/>
    </row>
    <row r="38" spans="1:4" x14ac:dyDescent="0.3">
      <c r="A38" s="215">
        <v>27</v>
      </c>
      <c r="B38" s="215">
        <f t="shared" si="2"/>
        <v>33</v>
      </c>
      <c r="C38" s="215">
        <f t="shared" si="2"/>
        <v>33</v>
      </c>
      <c r="D38" s="215"/>
    </row>
    <row r="39" spans="1:4" x14ac:dyDescent="0.3">
      <c r="A39" s="215">
        <v>30</v>
      </c>
      <c r="B39" s="215">
        <f t="shared" si="2"/>
        <v>33</v>
      </c>
      <c r="C39" s="215">
        <f t="shared" si="2"/>
        <v>33</v>
      </c>
      <c r="D39" s="215"/>
    </row>
    <row r="40" spans="1:4" x14ac:dyDescent="0.3">
      <c r="A40" s="215">
        <v>33</v>
      </c>
      <c r="B40" s="215">
        <v>33</v>
      </c>
      <c r="C40" s="215">
        <v>33</v>
      </c>
      <c r="D40" s="215"/>
    </row>
    <row r="41" spans="1:4" x14ac:dyDescent="0.3">
      <c r="A41" s="215">
        <v>36</v>
      </c>
      <c r="B41" s="215">
        <f t="shared" ref="B41:C43" si="3">B42</f>
        <v>47</v>
      </c>
      <c r="C41" s="215">
        <f t="shared" si="3"/>
        <v>47</v>
      </c>
      <c r="D41" s="215"/>
    </row>
    <row r="42" spans="1:4" x14ac:dyDescent="0.3">
      <c r="A42" s="215">
        <v>39</v>
      </c>
      <c r="B42" s="215">
        <f t="shared" si="3"/>
        <v>47</v>
      </c>
      <c r="C42" s="215">
        <f t="shared" si="3"/>
        <v>47</v>
      </c>
      <c r="D42" s="215"/>
    </row>
    <row r="43" spans="1:4" x14ac:dyDescent="0.3">
      <c r="A43" s="215">
        <v>43</v>
      </c>
      <c r="B43" s="215">
        <f t="shared" si="3"/>
        <v>47</v>
      </c>
      <c r="C43" s="215">
        <f t="shared" si="3"/>
        <v>47</v>
      </c>
      <c r="D43" s="215"/>
    </row>
    <row r="44" spans="1:4" x14ac:dyDescent="0.3">
      <c r="A44" s="215">
        <v>47</v>
      </c>
      <c r="B44" s="215">
        <v>47</v>
      </c>
      <c r="C44" s="215">
        <v>47</v>
      </c>
      <c r="D44" s="215"/>
    </row>
    <row r="45" spans="1:4" x14ac:dyDescent="0.3">
      <c r="A45" s="215">
        <v>51</v>
      </c>
      <c r="B45" s="215">
        <f t="shared" ref="B45:C47" si="4">B46</f>
        <v>68</v>
      </c>
      <c r="C45" s="215">
        <f t="shared" si="4"/>
        <v>68</v>
      </c>
      <c r="D45" s="215"/>
    </row>
    <row r="46" spans="1:4" x14ac:dyDescent="0.3">
      <c r="A46" s="215">
        <v>56</v>
      </c>
      <c r="B46" s="215">
        <f t="shared" si="4"/>
        <v>68</v>
      </c>
      <c r="C46" s="215">
        <f t="shared" si="4"/>
        <v>68</v>
      </c>
      <c r="D46" s="215"/>
    </row>
    <row r="47" spans="1:4" x14ac:dyDescent="0.3">
      <c r="A47" s="215">
        <v>62</v>
      </c>
      <c r="B47" s="215">
        <f t="shared" si="4"/>
        <v>68</v>
      </c>
      <c r="C47" s="215">
        <f t="shared" si="4"/>
        <v>68</v>
      </c>
      <c r="D47" s="215"/>
    </row>
    <row r="48" spans="1:4" x14ac:dyDescent="0.3">
      <c r="A48" s="215">
        <v>68</v>
      </c>
      <c r="B48" s="215">
        <v>68</v>
      </c>
      <c r="C48" s="215">
        <v>68</v>
      </c>
      <c r="D48" s="215"/>
    </row>
    <row r="49" spans="1:4" x14ac:dyDescent="0.3">
      <c r="A49" s="215">
        <v>75</v>
      </c>
      <c r="B49" s="215">
        <f t="shared" ref="B49:C51" si="5">B50</f>
        <v>100</v>
      </c>
      <c r="C49" s="215">
        <f t="shared" si="5"/>
        <v>100</v>
      </c>
      <c r="D49" s="215"/>
    </row>
    <row r="50" spans="1:4" x14ac:dyDescent="0.3">
      <c r="A50" s="215">
        <v>82</v>
      </c>
      <c r="B50" s="215">
        <f t="shared" si="5"/>
        <v>100</v>
      </c>
      <c r="C50" s="215">
        <f t="shared" si="5"/>
        <v>100</v>
      </c>
      <c r="D50" s="215"/>
    </row>
    <row r="51" spans="1:4" x14ac:dyDescent="0.3">
      <c r="A51" s="215">
        <v>91</v>
      </c>
      <c r="B51" s="215">
        <f t="shared" si="5"/>
        <v>100</v>
      </c>
      <c r="C51" s="215">
        <f t="shared" si="5"/>
        <v>100</v>
      </c>
      <c r="D51" s="215"/>
    </row>
    <row r="52" spans="1:4" x14ac:dyDescent="0.3">
      <c r="A52" s="215">
        <v>100</v>
      </c>
      <c r="B52" s="215">
        <v>100</v>
      </c>
      <c r="C52" s="215">
        <v>100</v>
      </c>
    </row>
    <row r="53" spans="1:4" x14ac:dyDescent="0.3">
      <c r="A53" s="215">
        <v>110</v>
      </c>
      <c r="B53" s="215">
        <f t="shared" ref="B53:C55" si="6">B54</f>
        <v>150</v>
      </c>
      <c r="C53" s="215">
        <f t="shared" si="6"/>
        <v>150</v>
      </c>
    </row>
    <row r="54" spans="1:4" x14ac:dyDescent="0.3">
      <c r="A54" s="215">
        <v>120</v>
      </c>
      <c r="B54" s="215">
        <f t="shared" si="6"/>
        <v>150</v>
      </c>
      <c r="C54" s="215">
        <f t="shared" si="6"/>
        <v>150</v>
      </c>
    </row>
    <row r="55" spans="1:4" x14ac:dyDescent="0.3">
      <c r="A55" s="215">
        <v>130</v>
      </c>
      <c r="B55" s="215">
        <f t="shared" si="6"/>
        <v>150</v>
      </c>
      <c r="C55" s="215">
        <f t="shared" si="6"/>
        <v>150</v>
      </c>
    </row>
    <row r="56" spans="1:4" x14ac:dyDescent="0.3">
      <c r="A56" s="215">
        <v>150</v>
      </c>
      <c r="B56" s="215">
        <v>150</v>
      </c>
      <c r="C56" s="215">
        <v>150</v>
      </c>
    </row>
    <row r="57" spans="1:4" x14ac:dyDescent="0.3">
      <c r="A57" s="215">
        <v>160</v>
      </c>
      <c r="B57" s="215">
        <f t="shared" ref="B57:C59" si="7">B58</f>
        <v>220</v>
      </c>
      <c r="C57" s="215">
        <f t="shared" si="7"/>
        <v>220</v>
      </c>
    </row>
    <row r="58" spans="1:4" x14ac:dyDescent="0.3">
      <c r="A58" s="215">
        <v>180</v>
      </c>
      <c r="B58" s="215">
        <f t="shared" si="7"/>
        <v>220</v>
      </c>
      <c r="C58" s="215">
        <f t="shared" si="7"/>
        <v>220</v>
      </c>
    </row>
    <row r="59" spans="1:4" x14ac:dyDescent="0.3">
      <c r="A59" s="215">
        <v>200</v>
      </c>
      <c r="B59" s="215">
        <f t="shared" si="7"/>
        <v>220</v>
      </c>
      <c r="C59" s="215">
        <f t="shared" si="7"/>
        <v>220</v>
      </c>
    </row>
    <row r="60" spans="1:4" x14ac:dyDescent="0.3">
      <c r="A60" s="215">
        <v>220</v>
      </c>
      <c r="B60" s="215">
        <v>220</v>
      </c>
      <c r="C60" s="215">
        <v>220</v>
      </c>
    </row>
    <row r="61" spans="1:4" x14ac:dyDescent="0.3">
      <c r="A61" s="215">
        <v>240</v>
      </c>
      <c r="B61" s="215">
        <f t="shared" ref="B61:C63" si="8">B62</f>
        <v>330</v>
      </c>
      <c r="C61" s="215">
        <f t="shared" si="8"/>
        <v>330</v>
      </c>
    </row>
    <row r="62" spans="1:4" x14ac:dyDescent="0.3">
      <c r="A62" s="215">
        <v>270</v>
      </c>
      <c r="B62" s="215">
        <f t="shared" si="8"/>
        <v>330</v>
      </c>
      <c r="C62" s="215">
        <f t="shared" si="8"/>
        <v>330</v>
      </c>
    </row>
    <row r="63" spans="1:4" x14ac:dyDescent="0.3">
      <c r="A63" s="215">
        <v>300</v>
      </c>
      <c r="B63" s="215">
        <f t="shared" si="8"/>
        <v>330</v>
      </c>
      <c r="C63" s="215">
        <f t="shared" si="8"/>
        <v>330</v>
      </c>
    </row>
    <row r="64" spans="1:4" x14ac:dyDescent="0.3">
      <c r="A64" s="215">
        <v>330</v>
      </c>
      <c r="B64" s="215">
        <v>330</v>
      </c>
      <c r="C64" s="215">
        <v>330</v>
      </c>
    </row>
    <row r="65" spans="1:3" x14ac:dyDescent="0.3">
      <c r="A65" s="215">
        <v>360</v>
      </c>
      <c r="B65" s="215">
        <f t="shared" ref="B65:C67" si="9">B66</f>
        <v>470</v>
      </c>
      <c r="C65" s="215">
        <f t="shared" si="9"/>
        <v>470</v>
      </c>
    </row>
    <row r="66" spans="1:3" x14ac:dyDescent="0.3">
      <c r="A66" s="215">
        <v>390</v>
      </c>
      <c r="B66" s="215">
        <f t="shared" si="9"/>
        <v>470</v>
      </c>
      <c r="C66" s="215">
        <f t="shared" si="9"/>
        <v>470</v>
      </c>
    </row>
    <row r="67" spans="1:3" x14ac:dyDescent="0.3">
      <c r="A67" s="215">
        <v>430</v>
      </c>
      <c r="B67" s="215">
        <f t="shared" si="9"/>
        <v>470</v>
      </c>
      <c r="C67" s="215">
        <f t="shared" si="9"/>
        <v>470</v>
      </c>
    </row>
    <row r="68" spans="1:3" x14ac:dyDescent="0.3">
      <c r="A68" s="215">
        <v>470</v>
      </c>
      <c r="B68" s="215">
        <v>470</v>
      </c>
      <c r="C68" s="215">
        <v>470</v>
      </c>
    </row>
    <row r="69" spans="1:3" x14ac:dyDescent="0.3">
      <c r="A69" s="215">
        <v>510</v>
      </c>
      <c r="B69" s="215">
        <f t="shared" ref="B69:C71" si="10">B70</f>
        <v>680</v>
      </c>
      <c r="C69" s="215">
        <f t="shared" si="10"/>
        <v>680</v>
      </c>
    </row>
    <row r="70" spans="1:3" x14ac:dyDescent="0.3">
      <c r="A70" s="215">
        <v>560</v>
      </c>
      <c r="B70" s="215">
        <f t="shared" si="10"/>
        <v>680</v>
      </c>
      <c r="C70" s="215">
        <f t="shared" si="10"/>
        <v>680</v>
      </c>
    </row>
    <row r="71" spans="1:3" x14ac:dyDescent="0.3">
      <c r="A71" s="215">
        <v>620</v>
      </c>
      <c r="B71" s="215">
        <f t="shared" si="10"/>
        <v>680</v>
      </c>
      <c r="C71" s="215">
        <f t="shared" si="10"/>
        <v>680</v>
      </c>
    </row>
    <row r="72" spans="1:3" x14ac:dyDescent="0.3">
      <c r="A72" s="215">
        <v>680</v>
      </c>
      <c r="B72" s="215">
        <v>680</v>
      </c>
      <c r="C72" s="215">
        <v>680</v>
      </c>
    </row>
    <row r="73" spans="1:3" x14ac:dyDescent="0.3">
      <c r="A73" s="215">
        <v>750</v>
      </c>
      <c r="B73" s="215">
        <f>B74</f>
        <v>1000</v>
      </c>
      <c r="C73" s="215">
        <f>C74</f>
        <v>1000</v>
      </c>
    </row>
    <row r="74" spans="1:3" x14ac:dyDescent="0.3">
      <c r="A74" s="215">
        <v>820</v>
      </c>
      <c r="B74" s="215">
        <f>B75</f>
        <v>1000</v>
      </c>
      <c r="C74" s="215">
        <f>C75</f>
        <v>1000</v>
      </c>
    </row>
    <row r="75" spans="1:3" x14ac:dyDescent="0.3">
      <c r="A75" s="215">
        <v>910</v>
      </c>
      <c r="B75" s="215">
        <v>1000</v>
      </c>
      <c r="C75" s="215">
        <v>1000</v>
      </c>
    </row>
  </sheetData>
  <hyperlinks>
    <hyperlink ref="A1:B1" r:id="rId1" display="Standard Capacitor Values" xr:uid="{CDCA181F-753D-4195-AE63-A072F01C58A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F674-7DA6-4746-9E9A-4571C9414517}">
  <sheetPr>
    <tabColor rgb="FF0000FF"/>
  </sheetPr>
  <dimension ref="A1:I197"/>
  <sheetViews>
    <sheetView workbookViewId="0">
      <pane ySplit="4" topLeftCell="A5" activePane="bottomLeft" state="frozen"/>
      <selection activeCell="G170" sqref="G170"/>
      <selection pane="bottomLeft" activeCell="D21" sqref="D21:D24"/>
    </sheetView>
  </sheetViews>
  <sheetFormatPr defaultRowHeight="14.4" x14ac:dyDescent="0.3"/>
  <cols>
    <col min="1" max="6" width="18.6640625" style="200" customWidth="1"/>
    <col min="7" max="256" width="8.88671875" style="200"/>
    <col min="257" max="262" width="18.6640625" style="200" customWidth="1"/>
    <col min="263" max="512" width="8.88671875" style="200"/>
    <col min="513" max="518" width="18.6640625" style="200" customWidth="1"/>
    <col min="519" max="768" width="8.88671875" style="200"/>
    <col min="769" max="774" width="18.6640625" style="200" customWidth="1"/>
    <col min="775" max="1024" width="8.88671875" style="200"/>
    <col min="1025" max="1030" width="18.6640625" style="200" customWidth="1"/>
    <col min="1031" max="1280" width="8.88671875" style="200"/>
    <col min="1281" max="1286" width="18.6640625" style="200" customWidth="1"/>
    <col min="1287" max="1536" width="8.88671875" style="200"/>
    <col min="1537" max="1542" width="18.6640625" style="200" customWidth="1"/>
    <col min="1543" max="1792" width="8.88671875" style="200"/>
    <col min="1793" max="1798" width="18.6640625" style="200" customWidth="1"/>
    <col min="1799" max="2048" width="8.88671875" style="200"/>
    <col min="2049" max="2054" width="18.6640625" style="200" customWidth="1"/>
    <col min="2055" max="2304" width="8.88671875" style="200"/>
    <col min="2305" max="2310" width="18.6640625" style="200" customWidth="1"/>
    <col min="2311" max="2560" width="8.88671875" style="200"/>
    <col min="2561" max="2566" width="18.6640625" style="200" customWidth="1"/>
    <col min="2567" max="2816" width="8.88671875" style="200"/>
    <col min="2817" max="2822" width="18.6640625" style="200" customWidth="1"/>
    <col min="2823" max="3072" width="8.88671875" style="200"/>
    <col min="3073" max="3078" width="18.6640625" style="200" customWidth="1"/>
    <col min="3079" max="3328" width="8.88671875" style="200"/>
    <col min="3329" max="3334" width="18.6640625" style="200" customWidth="1"/>
    <col min="3335" max="3584" width="8.88671875" style="200"/>
    <col min="3585" max="3590" width="18.6640625" style="200" customWidth="1"/>
    <col min="3591" max="3840" width="8.88671875" style="200"/>
    <col min="3841" max="3846" width="18.6640625" style="200" customWidth="1"/>
    <col min="3847" max="4096" width="8.88671875" style="200"/>
    <col min="4097" max="4102" width="18.6640625" style="200" customWidth="1"/>
    <col min="4103" max="4352" width="8.88671875" style="200"/>
    <col min="4353" max="4358" width="18.6640625" style="200" customWidth="1"/>
    <col min="4359" max="4608" width="8.88671875" style="200"/>
    <col min="4609" max="4614" width="18.6640625" style="200" customWidth="1"/>
    <col min="4615" max="4864" width="8.88671875" style="200"/>
    <col min="4865" max="4870" width="18.6640625" style="200" customWidth="1"/>
    <col min="4871" max="5120" width="8.88671875" style="200"/>
    <col min="5121" max="5126" width="18.6640625" style="200" customWidth="1"/>
    <col min="5127" max="5376" width="8.88671875" style="200"/>
    <col min="5377" max="5382" width="18.6640625" style="200" customWidth="1"/>
    <col min="5383" max="5632" width="8.88671875" style="200"/>
    <col min="5633" max="5638" width="18.6640625" style="200" customWidth="1"/>
    <col min="5639" max="5888" width="8.88671875" style="200"/>
    <col min="5889" max="5894" width="18.6640625" style="200" customWidth="1"/>
    <col min="5895" max="6144" width="8.88671875" style="200"/>
    <col min="6145" max="6150" width="18.6640625" style="200" customWidth="1"/>
    <col min="6151" max="6400" width="8.88671875" style="200"/>
    <col min="6401" max="6406" width="18.6640625" style="200" customWidth="1"/>
    <col min="6407" max="6656" width="8.88671875" style="200"/>
    <col min="6657" max="6662" width="18.6640625" style="200" customWidth="1"/>
    <col min="6663" max="6912" width="8.88671875" style="200"/>
    <col min="6913" max="6918" width="18.6640625" style="200" customWidth="1"/>
    <col min="6919" max="7168" width="8.88671875" style="200"/>
    <col min="7169" max="7174" width="18.6640625" style="200" customWidth="1"/>
    <col min="7175" max="7424" width="8.88671875" style="200"/>
    <col min="7425" max="7430" width="18.6640625" style="200" customWidth="1"/>
    <col min="7431" max="7680" width="8.88671875" style="200"/>
    <col min="7681" max="7686" width="18.6640625" style="200" customWidth="1"/>
    <col min="7687" max="7936" width="8.88671875" style="200"/>
    <col min="7937" max="7942" width="18.6640625" style="200" customWidth="1"/>
    <col min="7943" max="8192" width="8.88671875" style="200"/>
    <col min="8193" max="8198" width="18.6640625" style="200" customWidth="1"/>
    <col min="8199" max="8448" width="8.88671875" style="200"/>
    <col min="8449" max="8454" width="18.6640625" style="200" customWidth="1"/>
    <col min="8455" max="8704" width="8.88671875" style="200"/>
    <col min="8705" max="8710" width="18.6640625" style="200" customWidth="1"/>
    <col min="8711" max="8960" width="8.88671875" style="200"/>
    <col min="8961" max="8966" width="18.6640625" style="200" customWidth="1"/>
    <col min="8967" max="9216" width="8.88671875" style="200"/>
    <col min="9217" max="9222" width="18.6640625" style="200" customWidth="1"/>
    <col min="9223" max="9472" width="8.88671875" style="200"/>
    <col min="9473" max="9478" width="18.6640625" style="200" customWidth="1"/>
    <col min="9479" max="9728" width="8.88671875" style="200"/>
    <col min="9729" max="9734" width="18.6640625" style="200" customWidth="1"/>
    <col min="9735" max="9984" width="8.88671875" style="200"/>
    <col min="9985" max="9990" width="18.6640625" style="200" customWidth="1"/>
    <col min="9991" max="10240" width="8.88671875" style="200"/>
    <col min="10241" max="10246" width="18.6640625" style="200" customWidth="1"/>
    <col min="10247" max="10496" width="8.88671875" style="200"/>
    <col min="10497" max="10502" width="18.6640625" style="200" customWidth="1"/>
    <col min="10503" max="10752" width="8.88671875" style="200"/>
    <col min="10753" max="10758" width="18.6640625" style="200" customWidth="1"/>
    <col min="10759" max="11008" width="8.88671875" style="200"/>
    <col min="11009" max="11014" width="18.6640625" style="200" customWidth="1"/>
    <col min="11015" max="11264" width="8.88671875" style="200"/>
    <col min="11265" max="11270" width="18.6640625" style="200" customWidth="1"/>
    <col min="11271" max="11520" width="8.88671875" style="200"/>
    <col min="11521" max="11526" width="18.6640625" style="200" customWidth="1"/>
    <col min="11527" max="11776" width="8.88671875" style="200"/>
    <col min="11777" max="11782" width="18.6640625" style="200" customWidth="1"/>
    <col min="11783" max="12032" width="8.88671875" style="200"/>
    <col min="12033" max="12038" width="18.6640625" style="200" customWidth="1"/>
    <col min="12039" max="12288" width="8.88671875" style="200"/>
    <col min="12289" max="12294" width="18.6640625" style="200" customWidth="1"/>
    <col min="12295" max="12544" width="8.88671875" style="200"/>
    <col min="12545" max="12550" width="18.6640625" style="200" customWidth="1"/>
    <col min="12551" max="12800" width="8.88671875" style="200"/>
    <col min="12801" max="12806" width="18.6640625" style="200" customWidth="1"/>
    <col min="12807" max="13056" width="8.88671875" style="200"/>
    <col min="13057" max="13062" width="18.6640625" style="200" customWidth="1"/>
    <col min="13063" max="13312" width="8.88671875" style="200"/>
    <col min="13313" max="13318" width="18.6640625" style="200" customWidth="1"/>
    <col min="13319" max="13568" width="8.88671875" style="200"/>
    <col min="13569" max="13574" width="18.6640625" style="200" customWidth="1"/>
    <col min="13575" max="13824" width="8.88671875" style="200"/>
    <col min="13825" max="13830" width="18.6640625" style="200" customWidth="1"/>
    <col min="13831" max="14080" width="8.88671875" style="200"/>
    <col min="14081" max="14086" width="18.6640625" style="200" customWidth="1"/>
    <col min="14087" max="14336" width="8.88671875" style="200"/>
    <col min="14337" max="14342" width="18.6640625" style="200" customWidth="1"/>
    <col min="14343" max="14592" width="8.88671875" style="200"/>
    <col min="14593" max="14598" width="18.6640625" style="200" customWidth="1"/>
    <col min="14599" max="14848" width="8.88671875" style="200"/>
    <col min="14849" max="14854" width="18.6640625" style="200" customWidth="1"/>
    <col min="14855" max="15104" width="8.88671875" style="200"/>
    <col min="15105" max="15110" width="18.6640625" style="200" customWidth="1"/>
    <col min="15111" max="15360" width="8.88671875" style="200"/>
    <col min="15361" max="15366" width="18.6640625" style="200" customWidth="1"/>
    <col min="15367" max="15616" width="8.88671875" style="200"/>
    <col min="15617" max="15622" width="18.6640625" style="200" customWidth="1"/>
    <col min="15623" max="15872" width="8.88671875" style="200"/>
    <col min="15873" max="15878" width="18.6640625" style="200" customWidth="1"/>
    <col min="15879" max="16128" width="8.88671875" style="200"/>
    <col min="16129" max="16134" width="18.6640625" style="200" customWidth="1"/>
    <col min="16135" max="16384" width="8.88671875" style="200"/>
  </cols>
  <sheetData>
    <row r="1" spans="1:9" ht="21" x14ac:dyDescent="0.4">
      <c r="A1" s="381" t="s">
        <v>414</v>
      </c>
      <c r="B1" s="381"/>
      <c r="C1" s="381"/>
      <c r="D1" s="381"/>
      <c r="E1" s="381"/>
      <c r="F1" s="381"/>
    </row>
    <row r="3" spans="1:9" x14ac:dyDescent="0.3">
      <c r="A3" s="201">
        <v>0.2</v>
      </c>
      <c r="B3" s="201">
        <v>0.1</v>
      </c>
      <c r="C3" s="201">
        <v>0.05</v>
      </c>
      <c r="D3" s="201">
        <v>0.02</v>
      </c>
      <c r="E3" s="201">
        <v>0.01</v>
      </c>
      <c r="F3" s="202" t="s">
        <v>415</v>
      </c>
    </row>
    <row r="4" spans="1:9" x14ac:dyDescent="0.3">
      <c r="A4" s="203" t="s">
        <v>416</v>
      </c>
      <c r="B4" s="203" t="s">
        <v>417</v>
      </c>
      <c r="C4" s="203" t="s">
        <v>418</v>
      </c>
      <c r="D4" s="203" t="s">
        <v>419</v>
      </c>
      <c r="E4" s="203" t="s">
        <v>420</v>
      </c>
      <c r="F4" s="203" t="s">
        <v>421</v>
      </c>
    </row>
    <row r="5" spans="1:9" x14ac:dyDescent="0.3">
      <c r="A5" s="382">
        <v>100</v>
      </c>
      <c r="B5" s="383">
        <v>100</v>
      </c>
      <c r="C5" s="378">
        <v>100</v>
      </c>
      <c r="D5" s="379">
        <v>100</v>
      </c>
      <c r="E5" s="380">
        <v>100</v>
      </c>
      <c r="F5" s="204">
        <v>100</v>
      </c>
    </row>
    <row r="6" spans="1:9" x14ac:dyDescent="0.3">
      <c r="A6" s="382"/>
      <c r="B6" s="383"/>
      <c r="C6" s="378"/>
      <c r="D6" s="379"/>
      <c r="E6" s="380"/>
      <c r="F6" s="204">
        <v>101</v>
      </c>
    </row>
    <row r="7" spans="1:9" x14ac:dyDescent="0.3">
      <c r="A7" s="382"/>
      <c r="B7" s="383"/>
      <c r="C7" s="378"/>
      <c r="D7" s="379"/>
      <c r="E7" s="380">
        <v>102</v>
      </c>
      <c r="F7" s="204">
        <v>102</v>
      </c>
    </row>
    <row r="8" spans="1:9" x14ac:dyDescent="0.3">
      <c r="A8" s="382"/>
      <c r="B8" s="383"/>
      <c r="C8" s="378"/>
      <c r="D8" s="379"/>
      <c r="E8" s="380"/>
      <c r="F8" s="204">
        <v>104</v>
      </c>
    </row>
    <row r="9" spans="1:9" x14ac:dyDescent="0.3">
      <c r="A9" s="382"/>
      <c r="B9" s="383"/>
      <c r="C9" s="378"/>
      <c r="D9" s="379">
        <v>105</v>
      </c>
      <c r="E9" s="380">
        <v>105</v>
      </c>
      <c r="F9" s="204">
        <v>105</v>
      </c>
    </row>
    <row r="10" spans="1:9" x14ac:dyDescent="0.3">
      <c r="A10" s="382"/>
      <c r="B10" s="383"/>
      <c r="C10" s="378"/>
      <c r="D10" s="379"/>
      <c r="E10" s="380"/>
      <c r="F10" s="204">
        <v>106</v>
      </c>
      <c r="I10" s="205"/>
    </row>
    <row r="11" spans="1:9" x14ac:dyDescent="0.3">
      <c r="A11" s="382"/>
      <c r="B11" s="383"/>
      <c r="C11" s="378"/>
      <c r="D11" s="379"/>
      <c r="E11" s="380">
        <v>107</v>
      </c>
      <c r="F11" s="204">
        <v>107</v>
      </c>
    </row>
    <row r="12" spans="1:9" x14ac:dyDescent="0.3">
      <c r="A12" s="382"/>
      <c r="B12" s="383"/>
      <c r="C12" s="378"/>
      <c r="D12" s="379"/>
      <c r="E12" s="380"/>
      <c r="F12" s="204">
        <v>109</v>
      </c>
    </row>
    <row r="13" spans="1:9" x14ac:dyDescent="0.3">
      <c r="A13" s="382"/>
      <c r="B13" s="383"/>
      <c r="C13" s="378">
        <v>110</v>
      </c>
      <c r="D13" s="379">
        <v>110</v>
      </c>
      <c r="E13" s="380">
        <v>110</v>
      </c>
      <c r="F13" s="204">
        <v>110</v>
      </c>
    </row>
    <row r="14" spans="1:9" x14ac:dyDescent="0.3">
      <c r="A14" s="382"/>
      <c r="B14" s="383"/>
      <c r="C14" s="378"/>
      <c r="D14" s="379"/>
      <c r="E14" s="380"/>
      <c r="F14" s="204">
        <v>111</v>
      </c>
    </row>
    <row r="15" spans="1:9" x14ac:dyDescent="0.3">
      <c r="A15" s="382"/>
      <c r="B15" s="383"/>
      <c r="C15" s="378"/>
      <c r="D15" s="379"/>
      <c r="E15" s="380">
        <v>113</v>
      </c>
      <c r="F15" s="204">
        <v>113</v>
      </c>
    </row>
    <row r="16" spans="1:9" x14ac:dyDescent="0.3">
      <c r="A16" s="382"/>
      <c r="B16" s="383"/>
      <c r="C16" s="378"/>
      <c r="D16" s="379"/>
      <c r="E16" s="380"/>
      <c r="F16" s="204">
        <v>114</v>
      </c>
    </row>
    <row r="17" spans="1:6" x14ac:dyDescent="0.3">
      <c r="A17" s="382"/>
      <c r="B17" s="383"/>
      <c r="C17" s="378"/>
      <c r="D17" s="379">
        <v>115</v>
      </c>
      <c r="E17" s="380">
        <v>115</v>
      </c>
      <c r="F17" s="204">
        <v>115</v>
      </c>
    </row>
    <row r="18" spans="1:6" x14ac:dyDescent="0.3">
      <c r="A18" s="382"/>
      <c r="B18" s="383"/>
      <c r="C18" s="378"/>
      <c r="D18" s="379"/>
      <c r="E18" s="380"/>
      <c r="F18" s="204">
        <v>117</v>
      </c>
    </row>
    <row r="19" spans="1:6" x14ac:dyDescent="0.3">
      <c r="A19" s="382"/>
      <c r="B19" s="383"/>
      <c r="C19" s="378"/>
      <c r="D19" s="379"/>
      <c r="E19" s="380">
        <v>118</v>
      </c>
      <c r="F19" s="204">
        <v>118</v>
      </c>
    </row>
    <row r="20" spans="1:6" x14ac:dyDescent="0.3">
      <c r="A20" s="382"/>
      <c r="B20" s="383"/>
      <c r="C20" s="378"/>
      <c r="D20" s="379"/>
      <c r="E20" s="380"/>
      <c r="F20" s="204">
        <v>120</v>
      </c>
    </row>
    <row r="21" spans="1:6" x14ac:dyDescent="0.3">
      <c r="A21" s="382"/>
      <c r="B21" s="383">
        <v>120</v>
      </c>
      <c r="C21" s="378">
        <v>120</v>
      </c>
      <c r="D21" s="379">
        <v>121</v>
      </c>
      <c r="E21" s="380">
        <v>121</v>
      </c>
      <c r="F21" s="204">
        <v>121</v>
      </c>
    </row>
    <row r="22" spans="1:6" x14ac:dyDescent="0.3">
      <c r="A22" s="382"/>
      <c r="B22" s="383"/>
      <c r="C22" s="378"/>
      <c r="D22" s="379"/>
      <c r="E22" s="380"/>
      <c r="F22" s="204">
        <v>123</v>
      </c>
    </row>
    <row r="23" spans="1:6" x14ac:dyDescent="0.3">
      <c r="A23" s="382"/>
      <c r="B23" s="383"/>
      <c r="C23" s="378"/>
      <c r="D23" s="379"/>
      <c r="E23" s="380">
        <v>124</v>
      </c>
      <c r="F23" s="204">
        <v>124</v>
      </c>
    </row>
    <row r="24" spans="1:6" x14ac:dyDescent="0.3">
      <c r="A24" s="382"/>
      <c r="B24" s="383"/>
      <c r="C24" s="378"/>
      <c r="D24" s="379"/>
      <c r="E24" s="380"/>
      <c r="F24" s="204">
        <v>126</v>
      </c>
    </row>
    <row r="25" spans="1:6" x14ac:dyDescent="0.3">
      <c r="A25" s="382"/>
      <c r="B25" s="383"/>
      <c r="C25" s="378"/>
      <c r="D25" s="379">
        <v>127</v>
      </c>
      <c r="E25" s="380">
        <v>127</v>
      </c>
      <c r="F25" s="204">
        <v>127</v>
      </c>
    </row>
    <row r="26" spans="1:6" x14ac:dyDescent="0.3">
      <c r="A26" s="382"/>
      <c r="B26" s="383"/>
      <c r="C26" s="378"/>
      <c r="D26" s="379"/>
      <c r="E26" s="380"/>
      <c r="F26" s="204">
        <v>129</v>
      </c>
    </row>
    <row r="27" spans="1:6" x14ac:dyDescent="0.3">
      <c r="A27" s="382"/>
      <c r="B27" s="383"/>
      <c r="C27" s="378"/>
      <c r="D27" s="379"/>
      <c r="E27" s="380">
        <v>130</v>
      </c>
      <c r="F27" s="204">
        <v>130</v>
      </c>
    </row>
    <row r="28" spans="1:6" x14ac:dyDescent="0.3">
      <c r="A28" s="382"/>
      <c r="B28" s="383"/>
      <c r="C28" s="378"/>
      <c r="D28" s="379"/>
      <c r="E28" s="380"/>
      <c r="F28" s="204">
        <v>132</v>
      </c>
    </row>
    <row r="29" spans="1:6" x14ac:dyDescent="0.3">
      <c r="A29" s="382"/>
      <c r="B29" s="383"/>
      <c r="C29" s="378">
        <v>130</v>
      </c>
      <c r="D29" s="379">
        <v>133</v>
      </c>
      <c r="E29" s="380">
        <v>133</v>
      </c>
      <c r="F29" s="204">
        <v>133</v>
      </c>
    </row>
    <row r="30" spans="1:6" x14ac:dyDescent="0.3">
      <c r="A30" s="382"/>
      <c r="B30" s="383"/>
      <c r="C30" s="378"/>
      <c r="D30" s="379"/>
      <c r="E30" s="380"/>
      <c r="F30" s="204">
        <v>135</v>
      </c>
    </row>
    <row r="31" spans="1:6" x14ac:dyDescent="0.3">
      <c r="A31" s="382"/>
      <c r="B31" s="383"/>
      <c r="C31" s="378"/>
      <c r="D31" s="379"/>
      <c r="E31" s="380">
        <v>137</v>
      </c>
      <c r="F31" s="204">
        <v>137</v>
      </c>
    </row>
    <row r="32" spans="1:6" x14ac:dyDescent="0.3">
      <c r="A32" s="382"/>
      <c r="B32" s="383"/>
      <c r="C32" s="378"/>
      <c r="D32" s="379"/>
      <c r="E32" s="380"/>
      <c r="F32" s="204">
        <v>138</v>
      </c>
    </row>
    <row r="33" spans="1:6" x14ac:dyDescent="0.3">
      <c r="A33" s="382"/>
      <c r="B33" s="383"/>
      <c r="C33" s="378"/>
      <c r="D33" s="379">
        <v>140</v>
      </c>
      <c r="E33" s="380">
        <v>140</v>
      </c>
      <c r="F33" s="204">
        <v>140</v>
      </c>
    </row>
    <row r="34" spans="1:6" x14ac:dyDescent="0.3">
      <c r="A34" s="382"/>
      <c r="B34" s="383"/>
      <c r="C34" s="378"/>
      <c r="D34" s="379"/>
      <c r="E34" s="380"/>
      <c r="F34" s="204">
        <v>142</v>
      </c>
    </row>
    <row r="35" spans="1:6" x14ac:dyDescent="0.3">
      <c r="A35" s="382"/>
      <c r="B35" s="383"/>
      <c r="C35" s="378"/>
      <c r="D35" s="379"/>
      <c r="E35" s="380">
        <v>143</v>
      </c>
      <c r="F35" s="204">
        <v>143</v>
      </c>
    </row>
    <row r="36" spans="1:6" x14ac:dyDescent="0.3">
      <c r="A36" s="382"/>
      <c r="B36" s="383"/>
      <c r="C36" s="378"/>
      <c r="D36" s="379"/>
      <c r="E36" s="380"/>
      <c r="F36" s="204">
        <v>145</v>
      </c>
    </row>
    <row r="37" spans="1:6" x14ac:dyDescent="0.3">
      <c r="A37" s="382">
        <v>150</v>
      </c>
      <c r="B37" s="383">
        <v>150</v>
      </c>
      <c r="C37" s="378">
        <v>150</v>
      </c>
      <c r="D37" s="379">
        <v>147</v>
      </c>
      <c r="E37" s="380">
        <v>147</v>
      </c>
      <c r="F37" s="204">
        <v>147</v>
      </c>
    </row>
    <row r="38" spans="1:6" x14ac:dyDescent="0.3">
      <c r="A38" s="382"/>
      <c r="B38" s="383"/>
      <c r="C38" s="378"/>
      <c r="D38" s="379"/>
      <c r="E38" s="380"/>
      <c r="F38" s="204">
        <v>149</v>
      </c>
    </row>
    <row r="39" spans="1:6" x14ac:dyDescent="0.3">
      <c r="A39" s="382"/>
      <c r="B39" s="383"/>
      <c r="C39" s="378"/>
      <c r="D39" s="379"/>
      <c r="E39" s="380">
        <v>150</v>
      </c>
      <c r="F39" s="204">
        <v>150</v>
      </c>
    </row>
    <row r="40" spans="1:6" x14ac:dyDescent="0.3">
      <c r="A40" s="382"/>
      <c r="B40" s="383"/>
      <c r="C40" s="378"/>
      <c r="D40" s="379"/>
      <c r="E40" s="380"/>
      <c r="F40" s="204">
        <v>152</v>
      </c>
    </row>
    <row r="41" spans="1:6" x14ac:dyDescent="0.3">
      <c r="A41" s="382"/>
      <c r="B41" s="383"/>
      <c r="C41" s="378"/>
      <c r="D41" s="379">
        <v>154</v>
      </c>
      <c r="E41" s="380">
        <v>154</v>
      </c>
      <c r="F41" s="204">
        <v>154</v>
      </c>
    </row>
    <row r="42" spans="1:6" x14ac:dyDescent="0.3">
      <c r="A42" s="382"/>
      <c r="B42" s="383"/>
      <c r="C42" s="378"/>
      <c r="D42" s="379"/>
      <c r="E42" s="380"/>
      <c r="F42" s="204">
        <v>156</v>
      </c>
    </row>
    <row r="43" spans="1:6" x14ac:dyDescent="0.3">
      <c r="A43" s="382"/>
      <c r="B43" s="383"/>
      <c r="C43" s="378"/>
      <c r="D43" s="379"/>
      <c r="E43" s="380">
        <v>158</v>
      </c>
      <c r="F43" s="204">
        <v>158</v>
      </c>
    </row>
    <row r="44" spans="1:6" x14ac:dyDescent="0.3">
      <c r="A44" s="382"/>
      <c r="B44" s="383"/>
      <c r="C44" s="378"/>
      <c r="D44" s="379"/>
      <c r="E44" s="380"/>
      <c r="F44" s="204">
        <v>160</v>
      </c>
    </row>
    <row r="45" spans="1:6" x14ac:dyDescent="0.3">
      <c r="A45" s="382"/>
      <c r="B45" s="383"/>
      <c r="C45" s="378">
        <v>160</v>
      </c>
      <c r="D45" s="379">
        <v>162</v>
      </c>
      <c r="E45" s="380">
        <v>162</v>
      </c>
      <c r="F45" s="204">
        <v>162</v>
      </c>
    </row>
    <row r="46" spans="1:6" x14ac:dyDescent="0.3">
      <c r="A46" s="382"/>
      <c r="B46" s="383"/>
      <c r="C46" s="378"/>
      <c r="D46" s="379"/>
      <c r="E46" s="380"/>
      <c r="F46" s="204">
        <v>164</v>
      </c>
    </row>
    <row r="47" spans="1:6" x14ac:dyDescent="0.3">
      <c r="A47" s="382"/>
      <c r="B47" s="383"/>
      <c r="C47" s="378"/>
      <c r="D47" s="379"/>
      <c r="E47" s="380">
        <v>165</v>
      </c>
      <c r="F47" s="204">
        <v>165</v>
      </c>
    </row>
    <row r="48" spans="1:6" x14ac:dyDescent="0.3">
      <c r="A48" s="382"/>
      <c r="B48" s="383"/>
      <c r="C48" s="378"/>
      <c r="D48" s="379"/>
      <c r="E48" s="380"/>
      <c r="F48" s="204">
        <v>167</v>
      </c>
    </row>
    <row r="49" spans="1:6" x14ac:dyDescent="0.3">
      <c r="A49" s="382"/>
      <c r="B49" s="383"/>
      <c r="C49" s="378"/>
      <c r="D49" s="379">
        <v>169</v>
      </c>
      <c r="E49" s="380">
        <v>169</v>
      </c>
      <c r="F49" s="204">
        <v>169</v>
      </c>
    </row>
    <row r="50" spans="1:6" x14ac:dyDescent="0.3">
      <c r="A50" s="382"/>
      <c r="B50" s="383"/>
      <c r="C50" s="378"/>
      <c r="D50" s="379"/>
      <c r="E50" s="380"/>
      <c r="F50" s="204">
        <v>172</v>
      </c>
    </row>
    <row r="51" spans="1:6" x14ac:dyDescent="0.3">
      <c r="A51" s="382"/>
      <c r="B51" s="383"/>
      <c r="C51" s="378"/>
      <c r="D51" s="379"/>
      <c r="E51" s="380">
        <v>174</v>
      </c>
      <c r="F51" s="204">
        <v>174</v>
      </c>
    </row>
    <row r="52" spans="1:6" x14ac:dyDescent="0.3">
      <c r="A52" s="382"/>
      <c r="B52" s="383"/>
      <c r="C52" s="378"/>
      <c r="D52" s="379"/>
      <c r="E52" s="380"/>
      <c r="F52" s="204">
        <v>176</v>
      </c>
    </row>
    <row r="53" spans="1:6" x14ac:dyDescent="0.3">
      <c r="A53" s="382"/>
      <c r="B53" s="383">
        <v>180</v>
      </c>
      <c r="C53" s="378">
        <v>180</v>
      </c>
      <c r="D53" s="379">
        <v>178</v>
      </c>
      <c r="E53" s="380">
        <v>178</v>
      </c>
      <c r="F53" s="204">
        <v>178</v>
      </c>
    </row>
    <row r="54" spans="1:6" x14ac:dyDescent="0.3">
      <c r="A54" s="382"/>
      <c r="B54" s="383"/>
      <c r="C54" s="378"/>
      <c r="D54" s="379"/>
      <c r="E54" s="380"/>
      <c r="F54" s="204">
        <v>180</v>
      </c>
    </row>
    <row r="55" spans="1:6" x14ac:dyDescent="0.3">
      <c r="A55" s="382"/>
      <c r="B55" s="383"/>
      <c r="C55" s="378"/>
      <c r="D55" s="379"/>
      <c r="E55" s="380">
        <v>182</v>
      </c>
      <c r="F55" s="204">
        <v>182</v>
      </c>
    </row>
    <row r="56" spans="1:6" x14ac:dyDescent="0.3">
      <c r="A56" s="382"/>
      <c r="B56" s="383"/>
      <c r="C56" s="378"/>
      <c r="D56" s="379"/>
      <c r="E56" s="380"/>
      <c r="F56" s="204">
        <v>184</v>
      </c>
    </row>
    <row r="57" spans="1:6" x14ac:dyDescent="0.3">
      <c r="A57" s="382"/>
      <c r="B57" s="383"/>
      <c r="C57" s="378"/>
      <c r="D57" s="379">
        <v>187</v>
      </c>
      <c r="E57" s="380">
        <v>187</v>
      </c>
      <c r="F57" s="204">
        <v>187</v>
      </c>
    </row>
    <row r="58" spans="1:6" x14ac:dyDescent="0.3">
      <c r="A58" s="382"/>
      <c r="B58" s="383"/>
      <c r="C58" s="378"/>
      <c r="D58" s="379"/>
      <c r="E58" s="380"/>
      <c r="F58" s="204">
        <v>189</v>
      </c>
    </row>
    <row r="59" spans="1:6" x14ac:dyDescent="0.3">
      <c r="A59" s="382"/>
      <c r="B59" s="383"/>
      <c r="C59" s="378"/>
      <c r="D59" s="379"/>
      <c r="E59" s="380">
        <v>191</v>
      </c>
      <c r="F59" s="204">
        <v>191</v>
      </c>
    </row>
    <row r="60" spans="1:6" x14ac:dyDescent="0.3">
      <c r="A60" s="382"/>
      <c r="B60" s="383"/>
      <c r="C60" s="378"/>
      <c r="D60" s="379"/>
      <c r="E60" s="380"/>
      <c r="F60" s="204">
        <v>193</v>
      </c>
    </row>
    <row r="61" spans="1:6" x14ac:dyDescent="0.3">
      <c r="A61" s="382"/>
      <c r="B61" s="383"/>
      <c r="C61" s="378">
        <v>200</v>
      </c>
      <c r="D61" s="379">
        <v>196</v>
      </c>
      <c r="E61" s="380">
        <v>196</v>
      </c>
      <c r="F61" s="204">
        <v>196</v>
      </c>
    </row>
    <row r="62" spans="1:6" x14ac:dyDescent="0.3">
      <c r="A62" s="382"/>
      <c r="B62" s="383"/>
      <c r="C62" s="378"/>
      <c r="D62" s="379"/>
      <c r="E62" s="380"/>
      <c r="F62" s="204">
        <v>198</v>
      </c>
    </row>
    <row r="63" spans="1:6" x14ac:dyDescent="0.3">
      <c r="A63" s="382"/>
      <c r="B63" s="383"/>
      <c r="C63" s="378"/>
      <c r="D63" s="379"/>
      <c r="E63" s="380">
        <v>200</v>
      </c>
      <c r="F63" s="204">
        <v>200</v>
      </c>
    </row>
    <row r="64" spans="1:6" x14ac:dyDescent="0.3">
      <c r="A64" s="382"/>
      <c r="B64" s="383"/>
      <c r="C64" s="378"/>
      <c r="D64" s="379"/>
      <c r="E64" s="380"/>
      <c r="F64" s="204">
        <v>203</v>
      </c>
    </row>
    <row r="65" spans="1:6" x14ac:dyDescent="0.3">
      <c r="A65" s="382"/>
      <c r="B65" s="383"/>
      <c r="C65" s="378"/>
      <c r="D65" s="379">
        <v>205</v>
      </c>
      <c r="E65" s="380">
        <v>205</v>
      </c>
      <c r="F65" s="204">
        <v>205</v>
      </c>
    </row>
    <row r="66" spans="1:6" x14ac:dyDescent="0.3">
      <c r="A66" s="382"/>
      <c r="B66" s="383"/>
      <c r="C66" s="378"/>
      <c r="D66" s="379"/>
      <c r="E66" s="380"/>
      <c r="F66" s="204">
        <v>208</v>
      </c>
    </row>
    <row r="67" spans="1:6" x14ac:dyDescent="0.3">
      <c r="A67" s="382"/>
      <c r="B67" s="383"/>
      <c r="C67" s="378"/>
      <c r="D67" s="379"/>
      <c r="E67" s="380">
        <v>210</v>
      </c>
      <c r="F67" s="204">
        <v>210</v>
      </c>
    </row>
    <row r="68" spans="1:6" x14ac:dyDescent="0.3">
      <c r="A68" s="382"/>
      <c r="B68" s="383"/>
      <c r="C68" s="378"/>
      <c r="D68" s="379"/>
      <c r="E68" s="380"/>
      <c r="F68" s="204">
        <v>213</v>
      </c>
    </row>
    <row r="69" spans="1:6" x14ac:dyDescent="0.3">
      <c r="A69" s="382">
        <v>220</v>
      </c>
      <c r="B69" s="383">
        <v>220</v>
      </c>
      <c r="C69" s="378">
        <v>220</v>
      </c>
      <c r="D69" s="379">
        <v>215</v>
      </c>
      <c r="E69" s="380">
        <v>215</v>
      </c>
      <c r="F69" s="204">
        <v>215</v>
      </c>
    </row>
    <row r="70" spans="1:6" x14ac:dyDescent="0.3">
      <c r="A70" s="382"/>
      <c r="B70" s="383"/>
      <c r="C70" s="378"/>
      <c r="D70" s="379"/>
      <c r="E70" s="380"/>
      <c r="F70" s="204">
        <v>218</v>
      </c>
    </row>
    <row r="71" spans="1:6" x14ac:dyDescent="0.3">
      <c r="A71" s="382"/>
      <c r="B71" s="383"/>
      <c r="C71" s="378"/>
      <c r="D71" s="379"/>
      <c r="E71" s="380">
        <v>221</v>
      </c>
      <c r="F71" s="204">
        <v>221</v>
      </c>
    </row>
    <row r="72" spans="1:6" x14ac:dyDescent="0.3">
      <c r="A72" s="382"/>
      <c r="B72" s="383"/>
      <c r="C72" s="378"/>
      <c r="D72" s="379"/>
      <c r="E72" s="380"/>
      <c r="F72" s="204">
        <v>223</v>
      </c>
    </row>
    <row r="73" spans="1:6" x14ac:dyDescent="0.3">
      <c r="A73" s="382"/>
      <c r="B73" s="383"/>
      <c r="C73" s="378"/>
      <c r="D73" s="379">
        <v>226</v>
      </c>
      <c r="E73" s="380">
        <v>226</v>
      </c>
      <c r="F73" s="204">
        <v>226</v>
      </c>
    </row>
    <row r="74" spans="1:6" x14ac:dyDescent="0.3">
      <c r="A74" s="382"/>
      <c r="B74" s="383"/>
      <c r="C74" s="378"/>
      <c r="D74" s="379"/>
      <c r="E74" s="380"/>
      <c r="F74" s="204">
        <v>229</v>
      </c>
    </row>
    <row r="75" spans="1:6" x14ac:dyDescent="0.3">
      <c r="A75" s="382"/>
      <c r="B75" s="383"/>
      <c r="C75" s="378"/>
      <c r="D75" s="379"/>
      <c r="E75" s="380">
        <v>232</v>
      </c>
      <c r="F75" s="204">
        <v>232</v>
      </c>
    </row>
    <row r="76" spans="1:6" x14ac:dyDescent="0.3">
      <c r="A76" s="382"/>
      <c r="B76" s="383"/>
      <c r="C76" s="378"/>
      <c r="D76" s="379"/>
      <c r="E76" s="380"/>
      <c r="F76" s="204">
        <v>234</v>
      </c>
    </row>
    <row r="77" spans="1:6" x14ac:dyDescent="0.3">
      <c r="A77" s="382"/>
      <c r="B77" s="383"/>
      <c r="C77" s="378">
        <v>240</v>
      </c>
      <c r="D77" s="379">
        <v>237</v>
      </c>
      <c r="E77" s="380">
        <v>237</v>
      </c>
      <c r="F77" s="204">
        <v>237</v>
      </c>
    </row>
    <row r="78" spans="1:6" x14ac:dyDescent="0.3">
      <c r="A78" s="382"/>
      <c r="B78" s="383"/>
      <c r="C78" s="378"/>
      <c r="D78" s="379"/>
      <c r="E78" s="380"/>
      <c r="F78" s="204">
        <v>240</v>
      </c>
    </row>
    <row r="79" spans="1:6" x14ac:dyDescent="0.3">
      <c r="A79" s="382"/>
      <c r="B79" s="383"/>
      <c r="C79" s="378"/>
      <c r="D79" s="379"/>
      <c r="E79" s="380">
        <v>243</v>
      </c>
      <c r="F79" s="204">
        <v>243</v>
      </c>
    </row>
    <row r="80" spans="1:6" x14ac:dyDescent="0.3">
      <c r="A80" s="382"/>
      <c r="B80" s="383"/>
      <c r="C80" s="378"/>
      <c r="D80" s="379"/>
      <c r="E80" s="380"/>
      <c r="F80" s="204">
        <v>246</v>
      </c>
    </row>
    <row r="81" spans="1:6" x14ac:dyDescent="0.3">
      <c r="A81" s="382"/>
      <c r="B81" s="383"/>
      <c r="C81" s="378"/>
      <c r="D81" s="379">
        <v>249</v>
      </c>
      <c r="E81" s="380">
        <v>249</v>
      </c>
      <c r="F81" s="204">
        <v>249</v>
      </c>
    </row>
    <row r="82" spans="1:6" x14ac:dyDescent="0.3">
      <c r="A82" s="382"/>
      <c r="B82" s="383"/>
      <c r="C82" s="378"/>
      <c r="D82" s="379"/>
      <c r="E82" s="380"/>
      <c r="F82" s="204">
        <v>252</v>
      </c>
    </row>
    <row r="83" spans="1:6" x14ac:dyDescent="0.3">
      <c r="A83" s="382"/>
      <c r="B83" s="383"/>
      <c r="C83" s="378"/>
      <c r="D83" s="379"/>
      <c r="E83" s="380">
        <v>255</v>
      </c>
      <c r="F83" s="204">
        <v>255</v>
      </c>
    </row>
    <row r="84" spans="1:6" x14ac:dyDescent="0.3">
      <c r="A84" s="382"/>
      <c r="B84" s="383"/>
      <c r="C84" s="378"/>
      <c r="D84" s="379"/>
      <c r="E84" s="380"/>
      <c r="F84" s="204">
        <v>258</v>
      </c>
    </row>
    <row r="85" spans="1:6" x14ac:dyDescent="0.3">
      <c r="A85" s="382"/>
      <c r="B85" s="383">
        <v>270</v>
      </c>
      <c r="C85" s="378">
        <v>270</v>
      </c>
      <c r="D85" s="379">
        <v>261</v>
      </c>
      <c r="E85" s="380">
        <v>261</v>
      </c>
      <c r="F85" s="204">
        <v>261</v>
      </c>
    </row>
    <row r="86" spans="1:6" x14ac:dyDescent="0.3">
      <c r="A86" s="382"/>
      <c r="B86" s="383"/>
      <c r="C86" s="378"/>
      <c r="D86" s="379"/>
      <c r="E86" s="380"/>
      <c r="F86" s="204">
        <v>264</v>
      </c>
    </row>
    <row r="87" spans="1:6" x14ac:dyDescent="0.3">
      <c r="A87" s="382"/>
      <c r="B87" s="383"/>
      <c r="C87" s="378"/>
      <c r="D87" s="379"/>
      <c r="E87" s="380">
        <v>267</v>
      </c>
      <c r="F87" s="204">
        <v>267</v>
      </c>
    </row>
    <row r="88" spans="1:6" x14ac:dyDescent="0.3">
      <c r="A88" s="382"/>
      <c r="B88" s="383"/>
      <c r="C88" s="378"/>
      <c r="D88" s="379"/>
      <c r="E88" s="380"/>
      <c r="F88" s="204">
        <v>271</v>
      </c>
    </row>
    <row r="89" spans="1:6" x14ac:dyDescent="0.3">
      <c r="A89" s="382"/>
      <c r="B89" s="383"/>
      <c r="C89" s="378"/>
      <c r="D89" s="379">
        <v>274</v>
      </c>
      <c r="E89" s="380">
        <v>274</v>
      </c>
      <c r="F89" s="204">
        <v>274</v>
      </c>
    </row>
    <row r="90" spans="1:6" x14ac:dyDescent="0.3">
      <c r="A90" s="382"/>
      <c r="B90" s="383"/>
      <c r="C90" s="378"/>
      <c r="D90" s="379"/>
      <c r="E90" s="380"/>
      <c r="F90" s="204">
        <v>277</v>
      </c>
    </row>
    <row r="91" spans="1:6" x14ac:dyDescent="0.3">
      <c r="A91" s="382"/>
      <c r="B91" s="383"/>
      <c r="C91" s="378"/>
      <c r="D91" s="379"/>
      <c r="E91" s="380">
        <v>280</v>
      </c>
      <c r="F91" s="204">
        <v>280</v>
      </c>
    </row>
    <row r="92" spans="1:6" x14ac:dyDescent="0.3">
      <c r="A92" s="382"/>
      <c r="B92" s="383"/>
      <c r="C92" s="378"/>
      <c r="D92" s="379"/>
      <c r="E92" s="380"/>
      <c r="F92" s="204">
        <v>284</v>
      </c>
    </row>
    <row r="93" spans="1:6" x14ac:dyDescent="0.3">
      <c r="A93" s="382"/>
      <c r="B93" s="383"/>
      <c r="C93" s="378">
        <v>300</v>
      </c>
      <c r="D93" s="379">
        <v>287</v>
      </c>
      <c r="E93" s="380">
        <v>287</v>
      </c>
      <c r="F93" s="204">
        <v>287</v>
      </c>
    </row>
    <row r="94" spans="1:6" x14ac:dyDescent="0.3">
      <c r="A94" s="382"/>
      <c r="B94" s="383"/>
      <c r="C94" s="378"/>
      <c r="D94" s="379"/>
      <c r="E94" s="380"/>
      <c r="F94" s="204">
        <v>291</v>
      </c>
    </row>
    <row r="95" spans="1:6" x14ac:dyDescent="0.3">
      <c r="A95" s="382"/>
      <c r="B95" s="383"/>
      <c r="C95" s="378"/>
      <c r="D95" s="379"/>
      <c r="E95" s="380">
        <v>294</v>
      </c>
      <c r="F95" s="204">
        <v>294</v>
      </c>
    </row>
    <row r="96" spans="1:6" x14ac:dyDescent="0.3">
      <c r="A96" s="382"/>
      <c r="B96" s="383"/>
      <c r="C96" s="378"/>
      <c r="D96" s="379"/>
      <c r="E96" s="380"/>
      <c r="F96" s="204">
        <v>298</v>
      </c>
    </row>
    <row r="97" spans="1:6" x14ac:dyDescent="0.3">
      <c r="A97" s="382"/>
      <c r="B97" s="383"/>
      <c r="C97" s="378"/>
      <c r="D97" s="379">
        <v>301</v>
      </c>
      <c r="E97" s="380">
        <v>301</v>
      </c>
      <c r="F97" s="204">
        <v>301</v>
      </c>
    </row>
    <row r="98" spans="1:6" x14ac:dyDescent="0.3">
      <c r="A98" s="382"/>
      <c r="B98" s="383"/>
      <c r="C98" s="378"/>
      <c r="D98" s="379"/>
      <c r="E98" s="380"/>
      <c r="F98" s="204">
        <v>305</v>
      </c>
    </row>
    <row r="99" spans="1:6" x14ac:dyDescent="0.3">
      <c r="A99" s="382"/>
      <c r="B99" s="383"/>
      <c r="C99" s="378"/>
      <c r="D99" s="379"/>
      <c r="E99" s="380">
        <v>309</v>
      </c>
      <c r="F99" s="204">
        <v>309</v>
      </c>
    </row>
    <row r="100" spans="1:6" x14ac:dyDescent="0.3">
      <c r="A100" s="382"/>
      <c r="B100" s="383"/>
      <c r="C100" s="378"/>
      <c r="D100" s="379"/>
      <c r="E100" s="380"/>
      <c r="F100" s="204">
        <v>312</v>
      </c>
    </row>
    <row r="101" spans="1:6" x14ac:dyDescent="0.3">
      <c r="A101" s="382">
        <v>330</v>
      </c>
      <c r="B101" s="383">
        <v>330</v>
      </c>
      <c r="C101" s="378">
        <v>330</v>
      </c>
      <c r="D101" s="379">
        <v>316</v>
      </c>
      <c r="E101" s="380">
        <v>316</v>
      </c>
      <c r="F101" s="204">
        <v>316</v>
      </c>
    </row>
    <row r="102" spans="1:6" x14ac:dyDescent="0.3">
      <c r="A102" s="382"/>
      <c r="B102" s="383"/>
      <c r="C102" s="378"/>
      <c r="D102" s="379"/>
      <c r="E102" s="380"/>
      <c r="F102" s="204">
        <v>320</v>
      </c>
    </row>
    <row r="103" spans="1:6" x14ac:dyDescent="0.3">
      <c r="A103" s="382"/>
      <c r="B103" s="383"/>
      <c r="C103" s="378"/>
      <c r="D103" s="379"/>
      <c r="E103" s="380">
        <v>324</v>
      </c>
      <c r="F103" s="204">
        <v>324</v>
      </c>
    </row>
    <row r="104" spans="1:6" x14ac:dyDescent="0.3">
      <c r="A104" s="382"/>
      <c r="B104" s="383"/>
      <c r="C104" s="378"/>
      <c r="D104" s="379"/>
      <c r="E104" s="380"/>
      <c r="F104" s="204">
        <v>328</v>
      </c>
    </row>
    <row r="105" spans="1:6" x14ac:dyDescent="0.3">
      <c r="A105" s="382"/>
      <c r="B105" s="383"/>
      <c r="C105" s="378"/>
      <c r="D105" s="379">
        <v>332</v>
      </c>
      <c r="E105" s="380">
        <v>332</v>
      </c>
      <c r="F105" s="204">
        <v>332</v>
      </c>
    </row>
    <row r="106" spans="1:6" x14ac:dyDescent="0.3">
      <c r="A106" s="382"/>
      <c r="B106" s="383"/>
      <c r="C106" s="378"/>
      <c r="D106" s="379"/>
      <c r="E106" s="380"/>
      <c r="F106" s="204">
        <v>336</v>
      </c>
    </row>
    <row r="107" spans="1:6" x14ac:dyDescent="0.3">
      <c r="A107" s="382"/>
      <c r="B107" s="383"/>
      <c r="C107" s="378"/>
      <c r="D107" s="379"/>
      <c r="E107" s="380">
        <v>340</v>
      </c>
      <c r="F107" s="204">
        <v>340</v>
      </c>
    </row>
    <row r="108" spans="1:6" x14ac:dyDescent="0.3">
      <c r="A108" s="382"/>
      <c r="B108" s="383"/>
      <c r="C108" s="378"/>
      <c r="D108" s="379"/>
      <c r="E108" s="380"/>
      <c r="F108" s="204">
        <v>344</v>
      </c>
    </row>
    <row r="109" spans="1:6" x14ac:dyDescent="0.3">
      <c r="A109" s="382"/>
      <c r="B109" s="383"/>
      <c r="C109" s="378">
        <v>360</v>
      </c>
      <c r="D109" s="379">
        <v>348</v>
      </c>
      <c r="E109" s="380">
        <v>348</v>
      </c>
      <c r="F109" s="204">
        <v>348</v>
      </c>
    </row>
    <row r="110" spans="1:6" x14ac:dyDescent="0.3">
      <c r="A110" s="382"/>
      <c r="B110" s="383"/>
      <c r="C110" s="378"/>
      <c r="D110" s="379"/>
      <c r="E110" s="380"/>
      <c r="F110" s="204">
        <v>352</v>
      </c>
    </row>
    <row r="111" spans="1:6" x14ac:dyDescent="0.3">
      <c r="A111" s="382"/>
      <c r="B111" s="383"/>
      <c r="C111" s="378"/>
      <c r="D111" s="379"/>
      <c r="E111" s="380">
        <v>357</v>
      </c>
      <c r="F111" s="204">
        <v>357</v>
      </c>
    </row>
    <row r="112" spans="1:6" x14ac:dyDescent="0.3">
      <c r="A112" s="382"/>
      <c r="B112" s="383"/>
      <c r="C112" s="378"/>
      <c r="D112" s="379"/>
      <c r="E112" s="380"/>
      <c r="F112" s="204">
        <v>361</v>
      </c>
    </row>
    <row r="113" spans="1:6" x14ac:dyDescent="0.3">
      <c r="A113" s="382"/>
      <c r="B113" s="383"/>
      <c r="C113" s="378"/>
      <c r="D113" s="379">
        <v>365</v>
      </c>
      <c r="E113" s="380">
        <v>365</v>
      </c>
      <c r="F113" s="204">
        <v>365</v>
      </c>
    </row>
    <row r="114" spans="1:6" x14ac:dyDescent="0.3">
      <c r="A114" s="382"/>
      <c r="B114" s="383"/>
      <c r="C114" s="378"/>
      <c r="D114" s="379"/>
      <c r="E114" s="380"/>
      <c r="F114" s="204">
        <v>370</v>
      </c>
    </row>
    <row r="115" spans="1:6" x14ac:dyDescent="0.3">
      <c r="A115" s="382"/>
      <c r="B115" s="383"/>
      <c r="C115" s="378"/>
      <c r="D115" s="379"/>
      <c r="E115" s="380">
        <v>374</v>
      </c>
      <c r="F115" s="204">
        <v>374</v>
      </c>
    </row>
    <row r="116" spans="1:6" x14ac:dyDescent="0.3">
      <c r="A116" s="382"/>
      <c r="B116" s="383"/>
      <c r="C116" s="378"/>
      <c r="D116" s="379"/>
      <c r="E116" s="380"/>
      <c r="F116" s="204">
        <v>379</v>
      </c>
    </row>
    <row r="117" spans="1:6" x14ac:dyDescent="0.3">
      <c r="A117" s="382"/>
      <c r="B117" s="383">
        <v>390</v>
      </c>
      <c r="C117" s="378">
        <v>390</v>
      </c>
      <c r="D117" s="379">
        <v>383</v>
      </c>
      <c r="E117" s="380">
        <v>383</v>
      </c>
      <c r="F117" s="204">
        <v>383</v>
      </c>
    </row>
    <row r="118" spans="1:6" x14ac:dyDescent="0.3">
      <c r="A118" s="382"/>
      <c r="B118" s="383"/>
      <c r="C118" s="378"/>
      <c r="D118" s="379"/>
      <c r="E118" s="380"/>
      <c r="F118" s="204">
        <v>388</v>
      </c>
    </row>
    <row r="119" spans="1:6" x14ac:dyDescent="0.3">
      <c r="A119" s="382"/>
      <c r="B119" s="383"/>
      <c r="C119" s="378"/>
      <c r="D119" s="379"/>
      <c r="E119" s="380">
        <v>392</v>
      </c>
      <c r="F119" s="204">
        <v>392</v>
      </c>
    </row>
    <row r="120" spans="1:6" x14ac:dyDescent="0.3">
      <c r="A120" s="382"/>
      <c r="B120" s="383"/>
      <c r="C120" s="378"/>
      <c r="D120" s="379"/>
      <c r="E120" s="380"/>
      <c r="F120" s="204">
        <v>397</v>
      </c>
    </row>
    <row r="121" spans="1:6" x14ac:dyDescent="0.3">
      <c r="A121" s="382"/>
      <c r="B121" s="383"/>
      <c r="C121" s="378"/>
      <c r="D121" s="379">
        <v>402</v>
      </c>
      <c r="E121" s="380">
        <v>402</v>
      </c>
      <c r="F121" s="204">
        <v>402</v>
      </c>
    </row>
    <row r="122" spans="1:6" x14ac:dyDescent="0.3">
      <c r="A122" s="382"/>
      <c r="B122" s="383"/>
      <c r="C122" s="378"/>
      <c r="D122" s="379"/>
      <c r="E122" s="380"/>
      <c r="F122" s="204">
        <v>407</v>
      </c>
    </row>
    <row r="123" spans="1:6" x14ac:dyDescent="0.3">
      <c r="A123" s="382"/>
      <c r="B123" s="383"/>
      <c r="C123" s="378"/>
      <c r="D123" s="379"/>
      <c r="E123" s="380">
        <v>412</v>
      </c>
      <c r="F123" s="204">
        <v>412</v>
      </c>
    </row>
    <row r="124" spans="1:6" x14ac:dyDescent="0.3">
      <c r="A124" s="382"/>
      <c r="B124" s="383"/>
      <c r="C124" s="378"/>
      <c r="D124" s="379"/>
      <c r="E124" s="380"/>
      <c r="F124" s="204">
        <v>417</v>
      </c>
    </row>
    <row r="125" spans="1:6" x14ac:dyDescent="0.3">
      <c r="A125" s="382"/>
      <c r="B125" s="383"/>
      <c r="C125" s="378">
        <v>430</v>
      </c>
      <c r="D125" s="379">
        <v>422</v>
      </c>
      <c r="E125" s="380">
        <v>422</v>
      </c>
      <c r="F125" s="204">
        <v>422</v>
      </c>
    </row>
    <row r="126" spans="1:6" x14ac:dyDescent="0.3">
      <c r="A126" s="382"/>
      <c r="B126" s="383"/>
      <c r="C126" s="378"/>
      <c r="D126" s="379"/>
      <c r="E126" s="380"/>
      <c r="F126" s="204">
        <v>427</v>
      </c>
    </row>
    <row r="127" spans="1:6" x14ac:dyDescent="0.3">
      <c r="A127" s="382"/>
      <c r="B127" s="383"/>
      <c r="C127" s="378"/>
      <c r="D127" s="379"/>
      <c r="E127" s="380">
        <v>432</v>
      </c>
      <c r="F127" s="204">
        <v>432</v>
      </c>
    </row>
    <row r="128" spans="1:6" x14ac:dyDescent="0.3">
      <c r="A128" s="382"/>
      <c r="B128" s="383"/>
      <c r="C128" s="378"/>
      <c r="D128" s="379"/>
      <c r="E128" s="380"/>
      <c r="F128" s="204">
        <v>437</v>
      </c>
    </row>
    <row r="129" spans="1:6" x14ac:dyDescent="0.3">
      <c r="A129" s="382"/>
      <c r="B129" s="383"/>
      <c r="C129" s="378"/>
      <c r="D129" s="379">
        <v>442</v>
      </c>
      <c r="E129" s="380">
        <v>442</v>
      </c>
      <c r="F129" s="204">
        <v>442</v>
      </c>
    </row>
    <row r="130" spans="1:6" x14ac:dyDescent="0.3">
      <c r="A130" s="382"/>
      <c r="B130" s="383"/>
      <c r="C130" s="378"/>
      <c r="D130" s="379"/>
      <c r="E130" s="380"/>
      <c r="F130" s="204">
        <v>448</v>
      </c>
    </row>
    <row r="131" spans="1:6" x14ac:dyDescent="0.3">
      <c r="A131" s="382"/>
      <c r="B131" s="383"/>
      <c r="C131" s="378"/>
      <c r="D131" s="379"/>
      <c r="E131" s="380">
        <v>453</v>
      </c>
      <c r="F131" s="204">
        <v>453</v>
      </c>
    </row>
    <row r="132" spans="1:6" x14ac:dyDescent="0.3">
      <c r="A132" s="382"/>
      <c r="B132" s="383"/>
      <c r="C132" s="378"/>
      <c r="D132" s="379"/>
      <c r="E132" s="380"/>
      <c r="F132" s="204">
        <v>459</v>
      </c>
    </row>
    <row r="133" spans="1:6" x14ac:dyDescent="0.3">
      <c r="A133" s="382">
        <v>470</v>
      </c>
      <c r="B133" s="383">
        <v>470</v>
      </c>
      <c r="C133" s="378">
        <v>470</v>
      </c>
      <c r="D133" s="379">
        <v>464</v>
      </c>
      <c r="E133" s="380">
        <v>464</v>
      </c>
      <c r="F133" s="204">
        <v>464</v>
      </c>
    </row>
    <row r="134" spans="1:6" x14ac:dyDescent="0.3">
      <c r="A134" s="382"/>
      <c r="B134" s="383"/>
      <c r="C134" s="378"/>
      <c r="D134" s="379"/>
      <c r="E134" s="380"/>
      <c r="F134" s="204">
        <v>470</v>
      </c>
    </row>
    <row r="135" spans="1:6" x14ac:dyDescent="0.3">
      <c r="A135" s="382"/>
      <c r="B135" s="383"/>
      <c r="C135" s="378"/>
      <c r="D135" s="379"/>
      <c r="E135" s="380">
        <v>475</v>
      </c>
      <c r="F135" s="204">
        <v>475</v>
      </c>
    </row>
    <row r="136" spans="1:6" x14ac:dyDescent="0.3">
      <c r="A136" s="382"/>
      <c r="B136" s="383"/>
      <c r="C136" s="378"/>
      <c r="D136" s="379"/>
      <c r="E136" s="380"/>
      <c r="F136" s="204">
        <v>481</v>
      </c>
    </row>
    <row r="137" spans="1:6" x14ac:dyDescent="0.3">
      <c r="A137" s="382"/>
      <c r="B137" s="383"/>
      <c r="C137" s="378"/>
      <c r="D137" s="379">
        <v>487</v>
      </c>
      <c r="E137" s="380">
        <v>487</v>
      </c>
      <c r="F137" s="204">
        <v>487</v>
      </c>
    </row>
    <row r="138" spans="1:6" x14ac:dyDescent="0.3">
      <c r="A138" s="382"/>
      <c r="B138" s="383"/>
      <c r="C138" s="378"/>
      <c r="D138" s="379"/>
      <c r="E138" s="380"/>
      <c r="F138" s="204">
        <v>493</v>
      </c>
    </row>
    <row r="139" spans="1:6" x14ac:dyDescent="0.3">
      <c r="A139" s="382"/>
      <c r="B139" s="383"/>
      <c r="C139" s="378"/>
      <c r="D139" s="379"/>
      <c r="E139" s="380">
        <v>499</v>
      </c>
      <c r="F139" s="204">
        <v>499</v>
      </c>
    </row>
    <row r="140" spans="1:6" x14ac:dyDescent="0.3">
      <c r="A140" s="382"/>
      <c r="B140" s="383"/>
      <c r="C140" s="378"/>
      <c r="D140" s="379"/>
      <c r="E140" s="380"/>
      <c r="F140" s="204">
        <v>505</v>
      </c>
    </row>
    <row r="141" spans="1:6" x14ac:dyDescent="0.3">
      <c r="A141" s="382"/>
      <c r="B141" s="383"/>
      <c r="C141" s="378">
        <v>510</v>
      </c>
      <c r="D141" s="379">
        <v>511</v>
      </c>
      <c r="E141" s="380">
        <v>511</v>
      </c>
      <c r="F141" s="204">
        <v>511</v>
      </c>
    </row>
    <row r="142" spans="1:6" x14ac:dyDescent="0.3">
      <c r="A142" s="382"/>
      <c r="B142" s="383"/>
      <c r="C142" s="378"/>
      <c r="D142" s="379"/>
      <c r="E142" s="380"/>
      <c r="F142" s="204">
        <v>517</v>
      </c>
    </row>
    <row r="143" spans="1:6" x14ac:dyDescent="0.3">
      <c r="A143" s="382"/>
      <c r="B143" s="383"/>
      <c r="C143" s="378"/>
      <c r="D143" s="379"/>
      <c r="E143" s="380">
        <v>523</v>
      </c>
      <c r="F143" s="204">
        <v>523</v>
      </c>
    </row>
    <row r="144" spans="1:6" x14ac:dyDescent="0.3">
      <c r="A144" s="382"/>
      <c r="B144" s="383"/>
      <c r="C144" s="378"/>
      <c r="D144" s="379"/>
      <c r="E144" s="380"/>
      <c r="F144" s="204">
        <v>530</v>
      </c>
    </row>
    <row r="145" spans="1:6" x14ac:dyDescent="0.3">
      <c r="A145" s="382"/>
      <c r="B145" s="383"/>
      <c r="C145" s="378"/>
      <c r="D145" s="379">
        <v>536</v>
      </c>
      <c r="E145" s="380">
        <v>536</v>
      </c>
      <c r="F145" s="204">
        <v>536</v>
      </c>
    </row>
    <row r="146" spans="1:6" x14ac:dyDescent="0.3">
      <c r="A146" s="382"/>
      <c r="B146" s="383"/>
      <c r="C146" s="378"/>
      <c r="D146" s="379"/>
      <c r="E146" s="380"/>
      <c r="F146" s="204">
        <v>542</v>
      </c>
    </row>
    <row r="147" spans="1:6" x14ac:dyDescent="0.3">
      <c r="A147" s="382"/>
      <c r="B147" s="383"/>
      <c r="C147" s="378"/>
      <c r="D147" s="379"/>
      <c r="E147" s="380">
        <v>549</v>
      </c>
      <c r="F147" s="204">
        <v>549</v>
      </c>
    </row>
    <row r="148" spans="1:6" x14ac:dyDescent="0.3">
      <c r="A148" s="382"/>
      <c r="B148" s="383"/>
      <c r="C148" s="378"/>
      <c r="D148" s="379"/>
      <c r="E148" s="380"/>
      <c r="F148" s="204">
        <v>556</v>
      </c>
    </row>
    <row r="149" spans="1:6" x14ac:dyDescent="0.3">
      <c r="A149" s="382"/>
      <c r="B149" s="383">
        <v>560</v>
      </c>
      <c r="C149" s="378">
        <v>560</v>
      </c>
      <c r="D149" s="379">
        <v>562</v>
      </c>
      <c r="E149" s="380">
        <v>562</v>
      </c>
      <c r="F149" s="204">
        <v>562</v>
      </c>
    </row>
    <row r="150" spans="1:6" x14ac:dyDescent="0.3">
      <c r="A150" s="382"/>
      <c r="B150" s="383"/>
      <c r="C150" s="378"/>
      <c r="D150" s="379"/>
      <c r="E150" s="380"/>
      <c r="F150" s="204">
        <v>569</v>
      </c>
    </row>
    <row r="151" spans="1:6" x14ac:dyDescent="0.3">
      <c r="A151" s="382"/>
      <c r="B151" s="383"/>
      <c r="C151" s="378"/>
      <c r="D151" s="379"/>
      <c r="E151" s="380">
        <v>576</v>
      </c>
      <c r="F151" s="204">
        <v>576</v>
      </c>
    </row>
    <row r="152" spans="1:6" x14ac:dyDescent="0.3">
      <c r="A152" s="382"/>
      <c r="B152" s="383"/>
      <c r="C152" s="378"/>
      <c r="D152" s="379"/>
      <c r="E152" s="380"/>
      <c r="F152" s="204">
        <v>583</v>
      </c>
    </row>
    <row r="153" spans="1:6" x14ac:dyDescent="0.3">
      <c r="A153" s="382"/>
      <c r="B153" s="383"/>
      <c r="C153" s="378"/>
      <c r="D153" s="379">
        <v>590</v>
      </c>
      <c r="E153" s="380">
        <v>590</v>
      </c>
      <c r="F153" s="204">
        <v>590</v>
      </c>
    </row>
    <row r="154" spans="1:6" x14ac:dyDescent="0.3">
      <c r="A154" s="382"/>
      <c r="B154" s="383"/>
      <c r="C154" s="378"/>
      <c r="D154" s="379"/>
      <c r="E154" s="380"/>
      <c r="F154" s="204">
        <v>597</v>
      </c>
    </row>
    <row r="155" spans="1:6" x14ac:dyDescent="0.3">
      <c r="A155" s="382"/>
      <c r="B155" s="383"/>
      <c r="C155" s="378"/>
      <c r="D155" s="379"/>
      <c r="E155" s="380">
        <v>604</v>
      </c>
      <c r="F155" s="204">
        <v>604</v>
      </c>
    </row>
    <row r="156" spans="1:6" x14ac:dyDescent="0.3">
      <c r="A156" s="382"/>
      <c r="B156" s="383"/>
      <c r="C156" s="378"/>
      <c r="D156" s="379"/>
      <c r="E156" s="380"/>
      <c r="F156" s="204">
        <v>612</v>
      </c>
    </row>
    <row r="157" spans="1:6" x14ac:dyDescent="0.3">
      <c r="A157" s="382"/>
      <c r="B157" s="383"/>
      <c r="C157" s="378">
        <v>620</v>
      </c>
      <c r="D157" s="379">
        <v>619</v>
      </c>
      <c r="E157" s="380">
        <v>619</v>
      </c>
      <c r="F157" s="204">
        <v>619</v>
      </c>
    </row>
    <row r="158" spans="1:6" x14ac:dyDescent="0.3">
      <c r="A158" s="382"/>
      <c r="B158" s="383"/>
      <c r="C158" s="378"/>
      <c r="D158" s="379"/>
      <c r="E158" s="380"/>
      <c r="F158" s="204">
        <v>626</v>
      </c>
    </row>
    <row r="159" spans="1:6" x14ac:dyDescent="0.3">
      <c r="A159" s="382"/>
      <c r="B159" s="383"/>
      <c r="C159" s="378"/>
      <c r="D159" s="379"/>
      <c r="E159" s="380">
        <v>634</v>
      </c>
      <c r="F159" s="204">
        <v>634</v>
      </c>
    </row>
    <row r="160" spans="1:6" x14ac:dyDescent="0.3">
      <c r="A160" s="382"/>
      <c r="B160" s="383"/>
      <c r="C160" s="378"/>
      <c r="D160" s="379"/>
      <c r="E160" s="380"/>
      <c r="F160" s="204">
        <v>642</v>
      </c>
    </row>
    <row r="161" spans="1:6" x14ac:dyDescent="0.3">
      <c r="A161" s="382"/>
      <c r="B161" s="383"/>
      <c r="C161" s="378"/>
      <c r="D161" s="379">
        <v>649</v>
      </c>
      <c r="E161" s="380">
        <v>649</v>
      </c>
      <c r="F161" s="204">
        <v>649</v>
      </c>
    </row>
    <row r="162" spans="1:6" x14ac:dyDescent="0.3">
      <c r="A162" s="382"/>
      <c r="B162" s="383"/>
      <c r="C162" s="378"/>
      <c r="D162" s="379"/>
      <c r="E162" s="380"/>
      <c r="F162" s="204">
        <v>657</v>
      </c>
    </row>
    <row r="163" spans="1:6" x14ac:dyDescent="0.3">
      <c r="A163" s="382"/>
      <c r="B163" s="383"/>
      <c r="C163" s="378"/>
      <c r="D163" s="379"/>
      <c r="E163" s="380">
        <v>665</v>
      </c>
      <c r="F163" s="204">
        <v>665</v>
      </c>
    </row>
    <row r="164" spans="1:6" x14ac:dyDescent="0.3">
      <c r="A164" s="382"/>
      <c r="B164" s="383"/>
      <c r="C164" s="378"/>
      <c r="D164" s="379"/>
      <c r="E164" s="380"/>
      <c r="F164" s="204">
        <v>673</v>
      </c>
    </row>
    <row r="165" spans="1:6" x14ac:dyDescent="0.3">
      <c r="A165" s="382">
        <v>680</v>
      </c>
      <c r="B165" s="383">
        <v>680</v>
      </c>
      <c r="C165" s="378">
        <v>680</v>
      </c>
      <c r="D165" s="379">
        <v>681</v>
      </c>
      <c r="E165" s="380">
        <v>681</v>
      </c>
      <c r="F165" s="204">
        <v>681</v>
      </c>
    </row>
    <row r="166" spans="1:6" x14ac:dyDescent="0.3">
      <c r="A166" s="382"/>
      <c r="B166" s="383"/>
      <c r="C166" s="378"/>
      <c r="D166" s="379"/>
      <c r="E166" s="380"/>
      <c r="F166" s="204">
        <v>690</v>
      </c>
    </row>
    <row r="167" spans="1:6" x14ac:dyDescent="0.3">
      <c r="A167" s="382"/>
      <c r="B167" s="383"/>
      <c r="C167" s="378"/>
      <c r="D167" s="379"/>
      <c r="E167" s="380">
        <v>698</v>
      </c>
      <c r="F167" s="204">
        <v>698</v>
      </c>
    </row>
    <row r="168" spans="1:6" x14ac:dyDescent="0.3">
      <c r="A168" s="382"/>
      <c r="B168" s="383"/>
      <c r="C168" s="378"/>
      <c r="D168" s="379"/>
      <c r="E168" s="380"/>
      <c r="F168" s="204">
        <v>706</v>
      </c>
    </row>
    <row r="169" spans="1:6" x14ac:dyDescent="0.3">
      <c r="A169" s="382"/>
      <c r="B169" s="383"/>
      <c r="C169" s="378"/>
      <c r="D169" s="379">
        <v>715</v>
      </c>
      <c r="E169" s="380">
        <v>715</v>
      </c>
      <c r="F169" s="204">
        <v>715</v>
      </c>
    </row>
    <row r="170" spans="1:6" x14ac:dyDescent="0.3">
      <c r="A170" s="382"/>
      <c r="B170" s="383"/>
      <c r="C170" s="378"/>
      <c r="D170" s="379"/>
      <c r="E170" s="380"/>
      <c r="F170" s="204">
        <v>723</v>
      </c>
    </row>
    <row r="171" spans="1:6" x14ac:dyDescent="0.3">
      <c r="A171" s="382"/>
      <c r="B171" s="383"/>
      <c r="C171" s="378"/>
      <c r="D171" s="379"/>
      <c r="E171" s="380">
        <v>732</v>
      </c>
      <c r="F171" s="204">
        <v>732</v>
      </c>
    </row>
    <row r="172" spans="1:6" x14ac:dyDescent="0.3">
      <c r="A172" s="382"/>
      <c r="B172" s="383"/>
      <c r="C172" s="378"/>
      <c r="D172" s="379"/>
      <c r="E172" s="380"/>
      <c r="F172" s="204">
        <v>741</v>
      </c>
    </row>
    <row r="173" spans="1:6" x14ac:dyDescent="0.3">
      <c r="A173" s="382"/>
      <c r="B173" s="383"/>
      <c r="C173" s="378">
        <v>750</v>
      </c>
      <c r="D173" s="379">
        <v>750</v>
      </c>
      <c r="E173" s="380">
        <v>750</v>
      </c>
      <c r="F173" s="204">
        <v>750</v>
      </c>
    </row>
    <row r="174" spans="1:6" x14ac:dyDescent="0.3">
      <c r="A174" s="382"/>
      <c r="B174" s="383"/>
      <c r="C174" s="378"/>
      <c r="D174" s="379"/>
      <c r="E174" s="380"/>
      <c r="F174" s="204">
        <v>759</v>
      </c>
    </row>
    <row r="175" spans="1:6" x14ac:dyDescent="0.3">
      <c r="A175" s="382"/>
      <c r="B175" s="383"/>
      <c r="C175" s="378"/>
      <c r="D175" s="379"/>
      <c r="E175" s="380">
        <v>768</v>
      </c>
      <c r="F175" s="204">
        <v>768</v>
      </c>
    </row>
    <row r="176" spans="1:6" x14ac:dyDescent="0.3">
      <c r="A176" s="382"/>
      <c r="B176" s="383"/>
      <c r="C176" s="378"/>
      <c r="D176" s="379"/>
      <c r="E176" s="380"/>
      <c r="F176" s="204">
        <v>777</v>
      </c>
    </row>
    <row r="177" spans="1:6" x14ac:dyDescent="0.3">
      <c r="A177" s="382"/>
      <c r="B177" s="383"/>
      <c r="C177" s="378"/>
      <c r="D177" s="379">
        <v>787</v>
      </c>
      <c r="E177" s="380">
        <v>787</v>
      </c>
      <c r="F177" s="204">
        <v>787</v>
      </c>
    </row>
    <row r="178" spans="1:6" x14ac:dyDescent="0.3">
      <c r="A178" s="382"/>
      <c r="B178" s="383"/>
      <c r="C178" s="378"/>
      <c r="D178" s="379"/>
      <c r="E178" s="380"/>
      <c r="F178" s="204">
        <v>796</v>
      </c>
    </row>
    <row r="179" spans="1:6" x14ac:dyDescent="0.3">
      <c r="A179" s="382"/>
      <c r="B179" s="383"/>
      <c r="C179" s="378"/>
      <c r="D179" s="379"/>
      <c r="E179" s="380">
        <v>806</v>
      </c>
      <c r="F179" s="204">
        <v>806</v>
      </c>
    </row>
    <row r="180" spans="1:6" x14ac:dyDescent="0.3">
      <c r="A180" s="382"/>
      <c r="B180" s="383"/>
      <c r="C180" s="378"/>
      <c r="D180" s="379"/>
      <c r="E180" s="380"/>
      <c r="F180" s="204">
        <v>816</v>
      </c>
    </row>
    <row r="181" spans="1:6" x14ac:dyDescent="0.3">
      <c r="A181" s="382"/>
      <c r="B181" s="383">
        <v>820</v>
      </c>
      <c r="C181" s="378">
        <v>820</v>
      </c>
      <c r="D181" s="379">
        <v>825</v>
      </c>
      <c r="E181" s="380">
        <v>825</v>
      </c>
      <c r="F181" s="204">
        <v>825</v>
      </c>
    </row>
    <row r="182" spans="1:6" x14ac:dyDescent="0.3">
      <c r="A182" s="382"/>
      <c r="B182" s="383"/>
      <c r="C182" s="378"/>
      <c r="D182" s="379"/>
      <c r="E182" s="380"/>
      <c r="F182" s="204">
        <v>835</v>
      </c>
    </row>
    <row r="183" spans="1:6" x14ac:dyDescent="0.3">
      <c r="A183" s="382"/>
      <c r="B183" s="383"/>
      <c r="C183" s="378"/>
      <c r="D183" s="379"/>
      <c r="E183" s="380">
        <v>845</v>
      </c>
      <c r="F183" s="204">
        <v>845</v>
      </c>
    </row>
    <row r="184" spans="1:6" x14ac:dyDescent="0.3">
      <c r="A184" s="382"/>
      <c r="B184" s="383"/>
      <c r="C184" s="378"/>
      <c r="D184" s="379"/>
      <c r="E184" s="380"/>
      <c r="F184" s="204">
        <v>856</v>
      </c>
    </row>
    <row r="185" spans="1:6" x14ac:dyDescent="0.3">
      <c r="A185" s="382"/>
      <c r="B185" s="383"/>
      <c r="C185" s="378"/>
      <c r="D185" s="379">
        <v>866</v>
      </c>
      <c r="E185" s="380">
        <v>866</v>
      </c>
      <c r="F185" s="204">
        <v>866</v>
      </c>
    </row>
    <row r="186" spans="1:6" x14ac:dyDescent="0.3">
      <c r="A186" s="382"/>
      <c r="B186" s="383"/>
      <c r="C186" s="378"/>
      <c r="D186" s="379"/>
      <c r="E186" s="380"/>
      <c r="F186" s="204">
        <v>876</v>
      </c>
    </row>
    <row r="187" spans="1:6" x14ac:dyDescent="0.3">
      <c r="A187" s="382"/>
      <c r="B187" s="383"/>
      <c r="C187" s="378"/>
      <c r="D187" s="379"/>
      <c r="E187" s="380">
        <v>887</v>
      </c>
      <c r="F187" s="204">
        <v>887</v>
      </c>
    </row>
    <row r="188" spans="1:6" x14ac:dyDescent="0.3">
      <c r="A188" s="382"/>
      <c r="B188" s="383"/>
      <c r="C188" s="378"/>
      <c r="D188" s="379"/>
      <c r="E188" s="380"/>
      <c r="F188" s="204">
        <v>898</v>
      </c>
    </row>
    <row r="189" spans="1:6" x14ac:dyDescent="0.3">
      <c r="A189" s="382"/>
      <c r="B189" s="383"/>
      <c r="C189" s="378">
        <v>910</v>
      </c>
      <c r="D189" s="379">
        <v>909</v>
      </c>
      <c r="E189" s="380">
        <v>909</v>
      </c>
      <c r="F189" s="204">
        <v>909</v>
      </c>
    </row>
    <row r="190" spans="1:6" x14ac:dyDescent="0.3">
      <c r="A190" s="382"/>
      <c r="B190" s="383"/>
      <c r="C190" s="378"/>
      <c r="D190" s="379"/>
      <c r="E190" s="380"/>
      <c r="F190" s="204">
        <v>920</v>
      </c>
    </row>
    <row r="191" spans="1:6" x14ac:dyDescent="0.3">
      <c r="A191" s="382"/>
      <c r="B191" s="383"/>
      <c r="C191" s="378"/>
      <c r="D191" s="379"/>
      <c r="E191" s="380">
        <v>931</v>
      </c>
      <c r="F191" s="204">
        <v>931</v>
      </c>
    </row>
    <row r="192" spans="1:6" x14ac:dyDescent="0.3">
      <c r="A192" s="382"/>
      <c r="B192" s="383"/>
      <c r="C192" s="378"/>
      <c r="D192" s="379"/>
      <c r="E192" s="380"/>
      <c r="F192" s="204">
        <v>942</v>
      </c>
    </row>
    <row r="193" spans="1:7" x14ac:dyDescent="0.3">
      <c r="A193" s="382"/>
      <c r="B193" s="383"/>
      <c r="C193" s="378"/>
      <c r="D193" s="379">
        <v>953</v>
      </c>
      <c r="E193" s="380">
        <v>953</v>
      </c>
      <c r="F193" s="204">
        <v>953</v>
      </c>
    </row>
    <row r="194" spans="1:7" x14ac:dyDescent="0.3">
      <c r="A194" s="382"/>
      <c r="B194" s="383"/>
      <c r="C194" s="378"/>
      <c r="D194" s="379"/>
      <c r="E194" s="380"/>
      <c r="F194" s="204">
        <v>965</v>
      </c>
    </row>
    <row r="195" spans="1:7" x14ac:dyDescent="0.3">
      <c r="A195" s="382"/>
      <c r="B195" s="383"/>
      <c r="C195" s="378"/>
      <c r="D195" s="379"/>
      <c r="E195" s="380">
        <v>976</v>
      </c>
      <c r="F195" s="204">
        <v>976</v>
      </c>
    </row>
    <row r="196" spans="1:7" x14ac:dyDescent="0.3">
      <c r="A196" s="382"/>
      <c r="B196" s="383"/>
      <c r="C196" s="378"/>
      <c r="D196" s="379"/>
      <c r="E196" s="380"/>
      <c r="F196" s="204">
        <v>988</v>
      </c>
    </row>
    <row r="197" spans="1:7" x14ac:dyDescent="0.3">
      <c r="A197" s="206">
        <v>1000</v>
      </c>
      <c r="B197" s="207">
        <v>1000</v>
      </c>
      <c r="C197" s="208">
        <v>1000</v>
      </c>
      <c r="D197" s="209">
        <v>1000</v>
      </c>
      <c r="E197" s="210">
        <v>1000</v>
      </c>
      <c r="F197" s="211">
        <v>1000</v>
      </c>
      <c r="G197" s="212" t="s">
        <v>422</v>
      </c>
    </row>
  </sheetData>
  <sheetProtection sheet="1" objects="1" scenarios="1"/>
  <mergeCells count="187">
    <mergeCell ref="E177:E178"/>
    <mergeCell ref="D189:D192"/>
    <mergeCell ref="E189:E190"/>
    <mergeCell ref="E191:E192"/>
    <mergeCell ref="D193:D196"/>
    <mergeCell ref="E193:E194"/>
    <mergeCell ref="E195:E196"/>
    <mergeCell ref="E179:E180"/>
    <mergeCell ref="B181:B196"/>
    <mergeCell ref="C181:C188"/>
    <mergeCell ref="D181:D184"/>
    <mergeCell ref="E181:E182"/>
    <mergeCell ref="E183:E184"/>
    <mergeCell ref="D185:D188"/>
    <mergeCell ref="E185:E186"/>
    <mergeCell ref="E187:E188"/>
    <mergeCell ref="C189:C196"/>
    <mergeCell ref="A165:A196"/>
    <mergeCell ref="B165:B180"/>
    <mergeCell ref="C165:C172"/>
    <mergeCell ref="D165:D168"/>
    <mergeCell ref="E165:E166"/>
    <mergeCell ref="B149:B164"/>
    <mergeCell ref="C149:C156"/>
    <mergeCell ref="D149:D152"/>
    <mergeCell ref="E149:E150"/>
    <mergeCell ref="E151:E152"/>
    <mergeCell ref="D153:D156"/>
    <mergeCell ref="E153:E154"/>
    <mergeCell ref="E155:E156"/>
    <mergeCell ref="C157:C164"/>
    <mergeCell ref="D157:D160"/>
    <mergeCell ref="E167:E168"/>
    <mergeCell ref="D169:D172"/>
    <mergeCell ref="E169:E170"/>
    <mergeCell ref="E171:E172"/>
    <mergeCell ref="C173:C180"/>
    <mergeCell ref="D173:D176"/>
    <mergeCell ref="E173:E174"/>
    <mergeCell ref="E175:E176"/>
    <mergeCell ref="D177:D180"/>
    <mergeCell ref="D141:D144"/>
    <mergeCell ref="E141:E142"/>
    <mergeCell ref="E143:E144"/>
    <mergeCell ref="D145:D148"/>
    <mergeCell ref="E145:E146"/>
    <mergeCell ref="E147:E148"/>
    <mergeCell ref="A133:A164"/>
    <mergeCell ref="B133:B148"/>
    <mergeCell ref="C133:C140"/>
    <mergeCell ref="D133:D136"/>
    <mergeCell ref="E133:E134"/>
    <mergeCell ref="E135:E136"/>
    <mergeCell ref="D137:D140"/>
    <mergeCell ref="E137:E138"/>
    <mergeCell ref="E139:E140"/>
    <mergeCell ref="C141:C148"/>
    <mergeCell ref="E157:E158"/>
    <mergeCell ref="E159:E160"/>
    <mergeCell ref="D161:D164"/>
    <mergeCell ref="E161:E162"/>
    <mergeCell ref="E163:E164"/>
    <mergeCell ref="E113:E114"/>
    <mergeCell ref="D125:D128"/>
    <mergeCell ref="E125:E126"/>
    <mergeCell ref="E127:E128"/>
    <mergeCell ref="D129:D132"/>
    <mergeCell ref="E129:E130"/>
    <mergeCell ref="E131:E132"/>
    <mergeCell ref="E115:E116"/>
    <mergeCell ref="B117:B132"/>
    <mergeCell ref="C117:C124"/>
    <mergeCell ref="D117:D120"/>
    <mergeCell ref="E117:E118"/>
    <mergeCell ref="E119:E120"/>
    <mergeCell ref="D121:D124"/>
    <mergeCell ref="E121:E122"/>
    <mergeCell ref="E123:E124"/>
    <mergeCell ref="C125:C132"/>
    <mergeCell ref="A101:A132"/>
    <mergeCell ref="B101:B116"/>
    <mergeCell ref="C101:C108"/>
    <mergeCell ref="D101:D104"/>
    <mergeCell ref="E101:E102"/>
    <mergeCell ref="B85:B100"/>
    <mergeCell ref="C85:C92"/>
    <mergeCell ref="D85:D88"/>
    <mergeCell ref="E85:E86"/>
    <mergeCell ref="E87:E88"/>
    <mergeCell ref="D89:D92"/>
    <mergeCell ref="E89:E90"/>
    <mergeCell ref="E91:E92"/>
    <mergeCell ref="C93:C100"/>
    <mergeCell ref="D93:D96"/>
    <mergeCell ref="E103:E104"/>
    <mergeCell ref="D105:D108"/>
    <mergeCell ref="E105:E106"/>
    <mergeCell ref="E107:E108"/>
    <mergeCell ref="C109:C116"/>
    <mergeCell ref="D109:D112"/>
    <mergeCell ref="E109:E110"/>
    <mergeCell ref="E111:E112"/>
    <mergeCell ref="D113:D116"/>
    <mergeCell ref="D77:D80"/>
    <mergeCell ref="E77:E78"/>
    <mergeCell ref="E79:E80"/>
    <mergeCell ref="D81:D84"/>
    <mergeCell ref="E81:E82"/>
    <mergeCell ref="E83:E84"/>
    <mergeCell ref="A69:A100"/>
    <mergeCell ref="B69:B84"/>
    <mergeCell ref="C69:C76"/>
    <mergeCell ref="D69:D72"/>
    <mergeCell ref="E69:E70"/>
    <mergeCell ref="E71:E72"/>
    <mergeCell ref="D73:D76"/>
    <mergeCell ref="E73:E74"/>
    <mergeCell ref="E75:E76"/>
    <mergeCell ref="C77:C84"/>
    <mergeCell ref="E93:E94"/>
    <mergeCell ref="E95:E96"/>
    <mergeCell ref="D97:D100"/>
    <mergeCell ref="E97:E98"/>
    <mergeCell ref="E99:E100"/>
    <mergeCell ref="E49:E50"/>
    <mergeCell ref="D61:D64"/>
    <mergeCell ref="E61:E62"/>
    <mergeCell ref="E63:E64"/>
    <mergeCell ref="D65:D68"/>
    <mergeCell ref="E65:E66"/>
    <mergeCell ref="E67:E68"/>
    <mergeCell ref="E51:E52"/>
    <mergeCell ref="B53:B68"/>
    <mergeCell ref="C53:C60"/>
    <mergeCell ref="D53:D56"/>
    <mergeCell ref="E53:E54"/>
    <mergeCell ref="E55:E56"/>
    <mergeCell ref="D57:D60"/>
    <mergeCell ref="E57:E58"/>
    <mergeCell ref="E59:E60"/>
    <mergeCell ref="C61:C68"/>
    <mergeCell ref="A37:A68"/>
    <mergeCell ref="B37:B52"/>
    <mergeCell ref="C37:C44"/>
    <mergeCell ref="D37:D40"/>
    <mergeCell ref="E37:E38"/>
    <mergeCell ref="B21:B36"/>
    <mergeCell ref="C21:C28"/>
    <mergeCell ref="D21:D24"/>
    <mergeCell ref="E21:E22"/>
    <mergeCell ref="E23:E24"/>
    <mergeCell ref="D25:D28"/>
    <mergeCell ref="E25:E26"/>
    <mergeCell ref="E27:E28"/>
    <mergeCell ref="C29:C36"/>
    <mergeCell ref="D29:D32"/>
    <mergeCell ref="E39:E40"/>
    <mergeCell ref="D41:D44"/>
    <mergeCell ref="E41:E42"/>
    <mergeCell ref="E43:E44"/>
    <mergeCell ref="C45:C52"/>
    <mergeCell ref="D45:D48"/>
    <mergeCell ref="E45:E46"/>
    <mergeCell ref="E47:E48"/>
    <mergeCell ref="D49:D52"/>
    <mergeCell ref="C13:C20"/>
    <mergeCell ref="D13:D16"/>
    <mergeCell ref="E13:E14"/>
    <mergeCell ref="E15:E16"/>
    <mergeCell ref="D17:D20"/>
    <mergeCell ref="E17:E18"/>
    <mergeCell ref="E19:E20"/>
    <mergeCell ref="A1:F1"/>
    <mergeCell ref="A5:A36"/>
    <mergeCell ref="B5:B20"/>
    <mergeCell ref="C5:C12"/>
    <mergeCell ref="D5:D8"/>
    <mergeCell ref="E5:E6"/>
    <mergeCell ref="E7:E8"/>
    <mergeCell ref="D9:D12"/>
    <mergeCell ref="E9:E10"/>
    <mergeCell ref="E11:E12"/>
    <mergeCell ref="E29:E30"/>
    <mergeCell ref="E31:E32"/>
    <mergeCell ref="D33:D36"/>
    <mergeCell ref="E33:E34"/>
    <mergeCell ref="E35:E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7213C-EB81-44CF-9757-6BC109954BCA}">
  <ds:schemaRef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3.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33</vt:i4>
      </vt:variant>
    </vt:vector>
  </HeadingPairs>
  <TitlesOfParts>
    <vt:vector size="42" baseType="lpstr">
      <vt:lpstr>Instructions</vt:lpstr>
      <vt:lpstr>Design Calculator</vt:lpstr>
      <vt:lpstr>Device Parmaters</vt:lpstr>
      <vt:lpstr>Equations</vt:lpstr>
      <vt:lpstr>Start_up</vt:lpstr>
      <vt:lpstr>SOA</vt:lpstr>
      <vt:lpstr>dv_dt_recommendations</vt:lpstr>
      <vt:lpstr>Cap Tables</vt:lpstr>
      <vt:lpstr>Res EIA Tables</vt:lpstr>
      <vt:lpstr>CLMAX</vt:lpstr>
      <vt:lpstr>CLMAX_Threshold</vt:lpstr>
      <vt:lpstr>CLMIN</vt:lpstr>
      <vt:lpstr>CLMIN_Threshold</vt:lpstr>
      <vt:lpstr>CLNOM</vt:lpstr>
      <vt:lpstr>CLNOM_Threshold</vt:lpstr>
      <vt:lpstr>COUTMAX</vt:lpstr>
      <vt:lpstr>FETPDISS</vt:lpstr>
      <vt:lpstr>I_Cout_ss</vt:lpstr>
      <vt:lpstr>Inrush_Current</vt:lpstr>
      <vt:lpstr>IOUTMAX</vt:lpstr>
      <vt:lpstr>NUMFETS</vt:lpstr>
      <vt:lpstr>'Design Calculator'!Print_Area</vt:lpstr>
      <vt:lpstr>RDSON</vt:lpstr>
      <vt:lpstr>RIMON</vt:lpstr>
      <vt:lpstr>RLIM</vt:lpstr>
      <vt:lpstr>RPWR</vt:lpstr>
      <vt:lpstr>Rs</vt:lpstr>
      <vt:lpstr>RsEFF</vt:lpstr>
      <vt:lpstr>RSNS</vt:lpstr>
      <vt:lpstr>ss_rate</vt:lpstr>
      <vt:lpstr>TAMB</vt:lpstr>
      <vt:lpstr>ThetaJA</vt:lpstr>
      <vt:lpstr>TINSERTMAX</vt:lpstr>
      <vt:lpstr>TINSERTMIN</vt:lpstr>
      <vt:lpstr>TJ</vt:lpstr>
      <vt:lpstr>TJMAX</vt:lpstr>
      <vt:lpstr>TSTARTMAX</vt:lpstr>
      <vt:lpstr>TSTARTMIN</vt:lpstr>
      <vt:lpstr>TSTARTNOM</vt:lpstr>
      <vt:lpstr>VINMAX</vt:lpstr>
      <vt:lpstr>VINMIN</vt:lpstr>
      <vt:lpstr>VINNOM</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LM749X0 ID Design Calculator</dc:title>
  <dc:creator>praveen@ti.com</dc:creator>
  <cp:lastModifiedBy>GD, Praveen</cp:lastModifiedBy>
  <cp:lastPrinted>2013-08-26T22:42:43Z</cp:lastPrinted>
  <dcterms:created xsi:type="dcterms:W3CDTF">2009-04-21T16:00:33Z</dcterms:created>
  <dcterms:modified xsi:type="dcterms:W3CDTF">2023-08-05T05:42:49Z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