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0508387\TI Drive\Active\Global Dimming\E2E &amp; Support\250917 LP8868V Calculator\"/>
    </mc:Choice>
  </mc:AlternateContent>
  <xr:revisionPtr revIDLastSave="0" documentId="13_ncr:1_{7B7D89F0-1899-4C87-BCE5-31B7E9C88D4A}" xr6:coauthVersionLast="36" xr6:coauthVersionMax="36" xr10:uidLastSave="{00000000-0000-0000-0000-000000000000}"/>
  <workbookProtection workbookAlgorithmName="SHA-512" workbookHashValue="gxcVokFtCj42nE1+rcz+iEa+5SJxqz61BNWGJnLUSv3oMebR/1o3z0zHB8JkxzuKQ26HWXlNkXR3LyaIxoS/Yw==" workbookSaltValue="FOegxu15ikLL1IKRrSAU5w==" workbookSpinCount="100000" lockStructure="1"/>
  <bookViews>
    <workbookView xWindow="0" yWindow="0" windowWidth="19200" windowHeight="6930" xr2:uid="{A0D2D796-7855-42FD-9B36-A8EA37667F56}"/>
  </bookViews>
  <sheets>
    <sheet name="Main Table" sheetId="1" r:id="rId1"/>
    <sheet name="Sheet1" sheetId="9" state="hidden" r:id="rId2"/>
    <sheet name="Boost" sheetId="6" state="hidden" r:id="rId3"/>
    <sheet name="BuckBoost" sheetId="8" state="hidden" r:id="rId4"/>
    <sheet name="thermal foldback" sheetId="3" state="hidden" r:id="rId5"/>
    <sheet name="frequency setting" sheetId="4" state="hidden" r:id="rId6"/>
  </sheets>
  <externalReferences>
    <externalReference r:id="rId7"/>
    <externalReference r:id="rId8"/>
  </externalReferences>
  <definedNames>
    <definedName name="boost_original">#REF!</definedName>
    <definedName name="boost_original1">#REF!</definedName>
    <definedName name="CD" localSheetId="2">Boost!#REF!</definedName>
    <definedName name="CD" localSheetId="3">BuckBoost!#REF!</definedName>
    <definedName name="CD">#REF!</definedName>
    <definedName name="Cdiode" localSheetId="3">BuckBoost!$F$15</definedName>
    <definedName name="Cdiode">#REF!</definedName>
    <definedName name="CDS" localSheetId="2">Boost!#REF!</definedName>
    <definedName name="CDS" localSheetId="3">BuckBoost!#REF!</definedName>
    <definedName name="CDS">#REF!</definedName>
    <definedName name="CGD" localSheetId="2">Boost!#REF!</definedName>
    <definedName name="CGD" localSheetId="3">BuckBoost!#REF!</definedName>
    <definedName name="CGD">#REF!</definedName>
    <definedName name="CGS" localSheetId="2">Boost!#REF!</definedName>
    <definedName name="CGS" localSheetId="3">BuckBoost!#REF!</definedName>
    <definedName name="CGS">#REF!</definedName>
    <definedName name="CM" localSheetId="2">Boost!$N$4</definedName>
    <definedName name="CM" localSheetId="3">BuckBoost!$N$4</definedName>
    <definedName name="CM">#REF!</definedName>
    <definedName name="D" localSheetId="2">Boost!$C$8</definedName>
    <definedName name="D" localSheetId="3">BuckBoost!$C$8</definedName>
    <definedName name="D">#REF!</definedName>
    <definedName name="D_bar">#REF!</definedName>
    <definedName name="D_ccm">#REF!</definedName>
    <definedName name="D1_" localSheetId="2">Boost!$H$6</definedName>
    <definedName name="D1_" localSheetId="3">BuckBoost!$H$6</definedName>
    <definedName name="D1_">#REF!</definedName>
    <definedName name="D1_DCM" localSheetId="2">Boost!$U$35</definedName>
    <definedName name="D1_DCM">#REF!</definedName>
    <definedName name="D2_" localSheetId="2">Boost!$H$8</definedName>
    <definedName name="D2_" localSheetId="3">BuckBoost!$H$8</definedName>
    <definedName name="D2_">#REF!</definedName>
    <definedName name="Dbar" localSheetId="2">Boost!$C$6</definedName>
    <definedName name="Dbar" localSheetId="3">BuckBoost!$C$6</definedName>
    <definedName name="Dbar">#REF!</definedName>
    <definedName name="Efficiency" localSheetId="2">Boost!#REF!</definedName>
    <definedName name="Efficiency" localSheetId="3">BuckBoost!#REF!</definedName>
    <definedName name="Efficiency">#REF!</definedName>
    <definedName name="ESR" localSheetId="2">Boost!#REF!</definedName>
    <definedName name="ESR" localSheetId="3">BuckBoost!#REF!</definedName>
    <definedName name="ESR">#REF!</definedName>
    <definedName name="ff">#REF!</definedName>
    <definedName name="FS" localSheetId="2">Boost!$K$4</definedName>
    <definedName name="FS" localSheetId="3">BuckBoost!$K$4</definedName>
    <definedName name="FS">#REF!</definedName>
    <definedName name="IB" localSheetId="2">Boost!#REF!</definedName>
    <definedName name="IB" localSheetId="3">BuckBoost!#REF!</definedName>
    <definedName name="IB">#REF!</definedName>
    <definedName name="IL" localSheetId="2">Boost!$C$7</definedName>
    <definedName name="IL" localSheetId="3">BuckBoost!$C$7</definedName>
    <definedName name="IL">#REF!</definedName>
    <definedName name="ILD" localSheetId="2">Boost!$H$7</definedName>
    <definedName name="ILD" localSheetId="3">BuckBoost!$H$7</definedName>
    <definedName name="ILD">#REF!</definedName>
    <definedName name="ILOAD" localSheetId="2">Boost!$I$4</definedName>
    <definedName name="ILOAD" localSheetId="3">BuckBoost!$I$4</definedName>
    <definedName name="ILOAD">#REF!</definedName>
    <definedName name="Iout">'Main Table'!$C$10</definedName>
    <definedName name="Iout_Full_Scale_total">'Main Table'!$C$8</definedName>
    <definedName name="IoutFS_string">'Main Table'!$C$6</definedName>
    <definedName name="Ipeak" localSheetId="2">Boost!$H$9</definedName>
    <definedName name="Ipeak" localSheetId="3">BuckBoost!$H$9</definedName>
    <definedName name="Ipeak">#REF!</definedName>
    <definedName name="Ipeak_ccm" localSheetId="2">Boost!$E$10</definedName>
    <definedName name="Ipeak_ccm" localSheetId="3">BuckBoost!$E$10</definedName>
    <definedName name="Ipeak_ccm">#REF!</definedName>
    <definedName name="Ipeak_dcm" localSheetId="2">Boost!$H$9</definedName>
    <definedName name="Ipeak_dcm">#REF!</definedName>
    <definedName name="Ipp" localSheetId="2">Boost!$C$9</definedName>
    <definedName name="Ipp" localSheetId="3">BuckBoost!$C$9</definedName>
    <definedName name="Ipp">#REF!</definedName>
    <definedName name="Irms">#REF!</definedName>
    <definedName name="Ivalley" localSheetId="2">Boost!$C$10</definedName>
    <definedName name="Ivalley" localSheetId="3">BuckBoost!$C$10</definedName>
    <definedName name="Ivalley">#REF!</definedName>
    <definedName name="Ivalley_ccm">#REF!</definedName>
    <definedName name="k" localSheetId="2">#REF!</definedName>
    <definedName name="k" localSheetId="3">#REF!</definedName>
    <definedName name="k">#REF!</definedName>
    <definedName name="L" localSheetId="2">Boost!$J$4</definedName>
    <definedName name="L" localSheetId="3">BuckBoost!$J$4</definedName>
    <definedName name="L">#REF!</definedName>
    <definedName name="LowSide_Cds" localSheetId="3">BuckBoost!$F$18</definedName>
    <definedName name="LowSide_Cds">#REF!</definedName>
    <definedName name="LowSide_Cgd" localSheetId="3">BuckBoost!$F$17</definedName>
    <definedName name="LowSide_Cgd">#REF!</definedName>
    <definedName name="LowSide_Cgs" localSheetId="3">BuckBoost!$F$16</definedName>
    <definedName name="LowSide_Cgs">#REF!</definedName>
    <definedName name="Mos_Off_time">#REF!</definedName>
    <definedName name="MOS_Off_time_s" localSheetId="2">Boost!$P$2</definedName>
    <definedName name="MOS_Off_time_s" localSheetId="3">BuckBoost!$P$2</definedName>
    <definedName name="MOS_Off_time_s">#REF!</definedName>
    <definedName name="MOS_On_time">#REF!</definedName>
    <definedName name="MOS_On_time_s" localSheetId="2">Boost!$P$4</definedName>
    <definedName name="MOS_On_time_s" localSheetId="3">BuckBoost!$P$4</definedName>
    <definedName name="MOS_On_time_s">#REF!</definedName>
    <definedName name="Nt">'[1]HV Buck'!$C$4</definedName>
    <definedName name="PB" localSheetId="2">Boost!#REF!</definedName>
    <definedName name="PB" localSheetId="3">BuckBoost!#REF!</definedName>
    <definedName name="PB">#REF!</definedName>
    <definedName name="PCD" localSheetId="2">Boost!#REF!</definedName>
    <definedName name="PCD" localSheetId="3">BuckBoost!#REF!</definedName>
    <definedName name="PCD">#REF!</definedName>
    <definedName name="PCDS" localSheetId="2">Boost!#REF!</definedName>
    <definedName name="PCDS" localSheetId="3">BuckBoost!#REF!</definedName>
    <definedName name="PCDS">#REF!</definedName>
    <definedName name="Pdiode" localSheetId="2">Boost!#REF!</definedName>
    <definedName name="Pdiode" localSheetId="3">BuckBoost!#REF!</definedName>
    <definedName name="Pdiode">#REF!</definedName>
    <definedName name="PESR" localSheetId="2">Boost!#REF!</definedName>
    <definedName name="PESR" localSheetId="3">BuckBoost!#REF!</definedName>
    <definedName name="PESR">#REF!</definedName>
    <definedName name="PGATE" localSheetId="2">Boost!#REF!</definedName>
    <definedName name="PGATE" localSheetId="3">BuckBoost!#REF!</definedName>
    <definedName name="PGATE">#REF!</definedName>
    <definedName name="PL" localSheetId="2">Boost!#REF!</definedName>
    <definedName name="PL" localSheetId="3">BuckBoost!#REF!</definedName>
    <definedName name="PL">#REF!</definedName>
    <definedName name="PLOSS" localSheetId="2">Boost!#REF!</definedName>
    <definedName name="PLOSS" localSheetId="3">BuckBoost!#REF!</definedName>
    <definedName name="PLOSS">#REF!</definedName>
    <definedName name="PMOS" localSheetId="2">Boost!#REF!</definedName>
    <definedName name="PMOS" localSheetId="3">BuckBoost!#REF!</definedName>
    <definedName name="PMOS">#REF!</definedName>
    <definedName name="POUT" localSheetId="2">Boost!#REF!</definedName>
    <definedName name="POUT" localSheetId="3">BuckBoost!#REF!</definedName>
    <definedName name="POUT">#REF!</definedName>
    <definedName name="PSW" localSheetId="2">Boost!#REF!</definedName>
    <definedName name="PSW" localSheetId="3">BuckBoost!#REF!</definedName>
    <definedName name="PSW">#REF!</definedName>
    <definedName name="Quiescent_current" localSheetId="3">BuckBoost!$F$19</definedName>
    <definedName name="Quiescent_current">#REF!</definedName>
    <definedName name="RD" localSheetId="2">Boost!$G$4</definedName>
    <definedName name="RD" localSheetId="3">BuckBoost!$G$4</definedName>
    <definedName name="RD">#REF!</definedName>
    <definedName name="RDS_ON" localSheetId="2">Boost!$E$4</definedName>
    <definedName name="RDS_ON" localSheetId="3">BuckBoost!$E$4</definedName>
    <definedName name="RDS_ON">#REF!</definedName>
    <definedName name="RL" localSheetId="2">Boost!$D$4</definedName>
    <definedName name="RL" localSheetId="3">BuckBoost!$D$4</definedName>
    <definedName name="RL">#REF!</definedName>
    <definedName name="Rsense" localSheetId="3">'[2]BuckBoost original'!$F$4</definedName>
    <definedName name="Rsense">#REF!</definedName>
    <definedName name="TS" localSheetId="2">Boost!$M$4</definedName>
    <definedName name="TS" localSheetId="3">BuckBoost!$M$4</definedName>
    <definedName name="TS">#REF!</definedName>
    <definedName name="TSWIR" localSheetId="2">Boost!#REF!</definedName>
    <definedName name="TSWIR" localSheetId="3">BuckBoost!#REF!</definedName>
    <definedName name="TSWIR">#REF!</definedName>
    <definedName name="TSWVF" localSheetId="2">Boost!#REF!</definedName>
    <definedName name="TSWVF" localSheetId="3">BuckBoost!#REF!</definedName>
    <definedName name="TSWVF">#REF!</definedName>
    <definedName name="VD" localSheetId="2">Boost!$H$4</definedName>
    <definedName name="VD" localSheetId="3">BuckBoost!$H$4</definedName>
    <definedName name="VD">#REF!</definedName>
    <definedName name="VGATE" localSheetId="2">Boost!#REF!</definedName>
    <definedName name="VGATE" localSheetId="3">BuckBoost!#REF!</definedName>
    <definedName name="VGATE">#REF!</definedName>
    <definedName name="Vhead_V" localSheetId="3">BuckBoost!$N$4</definedName>
    <definedName name="Vhead_V">#REF!</definedName>
    <definedName name="VIN" localSheetId="2">Boost!$B$4</definedName>
    <definedName name="VIN" localSheetId="3">BuckBoost!$B$4</definedName>
    <definedName name="VIN">#REF!</definedName>
    <definedName name="Vled">'Main Table'!$C$14</definedName>
    <definedName name="VO" localSheetId="2">Boost!$C$4</definedName>
    <definedName name="VO" localSheetId="3">BuckBoost!$C$4</definedName>
    <definedName name="V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8" l="1"/>
  <c r="R4" i="6"/>
  <c r="P6" i="9" l="1"/>
  <c r="P5" i="9"/>
  <c r="P4" i="9"/>
  <c r="P3" i="9"/>
  <c r="P2" i="9"/>
  <c r="H35" i="9" l="1"/>
  <c r="H36" i="9"/>
  <c r="H37" i="9"/>
  <c r="H38" i="9"/>
  <c r="H39" i="9"/>
  <c r="H40" i="9"/>
  <c r="H34" i="9"/>
  <c r="E40" i="9"/>
  <c r="E39" i="9"/>
  <c r="E38" i="9"/>
  <c r="E37" i="9"/>
  <c r="E36" i="9"/>
  <c r="E35" i="9"/>
  <c r="E34" i="9"/>
  <c r="E31" i="9" l="1"/>
  <c r="E30" i="9"/>
  <c r="E29" i="9"/>
  <c r="E28" i="9"/>
  <c r="E27" i="9"/>
  <c r="E26" i="9"/>
  <c r="E25" i="9"/>
  <c r="E17" i="9" l="1"/>
  <c r="E16" i="9"/>
  <c r="E15" i="9"/>
  <c r="E14" i="9"/>
  <c r="I11" i="9"/>
  <c r="E11" i="9"/>
  <c r="E10" i="9"/>
  <c r="E9" i="9"/>
  <c r="E8" i="9"/>
  <c r="E7" i="9"/>
  <c r="E5" i="9"/>
  <c r="E4" i="9"/>
  <c r="E2" i="9"/>
  <c r="K4" i="8" l="1"/>
  <c r="J4" i="8"/>
  <c r="H4" i="8"/>
  <c r="F4" i="8"/>
  <c r="D4" i="8"/>
  <c r="B4" i="8"/>
  <c r="O4" i="8"/>
  <c r="O4" i="6"/>
  <c r="D18" i="8" l="1"/>
  <c r="D17" i="8"/>
  <c r="D16" i="8"/>
  <c r="K14" i="8"/>
  <c r="K9" i="8"/>
  <c r="M4" i="8"/>
  <c r="N10" i="8" s="1"/>
  <c r="O10" i="8" s="1"/>
  <c r="K4" i="6"/>
  <c r="J4" i="6"/>
  <c r="H4" i="6"/>
  <c r="F4" i="6"/>
  <c r="D4" i="6"/>
  <c r="B4" i="6"/>
  <c r="N13" i="8" l="1"/>
  <c r="O13" i="8" s="1"/>
  <c r="N7" i="8"/>
  <c r="O7" i="8" s="1"/>
  <c r="G17" i="6" l="1"/>
  <c r="G16" i="6"/>
  <c r="G15" i="6"/>
  <c r="K14" i="6"/>
  <c r="C14" i="6"/>
  <c r="K9" i="6"/>
  <c r="M4" i="6"/>
  <c r="N7" i="6" s="1"/>
  <c r="O7" i="6" s="1"/>
  <c r="E20" i="4"/>
  <c r="F20" i="4" s="1"/>
  <c r="D19" i="1" s="1"/>
  <c r="Z3" i="3"/>
  <c r="Z5" i="3" s="1"/>
  <c r="D36" i="1" s="1"/>
  <c r="R5" i="3"/>
  <c r="S5" i="3"/>
  <c r="T5" i="3"/>
  <c r="U5" i="3"/>
  <c r="V5" i="3"/>
  <c r="W5" i="3"/>
  <c r="X5" i="3"/>
  <c r="Q5" i="3"/>
  <c r="D20" i="1"/>
  <c r="D16" i="1"/>
  <c r="C4" i="8" s="1"/>
  <c r="D10" i="1"/>
  <c r="D13" i="1" s="1"/>
  <c r="I4" i="8" s="1"/>
  <c r="S48" i="8" l="1"/>
  <c r="V48" i="8" s="1"/>
  <c r="S40" i="8"/>
  <c r="U26" i="8"/>
  <c r="U18" i="8"/>
  <c r="U8" i="8"/>
  <c r="S47" i="8"/>
  <c r="V47" i="8" s="1"/>
  <c r="S39" i="8"/>
  <c r="V39" i="8" s="1"/>
  <c r="U25" i="8"/>
  <c r="U13" i="8"/>
  <c r="U7" i="8"/>
  <c r="S46" i="8"/>
  <c r="V46" i="8" s="1"/>
  <c r="S38" i="8"/>
  <c r="V38" i="8" s="1"/>
  <c r="U24" i="8"/>
  <c r="U17" i="8"/>
  <c r="K13" i="8"/>
  <c r="U6" i="8"/>
  <c r="U14" i="8"/>
  <c r="S45" i="8"/>
  <c r="S37" i="8"/>
  <c r="V37" i="8" s="1"/>
  <c r="U23" i="8"/>
  <c r="U12" i="8"/>
  <c r="S44" i="8"/>
  <c r="V44" i="8" s="1"/>
  <c r="S36" i="8"/>
  <c r="V36" i="8" s="1"/>
  <c r="U22" i="8"/>
  <c r="U16" i="8"/>
  <c r="U11" i="8"/>
  <c r="S33" i="8"/>
  <c r="V33" i="8" s="1"/>
  <c r="S43" i="8"/>
  <c r="V43" i="8" s="1"/>
  <c r="S35" i="8"/>
  <c r="V35" i="8" s="1"/>
  <c r="U21" i="8"/>
  <c r="U10" i="8"/>
  <c r="U19" i="8"/>
  <c r="S42" i="8"/>
  <c r="V42" i="8" s="1"/>
  <c r="S34" i="8"/>
  <c r="V34" i="8" s="1"/>
  <c r="U20" i="8"/>
  <c r="U15" i="8"/>
  <c r="U9" i="8"/>
  <c r="S41" i="8"/>
  <c r="V41" i="8" s="1"/>
  <c r="V6" i="8"/>
  <c r="T33" i="8"/>
  <c r="U33" i="8" s="1"/>
  <c r="K7" i="8"/>
  <c r="V40" i="8"/>
  <c r="V45" i="8"/>
  <c r="D31" i="1"/>
  <c r="C4" i="6"/>
  <c r="C19" i="6" s="1"/>
  <c r="D26" i="1"/>
  <c r="I4" i="6"/>
  <c r="N10" i="6"/>
  <c r="O10" i="6" s="1"/>
  <c r="N13" i="6"/>
  <c r="O13" i="6" s="1"/>
  <c r="W33" i="8" l="1"/>
  <c r="X33" i="8" s="1"/>
  <c r="K7" i="6"/>
  <c r="W6" i="8"/>
  <c r="Y6" i="8" s="1"/>
  <c r="R36" i="6"/>
  <c r="T6" i="6"/>
  <c r="K13" i="6"/>
  <c r="X6" i="8" l="1"/>
  <c r="Z33" i="8"/>
  <c r="AA33" i="8" s="1"/>
  <c r="U6" i="6"/>
  <c r="V6" i="6" s="1"/>
  <c r="Y6" i="6" s="1"/>
  <c r="T36" i="6"/>
  <c r="S36" i="6"/>
  <c r="U36" i="6" l="1"/>
  <c r="V36" i="6" s="1"/>
  <c r="W36" i="6" s="1"/>
  <c r="X36" i="6" s="1"/>
  <c r="Y33" i="8"/>
  <c r="AB33" i="8" s="1"/>
  <c r="AD33" i="8" s="1"/>
  <c r="AA6" i="8"/>
  <c r="Z6" i="8"/>
  <c r="AB6" i="8" s="1"/>
  <c r="AA6" i="6"/>
  <c r="Z6" i="6"/>
  <c r="AB6" i="6"/>
  <c r="W6" i="6"/>
  <c r="X6" i="6" s="1"/>
  <c r="AC33" i="8" l="1"/>
  <c r="AH33" i="8" s="1"/>
  <c r="Y36" i="6"/>
  <c r="Z36" i="6" s="1"/>
  <c r="AD36" i="6"/>
  <c r="AA36" i="6"/>
  <c r="AC36" i="6"/>
  <c r="AB36" i="6"/>
  <c r="AD6" i="8"/>
  <c r="AC6" i="8"/>
  <c r="AE6" i="8"/>
  <c r="AF6" i="8"/>
  <c r="T7" i="6"/>
  <c r="U7" i="6" s="1"/>
  <c r="V7" i="6" s="1"/>
  <c r="Y7" i="6" s="1"/>
  <c r="AE33" i="8" l="1"/>
  <c r="AF33" i="8"/>
  <c r="AG33" i="8"/>
  <c r="R37" i="6"/>
  <c r="T37" i="6" s="1"/>
  <c r="V7" i="8"/>
  <c r="W7" i="8" s="1"/>
  <c r="Y7" i="8" s="1"/>
  <c r="Z7" i="6"/>
  <c r="W7" i="6"/>
  <c r="X7" i="6" s="1"/>
  <c r="AB7" i="6"/>
  <c r="AA7" i="6"/>
  <c r="T34" i="8" l="1"/>
  <c r="U34" i="8" s="1"/>
  <c r="W34" i="8" s="1"/>
  <c r="S37" i="6"/>
  <c r="U37" i="6" s="1"/>
  <c r="V37" i="6" s="1"/>
  <c r="T8" i="6"/>
  <c r="U8" i="6" s="1"/>
  <c r="V8" i="6" s="1"/>
  <c r="W8" i="6" s="1"/>
  <c r="X8" i="6" s="1"/>
  <c r="X7" i="8"/>
  <c r="Z7" i="8" s="1"/>
  <c r="AB7" i="8" s="1"/>
  <c r="X34" i="8" l="1"/>
  <c r="Z34" i="8" s="1"/>
  <c r="AA34" i="8" s="1"/>
  <c r="AA8" i="6"/>
  <c r="Y8" i="6"/>
  <c r="Z8" i="6"/>
  <c r="AA7" i="8"/>
  <c r="AE7" i="8" s="1"/>
  <c r="AB8" i="6"/>
  <c r="W37" i="6"/>
  <c r="X37" i="6" s="1"/>
  <c r="AC37" i="6"/>
  <c r="Y37" i="6"/>
  <c r="Z37" i="6" s="1"/>
  <c r="AA37" i="6"/>
  <c r="Y34" i="8" l="1"/>
  <c r="AC34" i="8" s="1"/>
  <c r="AE34" i="8" s="1"/>
  <c r="AF7" i="8"/>
  <c r="AC7" i="8"/>
  <c r="AD7" i="8"/>
  <c r="T9" i="6"/>
  <c r="U9" i="6" s="1"/>
  <c r="V9" i="6" s="1"/>
  <c r="W9" i="6" s="1"/>
  <c r="X9" i="6" s="1"/>
  <c r="AB37" i="6"/>
  <c r="AD37" i="6"/>
  <c r="AG34" i="8" l="1"/>
  <c r="AH34" i="8"/>
  <c r="AB34" i="8"/>
  <c r="AD34" i="8" s="1"/>
  <c r="AF34" i="8"/>
  <c r="V8" i="8"/>
  <c r="W8" i="8" s="1"/>
  <c r="Y8" i="8" s="1"/>
  <c r="AB9" i="6"/>
  <c r="Z9" i="6"/>
  <c r="Y9" i="6"/>
  <c r="AA9" i="6"/>
  <c r="R38" i="6"/>
  <c r="T38" i="6" s="1"/>
  <c r="T35" i="8" l="1"/>
  <c r="U35" i="8" s="1"/>
  <c r="W35" i="8" s="1"/>
  <c r="X35" i="8" s="1"/>
  <c r="Z35" i="8" s="1"/>
  <c r="AA35" i="8" s="1"/>
  <c r="X8" i="8"/>
  <c r="Z8" i="8" s="1"/>
  <c r="AB8" i="8" s="1"/>
  <c r="T10" i="6"/>
  <c r="U10" i="6" s="1"/>
  <c r="V10" i="6" s="1"/>
  <c r="W10" i="6" s="1"/>
  <c r="X10" i="6" s="1"/>
  <c r="S38" i="6"/>
  <c r="U38" i="6" s="1"/>
  <c r="AA8" i="8" l="1"/>
  <c r="AE8" i="8" s="1"/>
  <c r="Y10" i="6"/>
  <c r="Z10" i="6"/>
  <c r="AB10" i="6"/>
  <c r="AA10" i="6"/>
  <c r="Y35" i="8"/>
  <c r="AC35" i="8" s="1"/>
  <c r="V38" i="6"/>
  <c r="AC8" i="8" l="1"/>
  <c r="AD8" i="8"/>
  <c r="AF8" i="8"/>
  <c r="T11" i="6"/>
  <c r="U11" i="6" s="1"/>
  <c r="V11" i="6" s="1"/>
  <c r="Z11" i="6" s="1"/>
  <c r="AB35" i="8"/>
  <c r="AD35" i="8" s="1"/>
  <c r="AH35" i="8"/>
  <c r="AG35" i="8"/>
  <c r="AF35" i="8"/>
  <c r="AE35" i="8"/>
  <c r="W38" i="6"/>
  <c r="X38" i="6" s="1"/>
  <c r="Y38" i="6"/>
  <c r="Z38" i="6" s="1"/>
  <c r="AC38" i="6"/>
  <c r="AA38" i="6"/>
  <c r="V9" i="8" l="1"/>
  <c r="W9" i="8" s="1"/>
  <c r="Y9" i="8" s="1"/>
  <c r="W11" i="6"/>
  <c r="X11" i="6" s="1"/>
  <c r="AA11" i="6"/>
  <c r="AB11" i="6"/>
  <c r="Y11" i="6"/>
  <c r="T36" i="8"/>
  <c r="U36" i="8" s="1"/>
  <c r="W36" i="8" s="1"/>
  <c r="AB38" i="6"/>
  <c r="AD38" i="6"/>
  <c r="T12" i="6" l="1"/>
  <c r="U12" i="6" s="1"/>
  <c r="V12" i="6" s="1"/>
  <c r="Y12" i="6" s="1"/>
  <c r="X9" i="8"/>
  <c r="X36" i="8"/>
  <c r="Z36" i="8" s="1"/>
  <c r="AA36" i="8" s="1"/>
  <c r="R39" i="6"/>
  <c r="T39" i="6" s="1"/>
  <c r="W12" i="6" l="1"/>
  <c r="X12" i="6" s="1"/>
  <c r="Z12" i="6"/>
  <c r="AA12" i="6"/>
  <c r="AB12" i="6"/>
  <c r="Z9" i="8"/>
  <c r="AB9" i="8" s="1"/>
  <c r="AA9" i="8"/>
  <c r="Y36" i="8"/>
  <c r="AC36" i="8" s="1"/>
  <c r="S39" i="6"/>
  <c r="U39" i="6" s="1"/>
  <c r="T13" i="6" l="1"/>
  <c r="U13" i="6" s="1"/>
  <c r="V13" i="6" s="1"/>
  <c r="AA13" i="6" s="1"/>
  <c r="AC9" i="8"/>
  <c r="AD9" i="8"/>
  <c r="AE9" i="8"/>
  <c r="AF9" i="8"/>
  <c r="AB36" i="8"/>
  <c r="AD36" i="8" s="1"/>
  <c r="AH36" i="8"/>
  <c r="AG36" i="8"/>
  <c r="AF36" i="8"/>
  <c r="AE36" i="8"/>
  <c r="V39" i="6"/>
  <c r="AB13" i="6" l="1"/>
  <c r="W13" i="6"/>
  <c r="X13" i="6" s="1"/>
  <c r="Z13" i="6"/>
  <c r="Y13" i="6"/>
  <c r="V10" i="8"/>
  <c r="W10" i="8" s="1"/>
  <c r="Y10" i="8" s="1"/>
  <c r="T37" i="8"/>
  <c r="U37" i="8" s="1"/>
  <c r="W37" i="8" s="1"/>
  <c r="X37" i="8" s="1"/>
  <c r="W39" i="6"/>
  <c r="X39" i="6" s="1"/>
  <c r="AA39" i="6"/>
  <c r="AC39" i="6"/>
  <c r="Y39" i="6"/>
  <c r="Z39" i="6" s="1"/>
  <c r="T14" i="6" l="1"/>
  <c r="U14" i="6" s="1"/>
  <c r="V14" i="6" s="1"/>
  <c r="Y14" i="6" s="1"/>
  <c r="X10" i="8"/>
  <c r="Z37" i="8"/>
  <c r="AA37" i="8" s="1"/>
  <c r="AD39" i="6"/>
  <c r="AB39" i="6"/>
  <c r="W14" i="6" l="1"/>
  <c r="X14" i="6" s="1"/>
  <c r="AB14" i="6"/>
  <c r="AA14" i="6"/>
  <c r="Z14" i="6"/>
  <c r="AA10" i="8"/>
  <c r="Z10" i="8"/>
  <c r="AB10" i="8" s="1"/>
  <c r="Y37" i="8"/>
  <c r="AC37" i="8" s="1"/>
  <c r="R40" i="6"/>
  <c r="T40" i="6" s="1"/>
  <c r="T15" i="6" l="1"/>
  <c r="C7" i="6" s="1"/>
  <c r="AD10" i="8"/>
  <c r="AE10" i="8"/>
  <c r="AF10" i="8"/>
  <c r="AC10" i="8"/>
  <c r="AB37" i="8"/>
  <c r="AD37" i="8" s="1"/>
  <c r="AH37" i="8"/>
  <c r="AG37" i="8"/>
  <c r="AF37" i="8"/>
  <c r="AE37" i="8"/>
  <c r="S40" i="6"/>
  <c r="U40" i="6" s="1"/>
  <c r="U15" i="6" l="1"/>
  <c r="V15" i="6" s="1"/>
  <c r="W15" i="6" s="1"/>
  <c r="X15" i="6" s="1"/>
  <c r="V11" i="8"/>
  <c r="W11" i="8" s="1"/>
  <c r="Y11" i="8" s="1"/>
  <c r="T38" i="8"/>
  <c r="U38" i="8" s="1"/>
  <c r="W38" i="8" s="1"/>
  <c r="X38" i="8" s="1"/>
  <c r="V40" i="6"/>
  <c r="AA15" i="6" l="1"/>
  <c r="C6" i="6"/>
  <c r="E12" i="6" s="1"/>
  <c r="Z15" i="6"/>
  <c r="Y15" i="6"/>
  <c r="AB15" i="6"/>
  <c r="C9" i="6"/>
  <c r="C12" i="6" s="1"/>
  <c r="X11" i="8"/>
  <c r="Z11" i="8" s="1"/>
  <c r="AB11" i="8" s="1"/>
  <c r="Z38" i="8"/>
  <c r="AA38" i="8" s="1"/>
  <c r="W40" i="6"/>
  <c r="X40" i="6" s="1"/>
  <c r="AA40" i="6"/>
  <c r="AC40" i="6"/>
  <c r="Y40" i="6"/>
  <c r="Z40" i="6" s="1"/>
  <c r="C8" i="6" l="1"/>
  <c r="C20" i="6" s="1"/>
  <c r="T16" i="6"/>
  <c r="U16" i="6" s="1"/>
  <c r="V16" i="6" s="1"/>
  <c r="Y16" i="6" s="1"/>
  <c r="AA16" i="6"/>
  <c r="E10" i="6"/>
  <c r="E9" i="6"/>
  <c r="C10" i="6"/>
  <c r="C16" i="6"/>
  <c r="C17" i="6" s="1"/>
  <c r="C15" i="6"/>
  <c r="AA11" i="8"/>
  <c r="AC11" i="8" s="1"/>
  <c r="Y38" i="8"/>
  <c r="AC38" i="8" s="1"/>
  <c r="AB40" i="6"/>
  <c r="AD40" i="6"/>
  <c r="AB16" i="6" l="1"/>
  <c r="Z16" i="6"/>
  <c r="W16" i="6"/>
  <c r="X16" i="6" s="1"/>
  <c r="T17" i="6" s="1"/>
  <c r="U17" i="6" s="1"/>
  <c r="V17" i="6" s="1"/>
  <c r="AB17" i="6" s="1"/>
  <c r="P12" i="6"/>
  <c r="P7" i="6"/>
  <c r="P13" i="6"/>
  <c r="P10" i="6"/>
  <c r="P9" i="6"/>
  <c r="N4" i="6"/>
  <c r="AF11" i="8"/>
  <c r="AD11" i="8"/>
  <c r="AE11" i="8"/>
  <c r="AB38" i="8"/>
  <c r="AD38" i="8" s="1"/>
  <c r="AH38" i="8"/>
  <c r="AG38" i="8"/>
  <c r="AE38" i="8"/>
  <c r="AF38" i="8"/>
  <c r="R41" i="6"/>
  <c r="S41" i="6" s="1"/>
  <c r="V12" i="8" l="1"/>
  <c r="W12" i="8" s="1"/>
  <c r="Y12" i="8" s="1"/>
  <c r="T39" i="8"/>
  <c r="U39" i="8" s="1"/>
  <c r="W39" i="8" s="1"/>
  <c r="X39" i="8" s="1"/>
  <c r="Z39" i="8" s="1"/>
  <c r="AA39" i="8" s="1"/>
  <c r="T41" i="6"/>
  <c r="U41" i="6" s="1"/>
  <c r="V41" i="6" s="1"/>
  <c r="W17" i="6"/>
  <c r="X17" i="6" s="1"/>
  <c r="Y17" i="6"/>
  <c r="Z17" i="6"/>
  <c r="AA17" i="6"/>
  <c r="X12" i="8" l="1"/>
  <c r="Z12" i="8" s="1"/>
  <c r="AB12" i="8" s="1"/>
  <c r="Y39" i="8"/>
  <c r="AC39" i="8" s="1"/>
  <c r="T18" i="6"/>
  <c r="W41" i="6"/>
  <c r="X41" i="6" s="1"/>
  <c r="Y41" i="6"/>
  <c r="Z41" i="6" s="1"/>
  <c r="AA41" i="6"/>
  <c r="AC41" i="6"/>
  <c r="AA12" i="8" l="1"/>
  <c r="AC12" i="8" s="1"/>
  <c r="AB39" i="8"/>
  <c r="AD39" i="8" s="1"/>
  <c r="AB41" i="6"/>
  <c r="AH39" i="8"/>
  <c r="AG39" i="8"/>
  <c r="AF39" i="8"/>
  <c r="AE39" i="8"/>
  <c r="AD41" i="6"/>
  <c r="U18" i="6"/>
  <c r="V18" i="6" s="1"/>
  <c r="Z18" i="6" s="1"/>
  <c r="AF12" i="8" l="1"/>
  <c r="AD12" i="8"/>
  <c r="AE12" i="8"/>
  <c r="R42" i="6"/>
  <c r="T42" i="6" s="1"/>
  <c r="T40" i="8"/>
  <c r="U40" i="8" s="1"/>
  <c r="W40" i="8" s="1"/>
  <c r="X40" i="8" s="1"/>
  <c r="AA18" i="6"/>
  <c r="Y18" i="6"/>
  <c r="W18" i="6"/>
  <c r="X18" i="6" s="1"/>
  <c r="AB18" i="6"/>
  <c r="V13" i="8" l="1"/>
  <c r="W13" i="8" s="1"/>
  <c r="Y13" i="8" s="1"/>
  <c r="S42" i="6"/>
  <c r="U42" i="6" s="1"/>
  <c r="V42" i="6" s="1"/>
  <c r="Z40" i="8"/>
  <c r="AA40" i="8" s="1"/>
  <c r="T19" i="6"/>
  <c r="U19" i="6" s="1"/>
  <c r="V19" i="6" s="1"/>
  <c r="W19" i="6" s="1"/>
  <c r="X19" i="6" s="1"/>
  <c r="X13" i="8" l="1"/>
  <c r="AA13" i="8" s="1"/>
  <c r="Y40" i="8"/>
  <c r="AC40" i="8" s="1"/>
  <c r="Y19" i="6"/>
  <c r="Z19" i="6"/>
  <c r="AA19" i="6"/>
  <c r="W42" i="6"/>
  <c r="X42" i="6" s="1"/>
  <c r="AC42" i="6"/>
  <c r="AA42" i="6"/>
  <c r="Y42" i="6"/>
  <c r="Z42" i="6" s="1"/>
  <c r="AB19" i="6"/>
  <c r="Z13" i="8" l="1"/>
  <c r="AB13" i="8" s="1"/>
  <c r="AD13" i="8"/>
  <c r="AC13" i="8"/>
  <c r="AE13" i="8"/>
  <c r="AF13" i="8"/>
  <c r="AB40" i="8"/>
  <c r="AD40" i="8" s="1"/>
  <c r="T20" i="6"/>
  <c r="U20" i="6" s="1"/>
  <c r="V20" i="6" s="1"/>
  <c r="AB20" i="6" s="1"/>
  <c r="AH40" i="8"/>
  <c r="AG40" i="8"/>
  <c r="AE40" i="8"/>
  <c r="AF40" i="8"/>
  <c r="AB42" i="6"/>
  <c r="AD42" i="6"/>
  <c r="V14" i="8" l="1"/>
  <c r="T41" i="8"/>
  <c r="U41" i="8" s="1"/>
  <c r="W41" i="8" s="1"/>
  <c r="X41" i="8" s="1"/>
  <c r="R43" i="6"/>
  <c r="T43" i="6" s="1"/>
  <c r="Z20" i="6"/>
  <c r="W20" i="6"/>
  <c r="X20" i="6" s="1"/>
  <c r="Y20" i="6"/>
  <c r="AA20" i="6"/>
  <c r="W14" i="8" l="1"/>
  <c r="Y14" i="8" s="1"/>
  <c r="S43" i="6"/>
  <c r="U43" i="6" s="1"/>
  <c r="V43" i="6" s="1"/>
  <c r="Z41" i="8"/>
  <c r="AA41" i="8" s="1"/>
  <c r="T21" i="6"/>
  <c r="U21" i="6" s="1"/>
  <c r="V21" i="6" s="1"/>
  <c r="Z21" i="6" s="1"/>
  <c r="X14" i="8" l="1"/>
  <c r="AA14" i="8" s="1"/>
  <c r="Y41" i="8"/>
  <c r="AC41" i="8" s="1"/>
  <c r="Y21" i="6"/>
  <c r="W21" i="6"/>
  <c r="X21" i="6" s="1"/>
  <c r="AB21" i="6"/>
  <c r="AA21" i="6"/>
  <c r="W43" i="6"/>
  <c r="X43" i="6" s="1"/>
  <c r="Y43" i="6"/>
  <c r="Z43" i="6" s="1"/>
  <c r="AA43" i="6"/>
  <c r="AC43" i="6"/>
  <c r="Z14" i="8" l="1"/>
  <c r="AB14" i="8" s="1"/>
  <c r="AF14" i="8"/>
  <c r="AD14" i="8"/>
  <c r="AC14" i="8"/>
  <c r="AE14" i="8"/>
  <c r="AB41" i="8"/>
  <c r="AD41" i="8" s="1"/>
  <c r="AH41" i="8"/>
  <c r="AG41" i="8"/>
  <c r="AF41" i="8"/>
  <c r="AE41" i="8"/>
  <c r="T22" i="6"/>
  <c r="U22" i="6" s="1"/>
  <c r="V22" i="6" s="1"/>
  <c r="Z22" i="6" s="1"/>
  <c r="AB43" i="6"/>
  <c r="AD43" i="6"/>
  <c r="V15" i="8" l="1"/>
  <c r="W15" i="8" s="1"/>
  <c r="T42" i="8"/>
  <c r="U42" i="8" s="1"/>
  <c r="W42" i="8" s="1"/>
  <c r="X42" i="8" s="1"/>
  <c r="Z42" i="8" s="1"/>
  <c r="AA42" i="8" s="1"/>
  <c r="R44" i="6"/>
  <c r="S44" i="6" s="1"/>
  <c r="AB22" i="6"/>
  <c r="Y22" i="6"/>
  <c r="AA22" i="6"/>
  <c r="W22" i="6"/>
  <c r="X22" i="6" s="1"/>
  <c r="X15" i="8" l="1"/>
  <c r="Y15" i="8"/>
  <c r="C6" i="8"/>
  <c r="C8" i="8" s="1"/>
  <c r="Y42" i="8"/>
  <c r="AC42" i="8" s="1"/>
  <c r="T44" i="6"/>
  <c r="U44" i="6" s="1"/>
  <c r="V44" i="6" s="1"/>
  <c r="T23" i="6"/>
  <c r="AA15" i="8" l="1"/>
  <c r="AD15" i="8" s="1"/>
  <c r="C9" i="8"/>
  <c r="Z15" i="8"/>
  <c r="AB15" i="8" s="1"/>
  <c r="AB42" i="8"/>
  <c r="AD42" i="8" s="1"/>
  <c r="AH42" i="8"/>
  <c r="AG42" i="8"/>
  <c r="AF42" i="8"/>
  <c r="AE42" i="8"/>
  <c r="U23" i="6"/>
  <c r="V23" i="6" s="1"/>
  <c r="Y23" i="6" s="1"/>
  <c r="W44" i="6"/>
  <c r="X44" i="6" s="1"/>
  <c r="AA44" i="6"/>
  <c r="Y44" i="6"/>
  <c r="Z44" i="6" s="1"/>
  <c r="AC44" i="6"/>
  <c r="AC15" i="8" l="1"/>
  <c r="AF15" i="8"/>
  <c r="AE15" i="8"/>
  <c r="T43" i="8"/>
  <c r="U43" i="8" s="1"/>
  <c r="W43" i="8" s="1"/>
  <c r="X43" i="8" s="1"/>
  <c r="AB23" i="6"/>
  <c r="AD44" i="6"/>
  <c r="W23" i="6"/>
  <c r="X23" i="6" s="1"/>
  <c r="AB44" i="6"/>
  <c r="Z23" i="6"/>
  <c r="AA23" i="6"/>
  <c r="V16" i="8" l="1"/>
  <c r="W16" i="8" s="1"/>
  <c r="Y16" i="8" s="1"/>
  <c r="Z43" i="8"/>
  <c r="AA43" i="8" s="1"/>
  <c r="R45" i="6"/>
  <c r="T45" i="6" s="1"/>
  <c r="T24" i="6"/>
  <c r="X16" i="8" l="1"/>
  <c r="Z16" i="8" s="1"/>
  <c r="AB16" i="8" s="1"/>
  <c r="Y43" i="8"/>
  <c r="AC43" i="8" s="1"/>
  <c r="S45" i="6"/>
  <c r="U45" i="6" s="1"/>
  <c r="H7" i="6"/>
  <c r="U24" i="6"/>
  <c r="V24" i="6" s="1"/>
  <c r="Y24" i="6" s="1"/>
  <c r="AA16" i="8" l="1"/>
  <c r="AD16" i="8" s="1"/>
  <c r="AB43" i="8"/>
  <c r="AD43" i="8" s="1"/>
  <c r="AH43" i="8"/>
  <c r="AG43" i="8"/>
  <c r="AF43" i="8"/>
  <c r="AE43" i="8"/>
  <c r="AA24" i="6"/>
  <c r="Z24" i="6"/>
  <c r="AB24" i="6"/>
  <c r="W24" i="6"/>
  <c r="X24" i="6" s="1"/>
  <c r="V45" i="6"/>
  <c r="H6" i="6"/>
  <c r="AC16" i="8" l="1"/>
  <c r="AF16" i="8"/>
  <c r="AE16" i="8"/>
  <c r="M11" i="6"/>
  <c r="N11" i="6" s="1"/>
  <c r="O11" i="6" s="1"/>
  <c r="M8" i="6"/>
  <c r="N8" i="6" s="1"/>
  <c r="O8" i="6" s="1"/>
  <c r="T44" i="8"/>
  <c r="U44" i="8" s="1"/>
  <c r="W44" i="8" s="1"/>
  <c r="X44" i="8" s="1"/>
  <c r="T25" i="6"/>
  <c r="C21" i="6" s="1"/>
  <c r="H9" i="6"/>
  <c r="W45" i="6"/>
  <c r="AD45" i="6" s="1"/>
  <c r="AC45" i="6"/>
  <c r="AA45" i="6"/>
  <c r="Y45" i="6"/>
  <c r="Z45" i="6" s="1"/>
  <c r="V17" i="8" l="1"/>
  <c r="W17" i="8" s="1"/>
  <c r="Y17" i="8" s="1"/>
  <c r="P11" i="6"/>
  <c r="P8" i="6"/>
  <c r="K5" i="6"/>
  <c r="K11" i="6"/>
  <c r="K6" i="6"/>
  <c r="K8" i="6"/>
  <c r="K10" i="6"/>
  <c r="U25" i="6"/>
  <c r="V25" i="6" s="1"/>
  <c r="AB25" i="6" s="1"/>
  <c r="Z44" i="8"/>
  <c r="AA44" i="8" s="1"/>
  <c r="AB45" i="6"/>
  <c r="H8" i="6"/>
  <c r="X45" i="6"/>
  <c r="X17" i="8" l="1"/>
  <c r="H10" i="6"/>
  <c r="M12" i="6"/>
  <c r="N12" i="6" s="1"/>
  <c r="O12" i="6" s="1"/>
  <c r="M9" i="6"/>
  <c r="N9" i="6" s="1"/>
  <c r="O9" i="6" s="1"/>
  <c r="K12" i="6"/>
  <c r="K18" i="6" s="1"/>
  <c r="K15" i="6"/>
  <c r="K16" i="6" s="1"/>
  <c r="K17" i="6" s="1"/>
  <c r="AA25" i="6"/>
  <c r="Z25" i="6"/>
  <c r="Y25" i="6"/>
  <c r="W25" i="6"/>
  <c r="X25" i="6" s="1"/>
  <c r="Y44" i="8"/>
  <c r="AC44" i="8" s="1"/>
  <c r="H12" i="6"/>
  <c r="Z17" i="8" l="1"/>
  <c r="AB17" i="8" s="1"/>
  <c r="AA17" i="8"/>
  <c r="K20" i="6"/>
  <c r="K19" i="6"/>
  <c r="T26" i="6"/>
  <c r="U26" i="6" s="1"/>
  <c r="V26" i="6" s="1"/>
  <c r="W26" i="6" s="1"/>
  <c r="X26" i="6" s="1"/>
  <c r="AB44" i="8"/>
  <c r="AD44" i="8" s="1"/>
  <c r="AH44" i="8"/>
  <c r="AG44" i="8"/>
  <c r="AF44" i="8"/>
  <c r="AE44" i="8"/>
  <c r="AD17" i="8" l="1"/>
  <c r="AC17" i="8"/>
  <c r="AF17" i="8"/>
  <c r="AE17" i="8"/>
  <c r="Y26" i="6"/>
  <c r="Z26" i="6"/>
  <c r="AB26" i="6"/>
  <c r="AA26" i="6"/>
  <c r="T45" i="8"/>
  <c r="U45" i="8" s="1"/>
  <c r="W45" i="8" s="1"/>
  <c r="X45" i="8" s="1"/>
  <c r="V18" i="8" l="1"/>
  <c r="W18" i="8" s="1"/>
  <c r="Y18" i="8" s="1"/>
  <c r="X18" i="8"/>
  <c r="AA18" i="8" s="1"/>
  <c r="AF18" i="8" s="1"/>
  <c r="Z45" i="8"/>
  <c r="AA45" i="8" s="1"/>
  <c r="AC18" i="8" l="1"/>
  <c r="AE18" i="8"/>
  <c r="AD18" i="8"/>
  <c r="Z18" i="8"/>
  <c r="AB18" i="8" s="1"/>
  <c r="V19" i="8"/>
  <c r="W19" i="8" s="1"/>
  <c r="Y19" i="8" s="1"/>
  <c r="Y45" i="8"/>
  <c r="AC45" i="8" s="1"/>
  <c r="X19" i="8" l="1"/>
  <c r="AB45" i="8"/>
  <c r="AD45" i="8" s="1"/>
  <c r="AH45" i="8"/>
  <c r="AG45" i="8"/>
  <c r="AE45" i="8"/>
  <c r="AF45" i="8"/>
  <c r="AA19" i="8" l="1"/>
  <c r="Z19" i="8"/>
  <c r="AB19" i="8" s="1"/>
  <c r="T46" i="8"/>
  <c r="U46" i="8" s="1"/>
  <c r="W46" i="8" s="1"/>
  <c r="X46" i="8" s="1"/>
  <c r="AD19" i="8" l="1"/>
  <c r="AC19" i="8"/>
  <c r="AF19" i="8"/>
  <c r="AE19" i="8"/>
  <c r="Z46" i="8"/>
  <c r="AA46" i="8" s="1"/>
  <c r="V20" i="8" l="1"/>
  <c r="W20" i="8" s="1"/>
  <c r="Y20" i="8" s="1"/>
  <c r="Y46" i="8"/>
  <c r="X20" i="8" l="1"/>
  <c r="AA20" i="8" s="1"/>
  <c r="AC46" i="8"/>
  <c r="AB46" i="8"/>
  <c r="AD46" i="8" s="1"/>
  <c r="Z20" i="8" l="1"/>
  <c r="AB20" i="8" s="1"/>
  <c r="AF20" i="8"/>
  <c r="AD20" i="8"/>
  <c r="AE20" i="8"/>
  <c r="AC20" i="8"/>
  <c r="AH46" i="8"/>
  <c r="AG46" i="8"/>
  <c r="AE46" i="8"/>
  <c r="AF46" i="8"/>
  <c r="V21" i="8" l="1"/>
  <c r="W21" i="8" s="1"/>
  <c r="Y21" i="8" s="1"/>
  <c r="T47" i="8"/>
  <c r="U47" i="8" s="1"/>
  <c r="W47" i="8" s="1"/>
  <c r="X47" i="8" s="1"/>
  <c r="X21" i="8" l="1"/>
  <c r="AA21" i="8" s="1"/>
  <c r="Z47" i="8"/>
  <c r="AA47" i="8" s="1"/>
  <c r="Z21" i="8" l="1"/>
  <c r="AB21" i="8" s="1"/>
  <c r="AD21" i="8"/>
  <c r="AF21" i="8"/>
  <c r="AC21" i="8"/>
  <c r="AE21" i="8"/>
  <c r="Y47" i="8"/>
  <c r="V22" i="8" l="1"/>
  <c r="W22" i="8" s="1"/>
  <c r="Y22" i="8" s="1"/>
  <c r="AC47" i="8"/>
  <c r="AB47" i="8"/>
  <c r="AD47" i="8" s="1"/>
  <c r="X22" i="8" l="1"/>
  <c r="Z22" i="8" s="1"/>
  <c r="AB22" i="8" s="1"/>
  <c r="AH47" i="8"/>
  <c r="AG47" i="8"/>
  <c r="AF47" i="8"/>
  <c r="AE47" i="8"/>
  <c r="AA22" i="8" l="1"/>
  <c r="AC22" i="8" s="1"/>
  <c r="T48" i="8"/>
  <c r="U48" i="8" s="1"/>
  <c r="W48" i="8" s="1"/>
  <c r="X48" i="8" s="1"/>
  <c r="AF22" i="8" l="1"/>
  <c r="AE22" i="8"/>
  <c r="AD22" i="8"/>
  <c r="H9" i="8"/>
  <c r="Z48" i="8"/>
  <c r="AA48" i="8" s="1"/>
  <c r="H6" i="8"/>
  <c r="V23" i="8" l="1"/>
  <c r="W23" i="8" s="1"/>
  <c r="Y23" i="8" s="1"/>
  <c r="Y48" i="8"/>
  <c r="H8" i="8"/>
  <c r="H12" i="8" s="1"/>
  <c r="I8" i="8"/>
  <c r="X23" i="8" l="1"/>
  <c r="H10" i="8"/>
  <c r="AB48" i="8"/>
  <c r="AD48" i="8" s="1"/>
  <c r="H7" i="8"/>
  <c r="AC48" i="8"/>
  <c r="AA23" i="8" l="1"/>
  <c r="Z23" i="8"/>
  <c r="AB23" i="8" s="1"/>
  <c r="AG48" i="8"/>
  <c r="AF48" i="8"/>
  <c r="AE48" i="8"/>
  <c r="AH48" i="8"/>
  <c r="AF23" i="8" l="1"/>
  <c r="AE23" i="8"/>
  <c r="AD23" i="8"/>
  <c r="AC23" i="8"/>
  <c r="V24" i="8" l="1"/>
  <c r="W24" i="8" s="1"/>
  <c r="Y24" i="8" l="1"/>
  <c r="X24" i="8"/>
  <c r="I6" i="8"/>
  <c r="Z24" i="8" l="1"/>
  <c r="AB24" i="8" s="1"/>
  <c r="AA24" i="8"/>
  <c r="AD24" i="8" s="1"/>
  <c r="AC24" i="8" l="1"/>
  <c r="AF24" i="8"/>
  <c r="AE24" i="8"/>
  <c r="V25" i="8" l="1"/>
  <c r="W25" i="8" s="1"/>
  <c r="Y25" i="8" s="1"/>
  <c r="X25" i="8" l="1"/>
  <c r="Z25" i="8" s="1"/>
  <c r="AB25" i="8" s="1"/>
  <c r="AA25" i="8" l="1"/>
  <c r="AF25" i="8" s="1"/>
  <c r="AE25" i="8" l="1"/>
  <c r="AC25" i="8"/>
  <c r="AD25" i="8"/>
  <c r="C12" i="8"/>
  <c r="D42" i="1" s="1"/>
  <c r="V26" i="8" l="1"/>
  <c r="W26" i="8" s="1"/>
  <c r="Y26" i="8" s="1"/>
  <c r="X26" i="8" l="1"/>
  <c r="AA26" i="8" s="1"/>
  <c r="Z26" i="8" l="1"/>
  <c r="AB26" i="8" s="1"/>
  <c r="C7" i="8"/>
  <c r="D43" i="1"/>
  <c r="C10" i="8"/>
  <c r="E10" i="8"/>
  <c r="AF26" i="8"/>
  <c r="AD26" i="8"/>
  <c r="AE26" i="8"/>
  <c r="AC26" i="8"/>
  <c r="D23" i="1" l="1"/>
  <c r="D24" i="1"/>
  <c r="K12" i="8"/>
  <c r="D28" i="1" s="1"/>
  <c r="M9" i="8"/>
  <c r="N9" i="8" s="1"/>
  <c r="O9" i="8" s="1"/>
  <c r="K11" i="8"/>
  <c r="M11" i="8"/>
  <c r="N11" i="8" s="1"/>
  <c r="O11" i="8" s="1"/>
  <c r="P8" i="8"/>
  <c r="K6" i="8"/>
  <c r="M12" i="8"/>
  <c r="N12" i="8" s="1"/>
  <c r="O12" i="8" s="1"/>
  <c r="K5" i="8"/>
  <c r="P7" i="8"/>
  <c r="P9" i="8"/>
  <c r="K10" i="8"/>
  <c r="P13" i="8"/>
  <c r="P10" i="8"/>
  <c r="K8" i="8"/>
  <c r="P12" i="8"/>
  <c r="M8" i="8"/>
  <c r="N8" i="8" s="1"/>
  <c r="O8" i="8" s="1"/>
  <c r="P11" i="8"/>
  <c r="N4" i="8"/>
  <c r="D25" i="1" l="1"/>
  <c r="K15" i="8"/>
  <c r="K18" i="8"/>
  <c r="K16" i="8" l="1"/>
  <c r="D33" i="1"/>
  <c r="K20" i="8"/>
  <c r="K19" i="8"/>
  <c r="D37" i="1" s="1"/>
  <c r="K17" i="8" l="1"/>
  <c r="D34" i="1"/>
</calcChain>
</file>

<file path=xl/sharedStrings.xml><?xml version="1.0" encoding="utf-8"?>
<sst xmlns="http://schemas.openxmlformats.org/spreadsheetml/2006/main" count="422" uniqueCount="230">
  <si>
    <t>Input voltage</t>
  </si>
  <si>
    <t>Vin</t>
  </si>
  <si>
    <t>Max current per channel</t>
  </si>
  <si>
    <t>Iout_Full Scale/string</t>
  </si>
  <si>
    <t>channel count</t>
  </si>
  <si>
    <t>Max output current</t>
  </si>
  <si>
    <t>Iout_Full Scale total</t>
  </si>
  <si>
    <t>Actual output current</t>
  </si>
  <si>
    <t>Iout</t>
  </si>
  <si>
    <t>LED number #</t>
  </si>
  <si>
    <t>LED count/string</t>
  </si>
  <si>
    <t>LED Vf</t>
  </si>
  <si>
    <t>Total LED Voltage</t>
  </si>
  <si>
    <t>Vled</t>
  </si>
  <si>
    <t>VD</t>
  </si>
  <si>
    <t>Switching frequency</t>
  </si>
  <si>
    <t>Fsw</t>
  </si>
  <si>
    <t>L</t>
  </si>
  <si>
    <t>RL</t>
  </si>
  <si>
    <t>Diode ESC</t>
  </si>
  <si>
    <t>Cdiode</t>
  </si>
  <si>
    <t>Output caps</t>
  </si>
  <si>
    <t>Cout</t>
  </si>
  <si>
    <t>Output caps ESR</t>
  </si>
  <si>
    <t>Low side switching Cgs</t>
  </si>
  <si>
    <t>LowSide Cgs</t>
  </si>
  <si>
    <t>Low side switching Cgd</t>
  </si>
  <si>
    <t>LowSide Cgd</t>
  </si>
  <si>
    <t>Low side switching Cds</t>
  </si>
  <si>
    <t>LowSide Cds</t>
  </si>
  <si>
    <t>IC Quiescent current</t>
  </si>
  <si>
    <t>Quiescent current</t>
  </si>
  <si>
    <t>VIN (V)</t>
  </si>
  <si>
    <t>VO (V)</t>
  </si>
  <si>
    <r>
      <t>RL (</t>
    </r>
    <r>
      <rPr>
        <sz val="11"/>
        <color theme="1"/>
        <rFont val="Arial"/>
        <family val="2"/>
      </rPr>
      <t>Ω</t>
    </r>
    <r>
      <rPr>
        <sz val="12.65"/>
        <color theme="1"/>
        <rFont val="Calibri"/>
        <family val="2"/>
      </rPr>
      <t>)</t>
    </r>
  </si>
  <si>
    <t>Rsense</t>
  </si>
  <si>
    <t>RD (Ω)</t>
  </si>
  <si>
    <t>VD (V)</t>
  </si>
  <si>
    <t>ILOAD (A)</t>
  </si>
  <si>
    <t>L (H)</t>
  </si>
  <si>
    <t>FS (Hz)</t>
  </si>
  <si>
    <t>Vhead(V)</t>
  </si>
  <si>
    <t>TS</t>
  </si>
  <si>
    <t>Mode</t>
  </si>
  <si>
    <r>
      <rPr>
        <sz val="11"/>
        <color theme="1"/>
        <rFont val="Calibri"/>
        <family val="2"/>
      </rPr>
      <t>θ</t>
    </r>
    <r>
      <rPr>
        <sz val="8.8000000000000007"/>
        <color theme="1"/>
        <rFont val="Calibri"/>
        <family val="2"/>
      </rPr>
      <t>JA_EVM</t>
    </r>
  </si>
  <si>
    <t>MOS On time(s)</t>
  </si>
  <si>
    <t>θBA</t>
  </si>
  <si>
    <t>Cout(F)</t>
  </si>
  <si>
    <t>ESR</t>
  </si>
  <si>
    <t>CCM</t>
  </si>
  <si>
    <t>IL</t>
  </si>
  <si>
    <t>Iin</t>
  </si>
  <si>
    <t>D</t>
  </si>
  <si>
    <t>Ipp</t>
  </si>
  <si>
    <t>Ivalley</t>
  </si>
  <si>
    <r>
      <t>I</t>
    </r>
    <r>
      <rPr>
        <vertAlign val="subscript"/>
        <sz val="11"/>
        <color theme="1"/>
        <rFont val="Calibri"/>
        <family val="2"/>
        <scheme val="minor"/>
      </rPr>
      <t>_LRMS</t>
    </r>
  </si>
  <si>
    <t>MOS Dyn Loss</t>
  </si>
  <si>
    <t>MOS Const</t>
  </si>
  <si>
    <t>Diode loss</t>
  </si>
  <si>
    <t>Inductor loss</t>
  </si>
  <si>
    <t>Rsense loss</t>
  </si>
  <si>
    <t>D1</t>
  </si>
  <si>
    <t>Thermal-MOS-(Constant) (W)</t>
  </si>
  <si>
    <t>Interval</t>
  </si>
  <si>
    <t>t</t>
  </si>
  <si>
    <t>Current</t>
  </si>
  <si>
    <t>ILD</t>
  </si>
  <si>
    <t>Thermal-MOS-(Cap loss) (W)</t>
  </si>
  <si>
    <t>D`</t>
  </si>
  <si>
    <t>D2</t>
  </si>
  <si>
    <t>Thermal-Diode-(conduction)(W)</t>
  </si>
  <si>
    <t>Ipeak</t>
  </si>
  <si>
    <t>Thermal-Diode-(cap loss)(W)</t>
  </si>
  <si>
    <t>D3</t>
  </si>
  <si>
    <t>Thermal-Inductor-(conduction)(W)</t>
  </si>
  <si>
    <t>DCM</t>
  </si>
  <si>
    <t>Thermal-Inductor-(AC loss)(W)</t>
  </si>
  <si>
    <t>Ripple_pp</t>
  </si>
  <si>
    <t>Thermal-RSENSE(W)</t>
  </si>
  <si>
    <t>Thermal-Headroom(W)</t>
  </si>
  <si>
    <t>Quiescent loss (W)</t>
  </si>
  <si>
    <t>pF</t>
  </si>
  <si>
    <t>Total device loss(W)</t>
  </si>
  <si>
    <t xml:space="preserve">VIN: </t>
  </si>
  <si>
    <t>Thermal rise (deg)</t>
  </si>
  <si>
    <t>VO:</t>
  </si>
  <si>
    <t>Estimated device temperature(deg)</t>
  </si>
  <si>
    <t>RL:</t>
  </si>
  <si>
    <t>Inductor DC resistance</t>
  </si>
  <si>
    <t>Total system loss (W)</t>
  </si>
  <si>
    <t>RSD(ON):</t>
  </si>
  <si>
    <t>mA</t>
  </si>
  <si>
    <t>Efficiency Boost</t>
  </si>
  <si>
    <t>RD:</t>
  </si>
  <si>
    <t>Diode DC resistance</t>
  </si>
  <si>
    <t>Efficiency LED</t>
  </si>
  <si>
    <t>VD:</t>
  </si>
  <si>
    <t>Diode forword voltage</t>
  </si>
  <si>
    <t>ILOAD:</t>
  </si>
  <si>
    <t>L:</t>
  </si>
  <si>
    <t>Inductance value of inductor</t>
  </si>
  <si>
    <t>Co</t>
  </si>
  <si>
    <t>FS:</t>
  </si>
  <si>
    <t>Swithing Frequency</t>
  </si>
  <si>
    <t>Von</t>
  </si>
  <si>
    <t>Voff</t>
  </si>
  <si>
    <t>V</t>
  </si>
  <si>
    <t>MHz</t>
  </si>
  <si>
    <t>uH</t>
  </si>
  <si>
    <t>W</t>
  </si>
  <si>
    <t>uF</t>
  </si>
  <si>
    <t>PWM dimming duty</t>
  </si>
  <si>
    <t>Analog dimming duty</t>
  </si>
  <si>
    <t>Dpwm</t>
  </si>
  <si>
    <t>Dadim</t>
  </si>
  <si>
    <t>Suggested power Inductor</t>
  </si>
  <si>
    <t>Actual power Inductor</t>
  </si>
  <si>
    <t>Lact</t>
  </si>
  <si>
    <t>Sense resistor</t>
  </si>
  <si>
    <t>Rse</t>
  </si>
  <si>
    <t>mΩ</t>
  </si>
  <si>
    <t>Ω</t>
  </si>
  <si>
    <t>Diode forward voltage</t>
  </si>
  <si>
    <t>switching frequency resistor</t>
  </si>
  <si>
    <t>kΩ</t>
  </si>
  <si>
    <t>VSON</t>
  </si>
  <si>
    <t>Ploss</t>
  </si>
  <si>
    <t>Trise</t>
  </si>
  <si>
    <t>deg</t>
  </si>
  <si>
    <t>Thermal foldback</t>
  </si>
  <si>
    <t>Device package</t>
  </si>
  <si>
    <t>Device power loss</t>
  </si>
  <si>
    <t>Device thermal rise</t>
  </si>
  <si>
    <t>Rtemp</t>
  </si>
  <si>
    <t>Power rating of sense resistor min.</t>
  </si>
  <si>
    <t>IL_peak</t>
  </si>
  <si>
    <t>A</t>
  </si>
  <si>
    <t>Inductor peak current</t>
  </si>
  <si>
    <t>Inductor ripple current</t>
  </si>
  <si>
    <t>recommended inductor saturation current</t>
  </si>
  <si>
    <t>IL_sat</t>
  </si>
  <si>
    <t>RFET</t>
  </si>
  <si>
    <t>IL_rip_pp</t>
  </si>
  <si>
    <t>Input capacitance</t>
  </si>
  <si>
    <t>Cin</t>
  </si>
  <si>
    <t>desired output ripple</t>
  </si>
  <si>
    <t>calculated output ripple</t>
  </si>
  <si>
    <t>Vrip_d</t>
  </si>
  <si>
    <t>Vrip_c</t>
  </si>
  <si>
    <t>Tth</t>
  </si>
  <si>
    <t>resistor value</t>
  </si>
  <si>
    <t>Userinput</t>
  </si>
  <si>
    <t>Ttemp</t>
  </si>
  <si>
    <t>fs</t>
  </si>
  <si>
    <t>R</t>
  </si>
  <si>
    <t>Efficiency</t>
  </si>
  <si>
    <t>η</t>
  </si>
  <si>
    <t>User Input</t>
  </si>
  <si>
    <t>Calculated</t>
  </si>
  <si>
    <t>Constant</t>
  </si>
  <si>
    <t xml:space="preserve"> LED forward voltage</t>
  </si>
  <si>
    <t>Comment</t>
  </si>
  <si>
    <t>TI recommended at least 15uF MLCC</t>
  </si>
  <si>
    <t>TI recommended at least 25deg margin</t>
  </si>
  <si>
    <t>system efficiency</t>
  </si>
  <si>
    <t>calculated output ripple shuold be smaller than desired output ripple</t>
  </si>
  <si>
    <t>RDS(ON)</t>
  </si>
  <si>
    <t>YELLO CELLS CAN BE MODIFIED ONLY!</t>
  </si>
  <si>
    <t>MOS Off time(s)</t>
  </si>
  <si>
    <t>Tam</t>
  </si>
  <si>
    <t>Thermal-MOS(Dynamic) (W)</t>
  </si>
  <si>
    <t>D'</t>
  </si>
  <si>
    <t>IL_rms</t>
  </si>
  <si>
    <t>volteg ripple</t>
  </si>
  <si>
    <t>Input Voltage of Boost</t>
  </si>
  <si>
    <t>Icin</t>
  </si>
  <si>
    <t>Output Voltage of Boost</t>
  </si>
  <si>
    <t>Resr</t>
  </si>
  <si>
    <t>Boost Switching FET DC resistance</t>
  </si>
  <si>
    <t>Ico</t>
  </si>
  <si>
    <t>Total load at Boost output</t>
  </si>
  <si>
    <t>Io</t>
  </si>
  <si>
    <t>Input Voltage of BuckBoost</t>
  </si>
  <si>
    <t>Output Voltage of BuckBoost</t>
  </si>
  <si>
    <t>BuckBoost Switching FET DC resistance</t>
  </si>
  <si>
    <t>Total load at BuckBoost output</t>
  </si>
  <si>
    <t>ILRMS</t>
  </si>
  <si>
    <t>Topology</t>
  </si>
  <si>
    <t>Actual sense resistor</t>
  </si>
  <si>
    <t>Rse_actual</t>
  </si>
  <si>
    <t>OVP upper resistor</t>
  </si>
  <si>
    <t>OVP lower resistor</t>
  </si>
  <si>
    <t>OVP verification</t>
  </si>
  <si>
    <t>Rop1</t>
  </si>
  <si>
    <t>Rop2</t>
  </si>
  <si>
    <t>mV</t>
  </si>
  <si>
    <t>Sense capacitor</t>
  </si>
  <si>
    <t>Cse</t>
  </si>
  <si>
    <t>For accurate current regulation</t>
  </si>
  <si>
    <t>Actual power Inductor DCR</t>
  </si>
  <si>
    <t>choose Boost or Buck-Boost topology</t>
  </si>
  <si>
    <t>if current is higher than 2A, pls choosen LP8868</t>
  </si>
  <si>
    <t>Vout</t>
  </si>
  <si>
    <t>Buck-Boost</t>
  </si>
  <si>
    <t>buck-boost</t>
  </si>
  <si>
    <t>boost</t>
  </si>
  <si>
    <t>derating</t>
  </si>
  <si>
    <t>Temperature</t>
  </si>
  <si>
    <t>Calculated Power</t>
  </si>
  <si>
    <t>Calculated thja</t>
  </si>
  <si>
    <t>LP8870</t>
  </si>
  <si>
    <t>6*150mA</t>
  </si>
  <si>
    <t>4*200mA</t>
  </si>
  <si>
    <t>LP8871</t>
  </si>
  <si>
    <t>Channel</t>
  </si>
  <si>
    <t>Part Number</t>
  </si>
  <si>
    <t>Die Version</t>
  </si>
  <si>
    <t>Sink design</t>
  </si>
  <si>
    <t>LP8876</t>
  </si>
  <si>
    <t>4*150mA</t>
  </si>
  <si>
    <t>LP8877(If)</t>
  </si>
  <si>
    <t>6*100mA</t>
  </si>
  <si>
    <t>200mA</t>
  </si>
  <si>
    <t>150mA</t>
  </si>
  <si>
    <t>100mA/150mA</t>
  </si>
  <si>
    <t>7LED</t>
  </si>
  <si>
    <t>LED Number</t>
  </si>
  <si>
    <t>4LED</t>
  </si>
  <si>
    <t>3LED</t>
  </si>
  <si>
    <t>Boost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</si>
</sst>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.65"/>
      <color theme="1"/>
      <name val="Calibri"/>
      <family val="2"/>
    </font>
    <font>
      <sz val="11"/>
      <color theme="1"/>
      <name val="Calibri"/>
      <family val="2"/>
    </font>
    <font>
      <sz val="8.8000000000000007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5">
    <xf numFmtId="0" fontId="0" fillId="0" borderId="0" xfId="0"/>
    <xf numFmtId="0" fontId="0" fillId="0" borderId="0" xfId="0" applyBorder="1"/>
    <xf numFmtId="0" fontId="0" fillId="2" borderId="0" xfId="0" applyFont="1" applyFill="1"/>
    <xf numFmtId="0" fontId="0" fillId="2" borderId="0" xfId="0" applyFill="1"/>
    <xf numFmtId="0" fontId="1" fillId="2" borderId="0" xfId="0" applyFont="1" applyFill="1"/>
    <xf numFmtId="11" fontId="0" fillId="3" borderId="0" xfId="0" applyNumberFormat="1" applyFill="1" applyProtection="1">
      <protection hidden="1"/>
    </xf>
    <xf numFmtId="0" fontId="0" fillId="2" borderId="1" xfId="0" applyFill="1" applyBorder="1"/>
    <xf numFmtId="0" fontId="0" fillId="2" borderId="0" xfId="0" applyFill="1" applyProtection="1">
      <protection hidden="1"/>
    </xf>
    <xf numFmtId="0" fontId="0" fillId="4" borderId="0" xfId="0" applyFill="1" applyProtection="1">
      <protection hidden="1"/>
    </xf>
    <xf numFmtId="0" fontId="4" fillId="2" borderId="0" xfId="0" applyFont="1" applyFill="1" applyProtection="1">
      <protection hidden="1"/>
    </xf>
    <xf numFmtId="0" fontId="0" fillId="3" borderId="1" xfId="0" applyFill="1" applyBorder="1" applyAlignment="1" applyProtection="1">
      <alignment horizontal="left"/>
      <protection locked="0"/>
    </xf>
    <xf numFmtId="11" fontId="0" fillId="3" borderId="1" xfId="0" applyNumberFormat="1" applyFont="1" applyFill="1" applyBorder="1" applyAlignment="1" applyProtection="1">
      <alignment horizontal="left"/>
      <protection locked="0"/>
    </xf>
    <xf numFmtId="11" fontId="0" fillId="3" borderId="1" xfId="0" applyNumberFormat="1" applyFill="1" applyBorder="1" applyAlignment="1" applyProtection="1">
      <alignment horizontal="left"/>
      <protection locked="0"/>
    </xf>
    <xf numFmtId="11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2" xfId="0" applyFill="1" applyBorder="1"/>
    <xf numFmtId="2" fontId="0" fillId="2" borderId="3" xfId="0" applyNumberFormat="1" applyFill="1" applyBorder="1"/>
    <xf numFmtId="0" fontId="0" fillId="2" borderId="4" xfId="0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2" borderId="8" xfId="0" applyNumberFormat="1" applyFill="1" applyBorder="1"/>
    <xf numFmtId="164" fontId="0" fillId="2" borderId="0" xfId="0" applyNumberFormat="1" applyFill="1"/>
    <xf numFmtId="0" fontId="0" fillId="2" borderId="10" xfId="0" applyFill="1" applyBorder="1"/>
    <xf numFmtId="0" fontId="0" fillId="2" borderId="11" xfId="0" applyFill="1" applyBorder="1"/>
    <xf numFmtId="0" fontId="0" fillId="2" borderId="15" xfId="0" applyFill="1" applyBorder="1" applyAlignment="1">
      <alignment horizontal="center"/>
    </xf>
    <xf numFmtId="0" fontId="0" fillId="2" borderId="15" xfId="0" applyFill="1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2" fontId="0" fillId="2" borderId="7" xfId="0" applyNumberFormat="1" applyFill="1" applyBorder="1"/>
    <xf numFmtId="0" fontId="0" fillId="0" borderId="6" xfId="0" applyBorder="1"/>
    <xf numFmtId="0" fontId="0" fillId="0" borderId="7" xfId="0" applyBorder="1"/>
    <xf numFmtId="165" fontId="0" fillId="0" borderId="0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17" xfId="0" applyFill="1" applyBorder="1"/>
    <xf numFmtId="0" fontId="0" fillId="2" borderId="19" xfId="0" applyFill="1" applyBorder="1"/>
    <xf numFmtId="0" fontId="0" fillId="0" borderId="0" xfId="0" applyAlignment="1">
      <alignment horizontal="center"/>
    </xf>
    <xf numFmtId="0" fontId="8" fillId="3" borderId="20" xfId="0" applyFont="1" applyFill="1" applyBorder="1" applyAlignment="1" applyProtection="1">
      <alignment horizontal="center"/>
      <protection hidden="1"/>
    </xf>
    <xf numFmtId="0" fontId="9" fillId="6" borderId="21" xfId="0" applyNumberFormat="1" applyFont="1" applyFill="1" applyBorder="1" applyAlignment="1" applyProtection="1">
      <alignment horizontal="center"/>
      <protection hidden="1"/>
    </xf>
    <xf numFmtId="0" fontId="8" fillId="5" borderId="22" xfId="1" applyFont="1" applyFill="1" applyBorder="1" applyAlignment="1" applyProtection="1">
      <alignment horizontal="center"/>
      <protection hidden="1"/>
    </xf>
    <xf numFmtId="0" fontId="0" fillId="0" borderId="20" xfId="0" applyBorder="1" applyAlignment="1">
      <alignment horizontal="center"/>
    </xf>
    <xf numFmtId="0" fontId="0" fillId="6" borderId="20" xfId="0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165" fontId="0" fillId="6" borderId="20" xfId="0" applyNumberForma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0" fillId="6" borderId="20" xfId="0" applyNumberForma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/>
    <xf numFmtId="0" fontId="0" fillId="0" borderId="20" xfId="0" applyBorder="1"/>
    <xf numFmtId="0" fontId="0" fillId="0" borderId="2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0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2">
    <cellStyle name="Normal" xfId="0" builtinId="0"/>
    <cellStyle name="Normal 5" xfId="1" xr:uid="{015928F3-CCE7-46CD-A9FF-DB55993B74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68022747156605"/>
          <c:y val="4.9344531933508309E-2"/>
          <c:w val="0.76533546587926504"/>
          <c:h val="0.78062572178477685"/>
        </c:manualLayout>
      </c:layout>
      <c:scatterChart>
        <c:scatterStyle val="lineMarker"/>
        <c:varyColors val="0"/>
        <c:ser>
          <c:idx val="0"/>
          <c:order val="0"/>
          <c:tx>
            <c:strRef>
              <c:f>Boost!$P$6</c:f>
              <c:strCache>
                <c:ptCount val="1"/>
                <c:pt idx="0">
                  <c:v>Current</c:v>
                </c:pt>
              </c:strCache>
            </c:strRef>
          </c:tx>
          <c:marker>
            <c:symbol val="none"/>
          </c:marker>
          <c:xVal>
            <c:numRef>
              <c:f>Boost!$O$7:$O$13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Boost!$P$7:$P$13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BB-46CE-906A-540784B20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96096"/>
        <c:axId val="789082880"/>
      </c:scatterChart>
      <c:valAx>
        <c:axId val="73259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(us)</a:t>
                </a:r>
              </a:p>
            </c:rich>
          </c:tx>
          <c:layout>
            <c:manualLayout>
              <c:xMode val="edge"/>
              <c:yMode val="edge"/>
              <c:x val="0.4845978237095363"/>
              <c:y val="0.91942117235345577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crossAx val="789082880"/>
        <c:crosses val="autoZero"/>
        <c:crossBetween val="midCat"/>
      </c:valAx>
      <c:valAx>
        <c:axId val="78908288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Inductor Current (A)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235690638670166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3259609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68022747156605"/>
          <c:y val="4.9344531933508309E-2"/>
          <c:w val="0.76533546587926504"/>
          <c:h val="0.78062572178477685"/>
        </c:manualLayout>
      </c:layout>
      <c:scatterChart>
        <c:scatterStyle val="lineMarker"/>
        <c:varyColors val="0"/>
        <c:ser>
          <c:idx val="0"/>
          <c:order val="0"/>
          <c:tx>
            <c:strRef>
              <c:f>BuckBoost!$P$6</c:f>
              <c:strCache>
                <c:ptCount val="1"/>
                <c:pt idx="0">
                  <c:v>Current</c:v>
                </c:pt>
              </c:strCache>
            </c:strRef>
          </c:tx>
          <c:marker>
            <c:symbol val="none"/>
          </c:marker>
          <c:xVal>
            <c:numRef>
              <c:f>BuckBoost!$O$7:$O$13</c:f>
              <c:numCache>
                <c:formatCode>General</c:formatCode>
                <c:ptCount val="7"/>
                <c:pt idx="0">
                  <c:v>0</c:v>
                </c:pt>
                <c:pt idx="1">
                  <c:v>1.5331140616881</c:v>
                </c:pt>
                <c:pt idx="2">
                  <c:v>2.5</c:v>
                </c:pt>
                <c:pt idx="3">
                  <c:v>2.5</c:v>
                </c:pt>
                <c:pt idx="4">
                  <c:v>4.0331140616881003</c:v>
                </c:pt>
                <c:pt idx="5">
                  <c:v>5</c:v>
                </c:pt>
                <c:pt idx="6">
                  <c:v>5</c:v>
                </c:pt>
              </c:numCache>
            </c:numRef>
          </c:xVal>
          <c:yVal>
            <c:numRef>
              <c:f>BuckBoost!$P$7:$P$13</c:f>
              <c:numCache>
                <c:formatCode>General</c:formatCode>
                <c:ptCount val="7"/>
                <c:pt idx="0">
                  <c:v>3.6314364075717132</c:v>
                </c:pt>
                <c:pt idx="1">
                  <c:v>4.1254272233274296</c:v>
                </c:pt>
                <c:pt idx="2">
                  <c:v>3.6314364075717132</c:v>
                </c:pt>
                <c:pt idx="3">
                  <c:v>3.6314364075717132</c:v>
                </c:pt>
                <c:pt idx="4">
                  <c:v>4.1254272233274296</c:v>
                </c:pt>
                <c:pt idx="5">
                  <c:v>3.6314364075717132</c:v>
                </c:pt>
                <c:pt idx="6">
                  <c:v>3.6314364075717132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C3-4132-9D33-9FD8B1981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96096"/>
        <c:axId val="789082880"/>
      </c:scatterChart>
      <c:valAx>
        <c:axId val="73259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(us)</a:t>
                </a:r>
              </a:p>
            </c:rich>
          </c:tx>
          <c:layout>
            <c:manualLayout>
              <c:xMode val="edge"/>
              <c:yMode val="edge"/>
              <c:x val="0.4845978237095363"/>
              <c:y val="0.91942117235345577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crossAx val="789082880"/>
        <c:crosses val="autoZero"/>
        <c:crossBetween val="midCat"/>
      </c:valAx>
      <c:valAx>
        <c:axId val="78908288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Inductor Current (A)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235690638670166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3259609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221452812734427E-2"/>
          <c:y val="1.6494049208094108E-2"/>
          <c:w val="0.91876441033402867"/>
          <c:h val="0.81895419381093049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1"/>
            <c:trendlineLbl>
              <c:layout>
                <c:manualLayout>
                  <c:x val="-0.29234010128663496"/>
                  <c:y val="-5.736606007253095E-2"/>
                </c:manualLayout>
              </c:layout>
              <c:numFmt formatCode="#,##0.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'thermal foldback'!$Q$3:$X$3</c:f>
              <c:numCache>
                <c:formatCode>General</c:formatCode>
                <c:ptCount val="8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110</c:v>
                </c:pt>
                <c:pt idx="4">
                  <c:v>120</c:v>
                </c:pt>
                <c:pt idx="5">
                  <c:v>130</c:v>
                </c:pt>
                <c:pt idx="6">
                  <c:v>140</c:v>
                </c:pt>
                <c:pt idx="7">
                  <c:v>150</c:v>
                </c:pt>
              </c:numCache>
            </c:numRef>
          </c:xVal>
          <c:yVal>
            <c:numRef>
              <c:f>'thermal foldback'!$Q$4:$X$4</c:f>
              <c:numCache>
                <c:formatCode>General</c:formatCode>
                <c:ptCount val="8"/>
                <c:pt idx="0">
                  <c:v>200</c:v>
                </c:pt>
                <c:pt idx="1">
                  <c:v>100</c:v>
                </c:pt>
                <c:pt idx="2">
                  <c:v>60</c:v>
                </c:pt>
                <c:pt idx="3">
                  <c:v>40</c:v>
                </c:pt>
                <c:pt idx="4">
                  <c:v>28</c:v>
                </c:pt>
                <c:pt idx="5">
                  <c:v>20</c:v>
                </c:pt>
                <c:pt idx="6">
                  <c:v>15</c:v>
                </c:pt>
                <c:pt idx="7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FA-450D-8F61-1495AF961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744736"/>
        <c:axId val="1798049328"/>
      </c:scatterChart>
      <c:valAx>
        <c:axId val="23374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0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049328"/>
        <c:crosses val="autoZero"/>
        <c:crossBetween val="midCat"/>
      </c:valAx>
      <c:valAx>
        <c:axId val="179804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744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541592</xdr:colOff>
      <xdr:row>8</xdr:row>
      <xdr:rowOff>161152</xdr:rowOff>
    </xdr:from>
    <xdr:to>
      <xdr:col>17</xdr:col>
      <xdr:colOff>372389</xdr:colOff>
      <xdr:row>28</xdr:row>
      <xdr:rowOff>55469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F76BA8B-AF2E-41F8-AEB1-15BB473B2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08621" y="1685152"/>
          <a:ext cx="5881974" cy="3704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338418</xdr:colOff>
      <xdr:row>29</xdr:row>
      <xdr:rowOff>28202</xdr:rowOff>
    </xdr:from>
    <xdr:to>
      <xdr:col>8</xdr:col>
      <xdr:colOff>338417</xdr:colOff>
      <xdr:row>44</xdr:row>
      <xdr:rowOff>112059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352577-00D1-4FEA-B7C3-985BB5705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111232</xdr:colOff>
      <xdr:row>46</xdr:row>
      <xdr:rowOff>112060</xdr:rowOff>
    </xdr:from>
    <xdr:to>
      <xdr:col>6</xdr:col>
      <xdr:colOff>466515</xdr:colOff>
      <xdr:row>61</xdr:row>
      <xdr:rowOff>144098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F0C2A1-B5F7-4019-861D-EE8C70017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232" y="8741710"/>
          <a:ext cx="4089083" cy="2794288"/>
        </a:xfrm>
        <a:prstGeom prst="rect">
          <a:avLst/>
        </a:prstGeom>
      </xdr:spPr>
    </xdr:pic>
    <xdr:clientData/>
  </xdr:twoCellAnchor>
  <xdr:twoCellAnchor editAs="oneCell">
    <xdr:from>
      <xdr:col>9</xdr:col>
      <xdr:colOff>558535</xdr:colOff>
      <xdr:row>46</xdr:row>
      <xdr:rowOff>112060</xdr:rowOff>
    </xdr:from>
    <xdr:to>
      <xdr:col>13</xdr:col>
      <xdr:colOff>1134850</xdr:colOff>
      <xdr:row>63</xdr:row>
      <xdr:rowOff>112587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A743D7-715D-46CE-8D87-17BDCFAA9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89485" y="8741710"/>
          <a:ext cx="4659365" cy="3131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375771</xdr:colOff>
      <xdr:row>18</xdr:row>
      <xdr:rowOff>180788</xdr:rowOff>
    </xdr:from>
    <xdr:to>
      <xdr:col>8</xdr:col>
      <xdr:colOff>375770</xdr:colOff>
      <xdr:row>32</xdr:row>
      <xdr:rowOff>163286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3E7C02-84C1-4B55-9B23-A22D6DC64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1408064</xdr:colOff>
      <xdr:row>35</xdr:row>
      <xdr:rowOff>76200</xdr:rowOff>
    </xdr:from>
    <xdr:to>
      <xdr:col>15</xdr:col>
      <xdr:colOff>227712</xdr:colOff>
      <xdr:row>52</xdr:row>
      <xdr:rowOff>76727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C277E9-8EB7-479C-8FDA-5855D83D5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43864" y="6705600"/>
          <a:ext cx="4623548" cy="3131077"/>
        </a:xfrm>
        <a:prstGeom prst="rect">
          <a:avLst/>
        </a:prstGeom>
      </xdr:spPr>
    </xdr:pic>
    <xdr:clientData/>
  </xdr:twoCellAnchor>
  <xdr:twoCellAnchor editAs="oneCell">
    <xdr:from>
      <xdr:col>0</xdr:col>
      <xdr:colOff>609366</xdr:colOff>
      <xdr:row>34</xdr:row>
      <xdr:rowOff>0</xdr:rowOff>
    </xdr:from>
    <xdr:to>
      <xdr:col>7</xdr:col>
      <xdr:colOff>95496</xdr:colOff>
      <xdr:row>54</xdr:row>
      <xdr:rowOff>149228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7814F9-30EF-4E9F-BD50-FEE26D947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366" y="6445250"/>
          <a:ext cx="5251930" cy="38322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127000</xdr:rowOff>
    </xdr:from>
    <xdr:to>
      <xdr:col>14</xdr:col>
      <xdr:colOff>1710</xdr:colOff>
      <xdr:row>12</xdr:row>
      <xdr:rowOff>165677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DBB439-B77F-4EB9-B083-88BD770A8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0" y="127000"/>
          <a:ext cx="7899296" cy="2248477"/>
        </a:xfrm>
        <a:prstGeom prst="rect">
          <a:avLst/>
        </a:prstGeom>
      </xdr:spPr>
    </xdr:pic>
    <xdr:clientData/>
  </xdr:twoCellAnchor>
  <xdr:twoCellAnchor editAs="oneCell">
    <xdr:from>
      <xdr:col>1</xdr:col>
      <xdr:colOff>559055</xdr:colOff>
      <xdr:row>14</xdr:row>
      <xdr:rowOff>56641</xdr:rowOff>
    </xdr:from>
    <xdr:to>
      <xdr:col>10</xdr:col>
      <xdr:colOff>319028</xdr:colOff>
      <xdr:row>32</xdr:row>
      <xdr:rowOff>104699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32D054-C602-487B-BECD-D2BE659B2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1643" y="2671347"/>
          <a:ext cx="5273267" cy="3409823"/>
        </a:xfrm>
        <a:prstGeom prst="rect">
          <a:avLst/>
        </a:prstGeom>
      </xdr:spPr>
    </xdr:pic>
    <xdr:clientData/>
  </xdr:twoCellAnchor>
  <xdr:twoCellAnchor>
    <xdr:from>
      <xdr:col>14</xdr:col>
      <xdr:colOff>592116</xdr:colOff>
      <xdr:row>6</xdr:row>
      <xdr:rowOff>151740</xdr:rowOff>
    </xdr:from>
    <xdr:to>
      <xdr:col>28</xdr:col>
      <xdr:colOff>301830</xdr:colOff>
      <xdr:row>29</xdr:row>
      <xdr:rowOff>75870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929698-7D33-45A1-9FC4-3A5DB0F6EC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38100</xdr:rowOff>
    </xdr:from>
    <xdr:to>
      <xdr:col>12</xdr:col>
      <xdr:colOff>406400</xdr:colOff>
      <xdr:row>15</xdr:row>
      <xdr:rowOff>85010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24C7F7-90D9-42E0-B664-15EF03237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222250"/>
          <a:ext cx="7054850" cy="26250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0-backup/Kanas/Kanas_Buck_Design_Cal_11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10-backup/Kanas/Kanas_BuckBoost_Design_Cal_11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ck"/>
      <sheetName val="HV Buck"/>
      <sheetName val="Buck original"/>
    </sheetNames>
    <sheetDataSet>
      <sheetData sheetId="0">
        <row r="6">
          <cell r="R6" t="str">
            <v>Current</v>
          </cell>
        </row>
      </sheetData>
      <sheetData sheetId="1">
        <row r="4">
          <cell r="C4">
            <v>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ckBoost"/>
      <sheetName val="BuckBoost original"/>
    </sheetNames>
    <sheetDataSet>
      <sheetData sheetId="0">
        <row r="6">
          <cell r="P6" t="str">
            <v>Current</v>
          </cell>
        </row>
      </sheetData>
      <sheetData sheetId="1">
        <row r="4">
          <cell r="F4">
            <v>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A568-6C88-43EF-9908-EA88E8566662}">
  <sheetPr codeName="Sheet1"/>
  <dimension ref="A1:F43"/>
  <sheetViews>
    <sheetView tabSelected="1" zoomScaleNormal="100" workbookViewId="0">
      <selection activeCell="D39" sqref="D39"/>
    </sheetView>
  </sheetViews>
  <sheetFormatPr defaultRowHeight="14.5" x14ac:dyDescent="0.35"/>
  <cols>
    <col min="1" max="1" width="13.81640625" customWidth="1"/>
    <col min="2" max="2" width="39.7265625" bestFit="1" customWidth="1"/>
    <col min="3" max="3" width="18.453125" bestFit="1" customWidth="1"/>
    <col min="4" max="4" width="14.1796875" customWidth="1"/>
    <col min="6" max="6" width="66.54296875" style="42" bestFit="1" customWidth="1"/>
  </cols>
  <sheetData>
    <row r="1" spans="1:6" ht="15" thickBot="1" x14ac:dyDescent="0.4"/>
    <row r="2" spans="1:6" ht="15" thickBot="1" x14ac:dyDescent="0.4">
      <c r="A2" s="43" t="s">
        <v>157</v>
      </c>
    </row>
    <row r="3" spans="1:6" ht="15" thickBot="1" x14ac:dyDescent="0.4">
      <c r="A3" s="44" t="s">
        <v>158</v>
      </c>
    </row>
    <row r="4" spans="1:6" ht="15" thickBot="1" x14ac:dyDescent="0.4">
      <c r="A4" s="45" t="s">
        <v>159</v>
      </c>
    </row>
    <row r="5" spans="1:6" ht="15" thickBot="1" x14ac:dyDescent="0.4">
      <c r="B5" s="55"/>
      <c r="C5" s="55"/>
      <c r="D5" s="55"/>
      <c r="E5" s="55"/>
      <c r="F5" s="46" t="s">
        <v>161</v>
      </c>
    </row>
    <row r="6" spans="1:6" ht="15" thickBot="1" x14ac:dyDescent="0.4">
      <c r="B6" s="46" t="s">
        <v>187</v>
      </c>
      <c r="C6" s="46"/>
      <c r="D6" s="59" t="s">
        <v>203</v>
      </c>
      <c r="E6" s="46"/>
      <c r="F6" s="46" t="s">
        <v>200</v>
      </c>
    </row>
    <row r="7" spans="1:6" ht="15" thickBot="1" x14ac:dyDescent="0.4">
      <c r="B7" s="46" t="s">
        <v>0</v>
      </c>
      <c r="C7" s="46" t="s">
        <v>1</v>
      </c>
      <c r="D7" s="59">
        <v>9</v>
      </c>
      <c r="E7" s="46" t="s">
        <v>106</v>
      </c>
      <c r="F7" s="46"/>
    </row>
    <row r="8" spans="1:6" ht="15" thickBot="1" x14ac:dyDescent="0.4">
      <c r="B8" s="46" t="s">
        <v>2</v>
      </c>
      <c r="C8" s="46" t="s">
        <v>3</v>
      </c>
      <c r="D8" s="59">
        <v>1500</v>
      </c>
      <c r="E8" s="46" t="s">
        <v>91</v>
      </c>
      <c r="F8" s="46"/>
    </row>
    <row r="9" spans="1:6" ht="15" thickBot="1" x14ac:dyDescent="0.4">
      <c r="B9" s="46" t="s">
        <v>4</v>
      </c>
      <c r="C9" s="46"/>
      <c r="D9" s="59">
        <v>1</v>
      </c>
      <c r="E9" s="46"/>
      <c r="F9" s="46"/>
    </row>
    <row r="10" spans="1:6" ht="15" thickBot="1" x14ac:dyDescent="0.4">
      <c r="B10" s="46" t="s">
        <v>5</v>
      </c>
      <c r="C10" s="46" t="s">
        <v>6</v>
      </c>
      <c r="D10" s="47">
        <f>D9*D8</f>
        <v>1500</v>
      </c>
      <c r="E10" s="46" t="s">
        <v>91</v>
      </c>
      <c r="F10" s="46"/>
    </row>
    <row r="11" spans="1:6" ht="15" thickBot="1" x14ac:dyDescent="0.4">
      <c r="B11" s="46" t="s">
        <v>111</v>
      </c>
      <c r="C11" s="46" t="s">
        <v>113</v>
      </c>
      <c r="D11" s="59">
        <v>1</v>
      </c>
      <c r="E11" s="46"/>
      <c r="F11" s="46"/>
    </row>
    <row r="12" spans="1:6" ht="15" thickBot="1" x14ac:dyDescent="0.4">
      <c r="B12" s="46" t="s">
        <v>112</v>
      </c>
      <c r="C12" s="46" t="s">
        <v>114</v>
      </c>
      <c r="D12" s="59">
        <v>1</v>
      </c>
      <c r="E12" s="46"/>
      <c r="F12" s="46"/>
    </row>
    <row r="13" spans="1:6" ht="15" thickBot="1" x14ac:dyDescent="0.4">
      <c r="B13" s="46" t="s">
        <v>7</v>
      </c>
      <c r="C13" s="46" t="s">
        <v>8</v>
      </c>
      <c r="D13" s="47">
        <f>D11*D12*D10</f>
        <v>1500</v>
      </c>
      <c r="E13" s="46" t="s">
        <v>91</v>
      </c>
      <c r="F13" s="46"/>
    </row>
    <row r="14" spans="1:6" ht="15" thickBot="1" x14ac:dyDescent="0.4">
      <c r="B14" s="46" t="s">
        <v>9</v>
      </c>
      <c r="C14" s="46" t="s">
        <v>10</v>
      </c>
      <c r="D14" s="59">
        <v>3</v>
      </c>
      <c r="E14" s="46"/>
      <c r="F14" s="46"/>
    </row>
    <row r="15" spans="1:6" ht="15" thickBot="1" x14ac:dyDescent="0.4">
      <c r="B15" s="46" t="s">
        <v>160</v>
      </c>
      <c r="C15" s="46" t="s">
        <v>11</v>
      </c>
      <c r="D15" s="59">
        <v>3.5</v>
      </c>
      <c r="E15" s="46" t="s">
        <v>106</v>
      </c>
      <c r="F15" s="46"/>
    </row>
    <row r="16" spans="1:6" ht="15" thickBot="1" x14ac:dyDescent="0.4">
      <c r="B16" s="46" t="s">
        <v>12</v>
      </c>
      <c r="C16" s="46" t="s">
        <v>13</v>
      </c>
      <c r="D16" s="48">
        <f>D15*D14</f>
        <v>10.5</v>
      </c>
      <c r="E16" s="46" t="s">
        <v>106</v>
      </c>
      <c r="F16" s="46"/>
    </row>
    <row r="17" spans="2:6" ht="15" thickBot="1" x14ac:dyDescent="0.4">
      <c r="B17" s="46" t="s">
        <v>122</v>
      </c>
      <c r="C17" s="46" t="s">
        <v>14</v>
      </c>
      <c r="D17" s="60">
        <v>0.74</v>
      </c>
      <c r="E17" s="46" t="s">
        <v>106</v>
      </c>
      <c r="F17" s="46"/>
    </row>
    <row r="18" spans="2:6" ht="15" thickBot="1" x14ac:dyDescent="0.4">
      <c r="B18" s="46" t="s">
        <v>15</v>
      </c>
      <c r="C18" s="46" t="s">
        <v>16</v>
      </c>
      <c r="D18" s="59">
        <v>0.4</v>
      </c>
      <c r="E18" s="46" t="s">
        <v>107</v>
      </c>
      <c r="F18" s="46"/>
    </row>
    <row r="19" spans="2:6" ht="15" thickBot="1" x14ac:dyDescent="0.4">
      <c r="B19" s="46" t="s">
        <v>123</v>
      </c>
      <c r="C19" s="46" t="s">
        <v>141</v>
      </c>
      <c r="D19" s="47">
        <f>'frequency setting'!F20</f>
        <v>52</v>
      </c>
      <c r="E19" s="46" t="s">
        <v>124</v>
      </c>
      <c r="F19" s="46"/>
    </row>
    <row r="20" spans="2:6" ht="15" thickBot="1" x14ac:dyDescent="0.4">
      <c r="B20" s="46" t="s">
        <v>115</v>
      </c>
      <c r="C20" s="46" t="s">
        <v>17</v>
      </c>
      <c r="D20" s="47">
        <f>IF(D18&lt;1, 22,10)</f>
        <v>22</v>
      </c>
      <c r="E20" s="46" t="s">
        <v>108</v>
      </c>
      <c r="F20" s="46"/>
    </row>
    <row r="21" spans="2:6" ht="15" thickBot="1" x14ac:dyDescent="0.4">
      <c r="B21" s="46" t="s">
        <v>116</v>
      </c>
      <c r="C21" s="46" t="s">
        <v>117</v>
      </c>
      <c r="D21" s="59">
        <v>22</v>
      </c>
      <c r="E21" s="46" t="s">
        <v>108</v>
      </c>
      <c r="F21" s="46"/>
    </row>
    <row r="22" spans="2:6" ht="15" thickBot="1" x14ac:dyDescent="0.4">
      <c r="B22" s="46" t="s">
        <v>199</v>
      </c>
      <c r="C22" s="46" t="s">
        <v>18</v>
      </c>
      <c r="D22" s="60">
        <v>0.1</v>
      </c>
      <c r="E22" s="46" t="s">
        <v>121</v>
      </c>
      <c r="F22" s="46"/>
    </row>
    <row r="23" spans="2:6" ht="15" thickBot="1" x14ac:dyDescent="0.4">
      <c r="B23" s="46" t="s">
        <v>137</v>
      </c>
      <c r="C23" s="46" t="s">
        <v>135</v>
      </c>
      <c r="D23" s="48">
        <f>IF(D6="Boost",IF(Boost!Ivalley&gt;=0,Boost!Ipeak_ccm,Boost!Ipeak),IF(BuckBoost!Ivalley&gt;=0,BuckBoost!Ipeak_ccm,BuckBoost!Ipeak))</f>
        <v>4.1254272233274296</v>
      </c>
      <c r="E23" s="46" t="s">
        <v>136</v>
      </c>
      <c r="F23" s="46" t="s">
        <v>201</v>
      </c>
    </row>
    <row r="24" spans="2:6" ht="15" thickBot="1" x14ac:dyDescent="0.4">
      <c r="B24" s="46" t="s">
        <v>138</v>
      </c>
      <c r="C24" s="46" t="s">
        <v>142</v>
      </c>
      <c r="D24" s="48">
        <f>IF(D6="Boost",IF(Boost!Ivalley&gt;=0,Boost!Ipp,Boost!Ipeak),IF(BuckBoost!Ivalley&gt;=0,BuckBoost!Ipp,BuckBoost!Ipeak))</f>
        <v>0.49399081575571629</v>
      </c>
      <c r="E24" s="46" t="s">
        <v>136</v>
      </c>
      <c r="F24" s="46"/>
    </row>
    <row r="25" spans="2:6" ht="15" thickBot="1" x14ac:dyDescent="0.4">
      <c r="B25" s="46" t="s">
        <v>139</v>
      </c>
      <c r="C25" s="46" t="s">
        <v>140</v>
      </c>
      <c r="D25" s="48">
        <f>(D23+D24/2)*1.5</f>
        <v>6.5586339468079311</v>
      </c>
      <c r="E25" s="46" t="s">
        <v>136</v>
      </c>
      <c r="F25" s="46"/>
    </row>
    <row r="26" spans="2:6" ht="15" thickBot="1" x14ac:dyDescent="0.4">
      <c r="B26" s="46" t="s">
        <v>118</v>
      </c>
      <c r="C26" s="46" t="s">
        <v>119</v>
      </c>
      <c r="D26" s="48">
        <f>1000*1000*0.2/D13</f>
        <v>133.33333333333334</v>
      </c>
      <c r="E26" s="46" t="s">
        <v>120</v>
      </c>
      <c r="F26" s="46"/>
    </row>
    <row r="27" spans="2:6" ht="15" thickBot="1" x14ac:dyDescent="0.4">
      <c r="B27" s="46" t="s">
        <v>188</v>
      </c>
      <c r="C27" s="46" t="s">
        <v>189</v>
      </c>
      <c r="D27" s="60">
        <v>133</v>
      </c>
      <c r="E27" s="46" t="s">
        <v>120</v>
      </c>
      <c r="F27" s="46"/>
    </row>
    <row r="28" spans="2:6" ht="15" thickBot="1" x14ac:dyDescent="0.4">
      <c r="B28" s="46" t="s">
        <v>134</v>
      </c>
      <c r="C28" s="46"/>
      <c r="D28" s="48">
        <f>IF(D6="Boost",Boost!K12,BuckBoost!K12)</f>
        <v>0.77479341986686878</v>
      </c>
      <c r="E28" s="46" t="s">
        <v>109</v>
      </c>
      <c r="F28" s="46"/>
    </row>
    <row r="29" spans="2:6" ht="15" thickBot="1" x14ac:dyDescent="0.4">
      <c r="B29" s="46" t="s">
        <v>190</v>
      </c>
      <c r="C29" s="46" t="s">
        <v>193</v>
      </c>
      <c r="D29" s="59">
        <v>500</v>
      </c>
      <c r="E29" s="46" t="s">
        <v>124</v>
      </c>
      <c r="F29" s="46"/>
    </row>
    <row r="30" spans="2:6" ht="15" thickBot="1" x14ac:dyDescent="0.4">
      <c r="B30" s="46" t="s">
        <v>191</v>
      </c>
      <c r="C30" s="46" t="s">
        <v>194</v>
      </c>
      <c r="D30" s="61">
        <v>10</v>
      </c>
      <c r="E30" s="46" t="s">
        <v>124</v>
      </c>
      <c r="F30" s="46"/>
    </row>
    <row r="31" spans="2:6" ht="15" thickBot="1" x14ac:dyDescent="0.4">
      <c r="B31" s="46" t="s">
        <v>192</v>
      </c>
      <c r="C31" s="46"/>
      <c r="D31" s="47" t="str">
        <f>IF(D6="Boost",IF(D16*(D30/(D30+D29))&lt;1.2, "PASS", "FAIL"),IF((D16+D7)*(D30/(D30+D29))&lt;1.2, "PASS", "FAIL"))</f>
        <v>PASS</v>
      </c>
      <c r="E31" s="46"/>
      <c r="F31" s="46"/>
    </row>
    <row r="32" spans="2:6" ht="15" thickBot="1" x14ac:dyDescent="0.4">
      <c r="B32" s="46" t="s">
        <v>130</v>
      </c>
      <c r="C32" s="46"/>
      <c r="D32" s="59" t="s">
        <v>125</v>
      </c>
      <c r="E32" s="46"/>
      <c r="F32" s="46"/>
    </row>
    <row r="33" spans="2:6" ht="15" thickBot="1" x14ac:dyDescent="0.4">
      <c r="B33" s="46" t="s">
        <v>131</v>
      </c>
      <c r="C33" s="46" t="s">
        <v>126</v>
      </c>
      <c r="D33" s="48">
        <f>IF(D6="Boost",Boost!K15,BuckBoost!K15)</f>
        <v>2.0569968127692055</v>
      </c>
      <c r="E33" s="46" t="s">
        <v>109</v>
      </c>
      <c r="F33" s="46"/>
    </row>
    <row r="34" spans="2:6" ht="15" thickBot="1" x14ac:dyDescent="0.4">
      <c r="B34" s="46" t="s">
        <v>132</v>
      </c>
      <c r="C34" s="46" t="s">
        <v>127</v>
      </c>
      <c r="D34" s="48">
        <f>IF(D6="Boost",Boost!K16,BuckBoost!K16)</f>
        <v>61.709904383076164</v>
      </c>
      <c r="E34" s="46" t="s">
        <v>128</v>
      </c>
      <c r="F34" s="46"/>
    </row>
    <row r="35" spans="2:6" ht="15" thickBot="1" x14ac:dyDescent="0.4">
      <c r="B35" s="46" t="s">
        <v>129</v>
      </c>
      <c r="C35" s="46" t="s">
        <v>152</v>
      </c>
      <c r="D35" s="59">
        <v>120</v>
      </c>
      <c r="E35" s="46" t="s">
        <v>128</v>
      </c>
      <c r="F35" s="46" t="s">
        <v>163</v>
      </c>
    </row>
    <row r="36" spans="2:6" ht="15" thickBot="1" x14ac:dyDescent="0.4">
      <c r="B36" s="46" t="s">
        <v>129</v>
      </c>
      <c r="C36" s="46" t="s">
        <v>133</v>
      </c>
      <c r="D36" s="49">
        <f>'thermal foldback'!Z5</f>
        <v>29.783475200003522</v>
      </c>
      <c r="E36" s="46" t="s">
        <v>124</v>
      </c>
      <c r="F36" s="46"/>
    </row>
    <row r="37" spans="2:6" ht="15" thickBot="1" x14ac:dyDescent="0.4">
      <c r="B37" s="46" t="s">
        <v>155</v>
      </c>
      <c r="C37" s="50" t="s">
        <v>156</v>
      </c>
      <c r="D37" s="51">
        <f>IF(D6="Boost",Boost!K19,BuckBoost!K19)</f>
        <v>0.72530398725698864</v>
      </c>
      <c r="E37" s="46"/>
      <c r="F37" s="46" t="s">
        <v>164</v>
      </c>
    </row>
    <row r="38" spans="2:6" ht="15" thickBot="1" x14ac:dyDescent="0.4">
      <c r="B38" s="46" t="s">
        <v>143</v>
      </c>
      <c r="C38" s="46" t="s">
        <v>144</v>
      </c>
      <c r="D38" s="59">
        <v>47</v>
      </c>
      <c r="E38" s="46" t="s">
        <v>110</v>
      </c>
      <c r="F38" s="46" t="s">
        <v>162</v>
      </c>
    </row>
    <row r="39" spans="2:6" ht="15" thickBot="1" x14ac:dyDescent="0.4">
      <c r="B39" s="46" t="s">
        <v>21</v>
      </c>
      <c r="C39" s="46" t="s">
        <v>22</v>
      </c>
      <c r="D39" s="59">
        <v>20</v>
      </c>
      <c r="E39" s="46" t="s">
        <v>110</v>
      </c>
      <c r="F39" s="46"/>
    </row>
    <row r="40" spans="2:6" ht="15" thickBot="1" x14ac:dyDescent="0.4">
      <c r="B40" s="46" t="s">
        <v>23</v>
      </c>
      <c r="C40" s="46" t="s">
        <v>48</v>
      </c>
      <c r="D40" s="59">
        <v>5.0000000000000001E-3</v>
      </c>
      <c r="E40" s="52" t="s">
        <v>109</v>
      </c>
      <c r="F40" s="46"/>
    </row>
    <row r="41" spans="2:6" ht="15" thickBot="1" x14ac:dyDescent="0.4">
      <c r="B41" s="46" t="s">
        <v>145</v>
      </c>
      <c r="C41" s="46" t="s">
        <v>147</v>
      </c>
      <c r="D41" s="59">
        <v>100</v>
      </c>
      <c r="E41" s="46" t="s">
        <v>195</v>
      </c>
      <c r="F41" s="46"/>
    </row>
    <row r="42" spans="2:6" ht="15" thickBot="1" x14ac:dyDescent="0.4">
      <c r="B42" s="46" t="s">
        <v>146</v>
      </c>
      <c r="C42" s="46" t="s">
        <v>148</v>
      </c>
      <c r="D42" s="48">
        <f>IF(D6="Boost",Boost!C12,BuckBoost!C12)*1000</f>
        <v>114.98355462660749</v>
      </c>
      <c r="E42" s="46" t="s">
        <v>195</v>
      </c>
      <c r="F42" s="46" t="s">
        <v>165</v>
      </c>
    </row>
    <row r="43" spans="2:6" ht="15" thickBot="1" x14ac:dyDescent="0.4">
      <c r="B43" s="56" t="s">
        <v>196</v>
      </c>
      <c r="C43" s="56" t="s">
        <v>197</v>
      </c>
      <c r="D43" s="48">
        <f>IF(D6="Boost",Boost!D*(1-Boost!D)*Boost!IL/(Boost!FS*0.3)*1000000,BuckBoost!D*(1-BuckBoost!D)*BuckBoost!IL/(BuckBoost!FS*0.3)*1000000)</f>
        <v>7.6655727308827224</v>
      </c>
      <c r="E43" s="56" t="s">
        <v>110</v>
      </c>
      <c r="F43" s="46" t="s">
        <v>198</v>
      </c>
    </row>
  </sheetData>
  <sheetProtection algorithmName="SHA-512" hashValue="6f9n7GwUoF2rz4pFStsPdbGWIKsQXrteOllfkay1eD3HLBg7kHnMRH0sDF528BMyKmYJ7twe9qaWYtTNwUoW4w==" saltValue="00xxOJhWfilibPBNPgt29g==" spinCount="100000" sheet="1" objects="1" scenarios="1" selectLockedCells="1"/>
  <dataValidations count="3">
    <dataValidation type="list" allowBlank="1" showInputMessage="1" showErrorMessage="1" sqref="D32" xr:uid="{8BDD0D01-3AFD-4D0E-BD1A-29907A04C523}">
      <formula1>"VSON, WSON, SOT"</formula1>
    </dataValidation>
    <dataValidation type="list" allowBlank="1" showInputMessage="1" showErrorMessage="1" sqref="D18" xr:uid="{3C80B117-8450-4C8C-863C-7BC3B1FC2A19}">
      <formula1>"0.1,0.2,0.3,0.4,0.6,0.8,1,1.2,1.5,1.8,2.2"</formula1>
    </dataValidation>
    <dataValidation type="list" allowBlank="1" showInputMessage="1" showErrorMessage="1" sqref="D6" xr:uid="{33A61AC5-7C75-4D76-8794-F17749EB0801}">
      <formula1>"Boost, Buck-Boost"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7C35-E9CB-4F2E-8828-BDB9797D13AC}">
  <dimension ref="A1:Q40"/>
  <sheetViews>
    <sheetView zoomScale="130" zoomScaleNormal="130" workbookViewId="0">
      <selection activeCell="H10" sqref="H10"/>
    </sheetView>
  </sheetViews>
  <sheetFormatPr defaultRowHeight="14.5" x14ac:dyDescent="0.35"/>
  <cols>
    <col min="6" max="6" width="11.7265625" bestFit="1" customWidth="1"/>
    <col min="7" max="7" width="16.54296875" customWidth="1"/>
    <col min="8" max="8" width="16.1796875" customWidth="1"/>
    <col min="10" max="11" width="12.81640625" customWidth="1"/>
    <col min="12" max="13" width="7.1796875" customWidth="1"/>
    <col min="14" max="14" width="8.453125" customWidth="1"/>
    <col min="15" max="15" width="8.1796875" customWidth="1"/>
    <col min="16" max="16" width="10.26953125" bestFit="1" customWidth="1"/>
    <col min="17" max="17" width="13.453125" bestFit="1" customWidth="1"/>
  </cols>
  <sheetData>
    <row r="1" spans="1:16" x14ac:dyDescent="0.35">
      <c r="A1" t="s">
        <v>1</v>
      </c>
      <c r="B1" t="s">
        <v>51</v>
      </c>
      <c r="C1" t="s">
        <v>202</v>
      </c>
      <c r="D1" t="s">
        <v>8</v>
      </c>
      <c r="E1" t="s">
        <v>155</v>
      </c>
      <c r="F1" t="s">
        <v>207</v>
      </c>
      <c r="G1" t="s">
        <v>187</v>
      </c>
      <c r="J1" s="58" t="s">
        <v>226</v>
      </c>
      <c r="K1" s="58" t="s">
        <v>187</v>
      </c>
      <c r="L1" s="58" t="s">
        <v>1</v>
      </c>
      <c r="M1" s="58" t="s">
        <v>51</v>
      </c>
      <c r="N1" s="58" t="s">
        <v>202</v>
      </c>
      <c r="O1" s="58" t="s">
        <v>8</v>
      </c>
      <c r="P1" s="58" t="s">
        <v>155</v>
      </c>
    </row>
    <row r="2" spans="1:16" x14ac:dyDescent="0.35">
      <c r="A2">
        <v>13.47</v>
      </c>
      <c r="B2">
        <v>1.29</v>
      </c>
      <c r="C2">
        <v>14.53</v>
      </c>
      <c r="D2">
        <v>0.98899999999999999</v>
      </c>
      <c r="E2">
        <f>C2*D2/B2/A2</f>
        <v>0.826998267755506</v>
      </c>
      <c r="F2">
        <v>80</v>
      </c>
      <c r="G2" t="s">
        <v>204</v>
      </c>
      <c r="J2" s="58" t="s">
        <v>225</v>
      </c>
      <c r="K2" s="58" t="s">
        <v>229</v>
      </c>
      <c r="L2" s="58">
        <v>13.54</v>
      </c>
      <c r="M2" s="58">
        <v>1.84</v>
      </c>
      <c r="N2" s="58">
        <v>23.47</v>
      </c>
      <c r="O2" s="58">
        <v>0.98899999999999999</v>
      </c>
      <c r="P2" s="58">
        <f>N2*O2/M2/L2</f>
        <v>0.93169313146233379</v>
      </c>
    </row>
    <row r="3" spans="1:16" x14ac:dyDescent="0.35">
      <c r="J3" s="58" t="s">
        <v>225</v>
      </c>
      <c r="K3" s="58" t="s">
        <v>229</v>
      </c>
      <c r="L3" s="58">
        <v>9.01</v>
      </c>
      <c r="M3" s="58">
        <v>2.94</v>
      </c>
      <c r="N3" s="58">
        <v>23.44</v>
      </c>
      <c r="O3" s="58">
        <v>0.98899999999999999</v>
      </c>
      <c r="P3" s="58">
        <f>N3*O3/M3/L3</f>
        <v>0.8751485499860322</v>
      </c>
    </row>
    <row r="4" spans="1:16" x14ac:dyDescent="0.35">
      <c r="A4">
        <v>8.9700000000000006</v>
      </c>
      <c r="B4">
        <v>1.27</v>
      </c>
      <c r="C4">
        <v>8.92</v>
      </c>
      <c r="D4">
        <v>0.98899999999999999</v>
      </c>
      <c r="E4">
        <f>C4*D4/B4/A4</f>
        <v>0.77439935392691295</v>
      </c>
      <c r="F4">
        <v>69.8</v>
      </c>
      <c r="G4" t="s">
        <v>204</v>
      </c>
      <c r="J4" s="58" t="s">
        <v>227</v>
      </c>
      <c r="K4" s="58" t="s">
        <v>203</v>
      </c>
      <c r="L4" s="58">
        <v>13.5</v>
      </c>
      <c r="M4" s="58">
        <v>1.29</v>
      </c>
      <c r="N4" s="58">
        <v>15.09</v>
      </c>
      <c r="O4" s="58">
        <v>0.98899999999999999</v>
      </c>
      <c r="P4" s="58">
        <f>N4*O4/M4/L4</f>
        <v>0.85696296296296293</v>
      </c>
    </row>
    <row r="5" spans="1:16" x14ac:dyDescent="0.35">
      <c r="A5">
        <v>5.94</v>
      </c>
      <c r="B5">
        <v>2.1</v>
      </c>
      <c r="C5">
        <v>8.89</v>
      </c>
      <c r="D5">
        <v>0.98899999999999999</v>
      </c>
      <c r="E5">
        <f>C5*D5/B5/A5</f>
        <v>0.70484287317620653</v>
      </c>
      <c r="F5">
        <v>98.9</v>
      </c>
      <c r="G5" t="s">
        <v>204</v>
      </c>
      <c r="J5" s="58" t="s">
        <v>227</v>
      </c>
      <c r="K5" s="58" t="s">
        <v>203</v>
      </c>
      <c r="L5" s="58">
        <v>9.0399999999999991</v>
      </c>
      <c r="M5" s="58">
        <v>2.06</v>
      </c>
      <c r="N5" s="58">
        <v>15.24</v>
      </c>
      <c r="O5" s="58">
        <v>0.98899999999999999</v>
      </c>
      <c r="P5" s="58">
        <f>N5*O5/M5/L5</f>
        <v>0.80936721367815112</v>
      </c>
    </row>
    <row r="6" spans="1:16" x14ac:dyDescent="0.35">
      <c r="J6" s="58" t="s">
        <v>228</v>
      </c>
      <c r="K6" s="58" t="s">
        <v>203</v>
      </c>
      <c r="L6" s="58">
        <v>13.51</v>
      </c>
      <c r="M6" s="58">
        <v>0.81</v>
      </c>
      <c r="N6" s="58">
        <v>9.41</v>
      </c>
      <c r="O6" s="58">
        <v>0.98899999999999999</v>
      </c>
      <c r="P6" s="58">
        <f>N6*O6/M6/L6</f>
        <v>0.85044365856110238</v>
      </c>
    </row>
    <row r="7" spans="1:16" x14ac:dyDescent="0.35">
      <c r="A7">
        <v>8.93</v>
      </c>
      <c r="B7">
        <v>2.62</v>
      </c>
      <c r="C7">
        <v>20.149999999999999</v>
      </c>
      <c r="D7">
        <v>0.98899999999999999</v>
      </c>
      <c r="E7">
        <f>C7*D7/B7/A7</f>
        <v>0.85176264927382606</v>
      </c>
      <c r="F7">
        <v>80.2</v>
      </c>
      <c r="G7" t="s">
        <v>205</v>
      </c>
    </row>
    <row r="8" spans="1:16" x14ac:dyDescent="0.35">
      <c r="A8">
        <v>13.54</v>
      </c>
      <c r="B8">
        <v>1.84</v>
      </c>
      <c r="C8">
        <v>23.47</v>
      </c>
      <c r="D8">
        <v>0.98899999999999999</v>
      </c>
      <c r="E8">
        <f>C8*D8/B8/A8</f>
        <v>0.93169313146233379</v>
      </c>
      <c r="H8" t="s">
        <v>206</v>
      </c>
    </row>
    <row r="9" spans="1:16" x14ac:dyDescent="0.35">
      <c r="A9">
        <v>13.53</v>
      </c>
      <c r="B9">
        <v>2.0699999999999998</v>
      </c>
      <c r="C9">
        <v>26.19</v>
      </c>
      <c r="D9">
        <v>0.98899999999999999</v>
      </c>
      <c r="E9">
        <f>C9*D9/B9/A9</f>
        <v>0.92483370288248357</v>
      </c>
    </row>
    <row r="10" spans="1:16" x14ac:dyDescent="0.35">
      <c r="A10">
        <v>9</v>
      </c>
      <c r="B10">
        <v>3.41</v>
      </c>
      <c r="C10">
        <v>26.26</v>
      </c>
      <c r="D10">
        <v>0.98799999999999999</v>
      </c>
      <c r="E10">
        <f>C10*D10/B10/A10</f>
        <v>0.845385467579016</v>
      </c>
      <c r="F10">
        <v>146</v>
      </c>
      <c r="G10" t="s">
        <v>205</v>
      </c>
    </row>
    <row r="11" spans="1:16" x14ac:dyDescent="0.35">
      <c r="A11">
        <v>9.01</v>
      </c>
      <c r="B11">
        <v>2.94</v>
      </c>
      <c r="C11">
        <v>23.44</v>
      </c>
      <c r="D11">
        <v>0.98899999999999999</v>
      </c>
      <c r="E11">
        <f>C11*D11/B11/A11</f>
        <v>0.8751485499860322</v>
      </c>
      <c r="F11">
        <v>108</v>
      </c>
      <c r="G11" t="s">
        <v>205</v>
      </c>
      <c r="I11">
        <f>A11*B11-C11*D11</f>
        <v>3.3072400000000002</v>
      </c>
    </row>
    <row r="14" spans="1:16" x14ac:dyDescent="0.35">
      <c r="A14">
        <v>9.0399999999999991</v>
      </c>
      <c r="B14">
        <v>2.06</v>
      </c>
      <c r="C14">
        <v>15.24</v>
      </c>
      <c r="D14">
        <v>0.98899999999999999</v>
      </c>
      <c r="E14">
        <f>C14*D14/B14/A14</f>
        <v>0.80936721367815112</v>
      </c>
      <c r="F14">
        <v>105</v>
      </c>
      <c r="G14" t="s">
        <v>204</v>
      </c>
    </row>
    <row r="15" spans="1:16" x14ac:dyDescent="0.35">
      <c r="A15">
        <v>16.02</v>
      </c>
      <c r="B15">
        <v>1.08</v>
      </c>
      <c r="C15">
        <v>15.17</v>
      </c>
      <c r="D15">
        <v>0.98799999999999999</v>
      </c>
      <c r="E15">
        <f>C15*D15/B15/A15</f>
        <v>0.86627595135709989</v>
      </c>
      <c r="F15">
        <v>81.400000000000006</v>
      </c>
      <c r="G15" t="s">
        <v>204</v>
      </c>
    </row>
    <row r="16" spans="1:16" x14ac:dyDescent="0.35">
      <c r="A16">
        <v>13.5</v>
      </c>
      <c r="B16">
        <v>1.29</v>
      </c>
      <c r="C16">
        <v>15.09</v>
      </c>
      <c r="D16">
        <v>0.98899999999999999</v>
      </c>
      <c r="E16">
        <f>C16*D16/B16/A16</f>
        <v>0.85696296296296293</v>
      </c>
      <c r="F16">
        <v>84</v>
      </c>
      <c r="G16" t="s">
        <v>204</v>
      </c>
    </row>
    <row r="17" spans="1:17" x14ac:dyDescent="0.35">
      <c r="A17">
        <v>13.51</v>
      </c>
      <c r="B17">
        <v>0.81</v>
      </c>
      <c r="C17">
        <v>9.41</v>
      </c>
      <c r="D17">
        <v>0.98899999999999999</v>
      </c>
      <c r="E17">
        <f>C17*D17/B17/A17</f>
        <v>0.85044365856110238</v>
      </c>
      <c r="F17">
        <v>58</v>
      </c>
    </row>
    <row r="24" spans="1:17" x14ac:dyDescent="0.35">
      <c r="A24" s="42" t="s">
        <v>1</v>
      </c>
      <c r="B24" s="42" t="s">
        <v>51</v>
      </c>
      <c r="C24" s="42" t="s">
        <v>202</v>
      </c>
      <c r="D24" s="42" t="s">
        <v>8</v>
      </c>
      <c r="E24" s="42" t="s">
        <v>155</v>
      </c>
      <c r="F24" s="42" t="s">
        <v>207</v>
      </c>
      <c r="G24" s="42" t="s">
        <v>208</v>
      </c>
    </row>
    <row r="25" spans="1:17" x14ac:dyDescent="0.35">
      <c r="A25" s="42">
        <v>13.47</v>
      </c>
      <c r="B25" s="42">
        <v>1.29</v>
      </c>
      <c r="C25" s="42">
        <v>14.53</v>
      </c>
      <c r="D25" s="42">
        <v>0.98899999999999999</v>
      </c>
      <c r="E25" s="42">
        <f t="shared" ref="E25:E31" si="0">C25*D25/B25/A25</f>
        <v>0.826998267755506</v>
      </c>
      <c r="F25" s="42">
        <v>80</v>
      </c>
      <c r="G25" s="42">
        <v>1.02</v>
      </c>
      <c r="N25" t="s">
        <v>215</v>
      </c>
      <c r="O25" t="s">
        <v>214</v>
      </c>
      <c r="P25" t="s">
        <v>216</v>
      </c>
      <c r="Q25" t="s">
        <v>217</v>
      </c>
    </row>
    <row r="26" spans="1:17" x14ac:dyDescent="0.35">
      <c r="A26" s="42">
        <v>8.9700000000000006</v>
      </c>
      <c r="B26" s="42">
        <v>1.27</v>
      </c>
      <c r="C26" s="42">
        <v>8.92</v>
      </c>
      <c r="D26" s="42">
        <v>0.98899999999999999</v>
      </c>
      <c r="E26" s="42">
        <f t="shared" si="0"/>
        <v>0.77439935392691295</v>
      </c>
      <c r="F26" s="42">
        <v>69.8</v>
      </c>
      <c r="G26" s="42">
        <v>0.78</v>
      </c>
      <c r="N26" t="s">
        <v>210</v>
      </c>
      <c r="O26" t="s">
        <v>211</v>
      </c>
      <c r="P26">
        <v>1</v>
      </c>
      <c r="Q26" t="s">
        <v>222</v>
      </c>
    </row>
    <row r="27" spans="1:17" x14ac:dyDescent="0.35">
      <c r="A27" s="42">
        <v>5.94</v>
      </c>
      <c r="B27" s="42">
        <v>2.1</v>
      </c>
      <c r="C27" s="42">
        <v>8.89</v>
      </c>
      <c r="D27" s="42">
        <v>0.98899999999999999</v>
      </c>
      <c r="E27" s="42">
        <f t="shared" si="0"/>
        <v>0.70484287317620653</v>
      </c>
      <c r="F27" s="42">
        <v>98.9</v>
      </c>
      <c r="G27" s="42">
        <v>1.27</v>
      </c>
      <c r="N27" t="s">
        <v>213</v>
      </c>
      <c r="O27" t="s">
        <v>212</v>
      </c>
      <c r="P27">
        <v>1</v>
      </c>
      <c r="Q27" t="s">
        <v>222</v>
      </c>
    </row>
    <row r="28" spans="1:17" x14ac:dyDescent="0.35">
      <c r="A28" s="42">
        <v>9.0399999999999991</v>
      </c>
      <c r="B28" s="42">
        <v>2.06</v>
      </c>
      <c r="C28" s="42">
        <v>15.24</v>
      </c>
      <c r="D28" s="42">
        <v>0.98899999999999999</v>
      </c>
      <c r="E28" s="42">
        <f t="shared" si="0"/>
        <v>0.80936721367815112</v>
      </c>
      <c r="F28" s="42">
        <v>105</v>
      </c>
      <c r="G28" s="42">
        <v>1.59</v>
      </c>
      <c r="N28" t="s">
        <v>218</v>
      </c>
      <c r="O28" t="s">
        <v>219</v>
      </c>
      <c r="P28">
        <v>2</v>
      </c>
      <c r="Q28" t="s">
        <v>223</v>
      </c>
    </row>
    <row r="29" spans="1:17" x14ac:dyDescent="0.35">
      <c r="A29" s="42">
        <v>16.02</v>
      </c>
      <c r="B29" s="42">
        <v>1.08</v>
      </c>
      <c r="C29" s="42">
        <v>15.17</v>
      </c>
      <c r="D29" s="42">
        <v>0.98799999999999999</v>
      </c>
      <c r="E29" s="42">
        <f t="shared" si="0"/>
        <v>0.86627595135709989</v>
      </c>
      <c r="F29" s="42">
        <v>81.400000000000006</v>
      </c>
      <c r="G29" s="42">
        <v>0.97</v>
      </c>
      <c r="N29" t="s">
        <v>220</v>
      </c>
      <c r="O29" t="s">
        <v>221</v>
      </c>
      <c r="P29">
        <v>3</v>
      </c>
      <c r="Q29" t="s">
        <v>224</v>
      </c>
    </row>
    <row r="30" spans="1:17" x14ac:dyDescent="0.35">
      <c r="A30" s="42">
        <v>13.5</v>
      </c>
      <c r="B30" s="42">
        <v>1.29</v>
      </c>
      <c r="C30" s="42">
        <v>15.09</v>
      </c>
      <c r="D30" s="42">
        <v>0.98899999999999999</v>
      </c>
      <c r="E30" s="42">
        <f t="shared" si="0"/>
        <v>0.85696296296296293</v>
      </c>
      <c r="F30" s="42">
        <v>84</v>
      </c>
      <c r="G30" s="42">
        <v>1.06</v>
      </c>
    </row>
    <row r="31" spans="1:17" x14ac:dyDescent="0.35">
      <c r="A31" s="42">
        <v>13.51</v>
      </c>
      <c r="B31" s="42">
        <v>0.81</v>
      </c>
      <c r="C31" s="42">
        <v>9.41</v>
      </c>
      <c r="D31" s="42">
        <v>0.98899999999999999</v>
      </c>
      <c r="E31" s="42">
        <f t="shared" si="0"/>
        <v>0.85044365856110238</v>
      </c>
      <c r="F31" s="42">
        <v>58</v>
      </c>
      <c r="G31" s="42">
        <v>0.63</v>
      </c>
    </row>
    <row r="33" spans="1:8" x14ac:dyDescent="0.35">
      <c r="A33" s="57" t="s">
        <v>1</v>
      </c>
      <c r="B33" s="57" t="s">
        <v>51</v>
      </c>
      <c r="C33" s="57" t="s">
        <v>202</v>
      </c>
      <c r="D33" s="57" t="s">
        <v>8</v>
      </c>
      <c r="E33" s="57" t="s">
        <v>155</v>
      </c>
      <c r="F33" s="57" t="s">
        <v>207</v>
      </c>
      <c r="G33" s="57" t="s">
        <v>208</v>
      </c>
      <c r="H33" s="57" t="s">
        <v>209</v>
      </c>
    </row>
    <row r="34" spans="1:8" x14ac:dyDescent="0.35">
      <c r="A34" s="57">
        <v>16.02</v>
      </c>
      <c r="B34" s="57">
        <v>1.08</v>
      </c>
      <c r="C34" s="57">
        <v>15.17</v>
      </c>
      <c r="D34" s="57">
        <v>0.98799999999999999</v>
      </c>
      <c r="E34" s="57">
        <f t="shared" ref="E34:E40" si="1">C34*D34/B34/A34</f>
        <v>0.86627595135709989</v>
      </c>
      <c r="F34" s="57">
        <v>81.400000000000006</v>
      </c>
      <c r="G34" s="57">
        <v>0.97</v>
      </c>
      <c r="H34" s="57">
        <f>(F34-25)/G34</f>
        <v>58.144329896907223</v>
      </c>
    </row>
    <row r="35" spans="1:8" x14ac:dyDescent="0.35">
      <c r="A35" s="57">
        <v>13.5</v>
      </c>
      <c r="B35" s="57">
        <v>1.29</v>
      </c>
      <c r="C35" s="57">
        <v>15.09</v>
      </c>
      <c r="D35" s="57">
        <v>0.98899999999999999</v>
      </c>
      <c r="E35" s="57">
        <f t="shared" si="1"/>
        <v>0.85696296296296293</v>
      </c>
      <c r="F35" s="57">
        <v>84</v>
      </c>
      <c r="G35" s="57">
        <v>1.06</v>
      </c>
      <c r="H35" s="57">
        <f t="shared" ref="H35:H40" si="2">(F35-25)/G35</f>
        <v>55.660377358490564</v>
      </c>
    </row>
    <row r="36" spans="1:8" x14ac:dyDescent="0.35">
      <c r="A36" s="57">
        <v>13.47</v>
      </c>
      <c r="B36" s="57">
        <v>1.29</v>
      </c>
      <c r="C36" s="57">
        <v>14.53</v>
      </c>
      <c r="D36" s="57">
        <v>0.98899999999999999</v>
      </c>
      <c r="E36" s="57">
        <f t="shared" si="1"/>
        <v>0.826998267755506</v>
      </c>
      <c r="F36" s="57">
        <v>80</v>
      </c>
      <c r="G36" s="57">
        <v>1.02</v>
      </c>
      <c r="H36" s="57">
        <f t="shared" si="2"/>
        <v>53.921568627450981</v>
      </c>
    </row>
    <row r="37" spans="1:8" x14ac:dyDescent="0.35">
      <c r="A37" s="57">
        <v>13.51</v>
      </c>
      <c r="B37" s="57">
        <v>0.81</v>
      </c>
      <c r="C37" s="57">
        <v>9.41</v>
      </c>
      <c r="D37" s="57">
        <v>0.98899999999999999</v>
      </c>
      <c r="E37" s="57">
        <f t="shared" si="1"/>
        <v>0.85044365856110238</v>
      </c>
      <c r="F37" s="57">
        <v>58</v>
      </c>
      <c r="G37" s="57">
        <v>0.63</v>
      </c>
      <c r="H37" s="57">
        <f t="shared" si="2"/>
        <v>52.38095238095238</v>
      </c>
    </row>
    <row r="38" spans="1:8" x14ac:dyDescent="0.35">
      <c r="A38" s="57">
        <v>9.0399999999999991</v>
      </c>
      <c r="B38" s="57">
        <v>2.06</v>
      </c>
      <c r="C38" s="57">
        <v>15.24</v>
      </c>
      <c r="D38" s="57">
        <v>0.98899999999999999</v>
      </c>
      <c r="E38" s="57">
        <f t="shared" si="1"/>
        <v>0.80936721367815112</v>
      </c>
      <c r="F38" s="57">
        <v>105</v>
      </c>
      <c r="G38" s="57">
        <v>1.59</v>
      </c>
      <c r="H38" s="57">
        <f t="shared" si="2"/>
        <v>50.314465408805027</v>
      </c>
    </row>
    <row r="39" spans="1:8" x14ac:dyDescent="0.35">
      <c r="A39" s="57">
        <v>8.9700000000000006</v>
      </c>
      <c r="B39" s="57">
        <v>1.27</v>
      </c>
      <c r="C39" s="57">
        <v>8.92</v>
      </c>
      <c r="D39" s="57">
        <v>0.98899999999999999</v>
      </c>
      <c r="E39" s="57">
        <f t="shared" si="1"/>
        <v>0.77439935392691295</v>
      </c>
      <c r="F39" s="57">
        <v>69.8</v>
      </c>
      <c r="G39" s="57">
        <v>0.78</v>
      </c>
      <c r="H39" s="57">
        <f t="shared" si="2"/>
        <v>57.435897435897431</v>
      </c>
    </row>
    <row r="40" spans="1:8" x14ac:dyDescent="0.35">
      <c r="A40" s="57">
        <v>5.94</v>
      </c>
      <c r="B40" s="57">
        <v>2.1</v>
      </c>
      <c r="C40" s="57">
        <v>8.89</v>
      </c>
      <c r="D40" s="57">
        <v>0.98899999999999999</v>
      </c>
      <c r="E40" s="57">
        <f t="shared" si="1"/>
        <v>0.70484287317620653</v>
      </c>
      <c r="F40" s="57">
        <v>98.9</v>
      </c>
      <c r="G40" s="57">
        <v>1.27</v>
      </c>
      <c r="H40" s="57">
        <f t="shared" si="2"/>
        <v>58.188976377952763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C0AEF-6A1C-45D9-81E9-34F7AB419930}">
  <sheetPr codeName="Sheet2"/>
  <dimension ref="A1:AD45"/>
  <sheetViews>
    <sheetView topLeftCell="O1" zoomScaleNormal="100" workbookViewId="0">
      <selection activeCell="R4" sqref="R4"/>
    </sheetView>
  </sheetViews>
  <sheetFormatPr defaultColWidth="9.1796875" defaultRowHeight="14.5" x14ac:dyDescent="0.35"/>
  <cols>
    <col min="1" max="2" width="9.1796875" style="3"/>
    <col min="3" max="3" width="12.1796875" style="3" bestFit="1" customWidth="1"/>
    <col min="4" max="4" width="11.453125" style="3" customWidth="1"/>
    <col min="5" max="5" width="9.81640625" style="3" customWidth="1"/>
    <col min="6" max="6" width="10.81640625" style="3" customWidth="1"/>
    <col min="7" max="7" width="9.81640625" style="3" customWidth="1"/>
    <col min="8" max="9" width="9.1796875" style="3"/>
    <col min="10" max="10" width="26.54296875" style="3" customWidth="1"/>
    <col min="11" max="11" width="9.453125" style="3" customWidth="1"/>
    <col min="12" max="12" width="10.453125" style="3" customWidth="1"/>
    <col min="13" max="13" width="12" style="3" bestFit="1" customWidth="1"/>
    <col min="14" max="14" width="29.54296875" style="3" bestFit="1" customWidth="1"/>
    <col min="15" max="15" width="9.1796875" style="3"/>
    <col min="16" max="16" width="16.54296875" style="3" customWidth="1"/>
    <col min="17" max="23" width="9.1796875" style="3"/>
    <col min="24" max="24" width="11" style="3" customWidth="1"/>
    <col min="25" max="25" width="9.1796875" style="3"/>
    <col min="26" max="26" width="12.81640625" style="3" bestFit="1" customWidth="1"/>
    <col min="27" max="27" width="11.54296875" style="3" customWidth="1"/>
    <col min="28" max="28" width="11" style="3" customWidth="1"/>
    <col min="29" max="16384" width="9.1796875" style="3"/>
  </cols>
  <sheetData>
    <row r="1" spans="1:28" x14ac:dyDescent="0.35">
      <c r="A1" s="2"/>
      <c r="D1" s="4" t="s">
        <v>167</v>
      </c>
      <c r="E1" s="4"/>
      <c r="F1" s="4"/>
      <c r="G1" s="4"/>
      <c r="H1" s="4"/>
      <c r="P1" s="7" t="s">
        <v>168</v>
      </c>
    </row>
    <row r="2" spans="1:28" x14ac:dyDescent="0.35">
      <c r="P2" s="5">
        <v>2E-8</v>
      </c>
    </row>
    <row r="3" spans="1:28" ht="16.5" x14ac:dyDescent="0.4">
      <c r="A3" s="3" t="s">
        <v>169</v>
      </c>
      <c r="B3" s="6" t="s">
        <v>32</v>
      </c>
      <c r="C3" s="6" t="s">
        <v>33</v>
      </c>
      <c r="D3" s="6" t="s">
        <v>34</v>
      </c>
      <c r="E3" s="6" t="s">
        <v>166</v>
      </c>
      <c r="F3" s="6" t="s">
        <v>35</v>
      </c>
      <c r="G3" s="6" t="s">
        <v>36</v>
      </c>
      <c r="H3" s="6" t="s">
        <v>37</v>
      </c>
      <c r="I3" s="6" t="s">
        <v>38</v>
      </c>
      <c r="J3" s="6" t="s">
        <v>39</v>
      </c>
      <c r="K3" s="6" t="s">
        <v>40</v>
      </c>
      <c r="L3" s="6" t="s">
        <v>41</v>
      </c>
      <c r="M3" s="7" t="s">
        <v>42</v>
      </c>
      <c r="N3" s="8" t="s">
        <v>43</v>
      </c>
      <c r="O3" s="9" t="s">
        <v>44</v>
      </c>
      <c r="P3" s="7" t="s">
        <v>45</v>
      </c>
      <c r="Q3" s="9" t="s">
        <v>46</v>
      </c>
      <c r="R3" s="9" t="s">
        <v>47</v>
      </c>
    </row>
    <row r="4" spans="1:28" x14ac:dyDescent="0.35">
      <c r="A4" s="3">
        <v>25</v>
      </c>
      <c r="B4" s="10">
        <f>IF('Main Table'!D6="Boost",'Main Table'!D7,0)</f>
        <v>0</v>
      </c>
      <c r="C4" s="10">
        <f>IF('Main Table'!D6="Boost",'Main Table'!D16,0)</f>
        <v>0</v>
      </c>
      <c r="D4" s="10">
        <f>IF('Main Table'!D6="Boost",'Main Table'!D22,0)</f>
        <v>0</v>
      </c>
      <c r="E4" s="10">
        <v>0.15</v>
      </c>
      <c r="F4" s="10">
        <f>IF('Main Table'!D6="Boost",'Main Table'!D27/1000,0)</f>
        <v>0</v>
      </c>
      <c r="G4" s="10">
        <v>0.01</v>
      </c>
      <c r="H4" s="10">
        <f>IF('Main Table'!D6="Boost",'Main Table'!D17,0)</f>
        <v>0</v>
      </c>
      <c r="I4" s="10">
        <f>IF('Main Table'!D6="Boost",'Main Table'!D13/1000,0)</f>
        <v>0</v>
      </c>
      <c r="J4" s="11">
        <f>IF('Main Table'!D6="Boost",'Main Table'!D21*0.000001,0)</f>
        <v>0</v>
      </c>
      <c r="K4" s="12">
        <f>IF('Main Table'!D6="Boost",'Main Table'!D18*1000000,0)</f>
        <v>0</v>
      </c>
      <c r="L4" s="6"/>
      <c r="M4" s="7" t="e">
        <f>1/FS</f>
        <v>#DIV/0!</v>
      </c>
      <c r="N4" s="8" t="e">
        <f>IF(Ivalley&gt;=0,"CCM","DCM")</f>
        <v>#DIV/0!</v>
      </c>
      <c r="O4" s="7">
        <f>IF('Main Table'!D32="VSON",30,IF('Main Table'!D32="WSON",47.4, 154))</f>
        <v>30</v>
      </c>
      <c r="P4" s="5">
        <v>2E-8</v>
      </c>
      <c r="R4" s="13">
        <f>IF('Main Table'!D6="Boost",'Main Table'!D39*0.000001,0)</f>
        <v>0</v>
      </c>
      <c r="T4" s="3" t="s">
        <v>49</v>
      </c>
    </row>
    <row r="5" spans="1:28" ht="15" thickBot="1" x14ac:dyDescent="0.4">
      <c r="J5" s="15" t="s">
        <v>170</v>
      </c>
      <c r="K5" s="16" t="e">
        <f>IF(Ivalley&gt;=0, 0.5*(VO+VD)*Ivalley*FS*MOS_On_time_s+0.5*(VO+VD)*Ipeak_ccm*FS*MOS_Off_time_s,0.5*(VO+VD)*Ipeak*FS*MOS_Off_time_s)</f>
        <v>#DIV/0!</v>
      </c>
      <c r="M5" s="7"/>
      <c r="N5" s="7"/>
      <c r="O5" s="7"/>
      <c r="P5" s="7"/>
      <c r="T5" s="3" t="s">
        <v>50</v>
      </c>
      <c r="U5" s="3" t="s">
        <v>171</v>
      </c>
      <c r="V5" s="3" t="s">
        <v>53</v>
      </c>
      <c r="W5" s="3" t="s">
        <v>54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</row>
    <row r="6" spans="1:28" ht="15" thickBot="1" x14ac:dyDescent="0.4">
      <c r="B6" s="17" t="s">
        <v>171</v>
      </c>
      <c r="C6" s="18" t="e">
        <f>U15</f>
        <v>#DIV/0!</v>
      </c>
      <c r="G6" s="17" t="s">
        <v>61</v>
      </c>
      <c r="H6" s="19" t="e">
        <f>U45</f>
        <v>#DIV/0!</v>
      </c>
      <c r="J6" s="20" t="s">
        <v>62</v>
      </c>
      <c r="K6" s="21" t="e">
        <f>IF(Ivalley&gt;=0, (IL*IL+Ipp*Ipp/12)*RDS_ON*D, (ILD*ILD+Ipeak*Ipeak/12)*RDS_ON*D1_)</f>
        <v>#DIV/0!</v>
      </c>
      <c r="M6" s="7" t="s">
        <v>63</v>
      </c>
      <c r="N6" s="7" t="s">
        <v>64</v>
      </c>
      <c r="O6" s="7" t="s">
        <v>64</v>
      </c>
      <c r="P6" s="7" t="s">
        <v>65</v>
      </c>
      <c r="S6" s="3">
        <v>1</v>
      </c>
      <c r="T6" s="22" t="e">
        <f>(VO+VD)/VIN*ILOAD</f>
        <v>#DIV/0!</v>
      </c>
      <c r="U6" s="18" t="e">
        <f t="shared" ref="U6:U26" si="0">ILOAD/T6</f>
        <v>#DIV/0!</v>
      </c>
      <c r="V6" s="3" t="e">
        <f t="shared" ref="V6:V26" si="1">(VO+VD-VIN)*U6/L/FS</f>
        <v>#DIV/0!</v>
      </c>
      <c r="W6" s="3" t="e">
        <f>IF(T6-V6/2&gt;0, T6-V6/2,0)</f>
        <v>#DIV/0!</v>
      </c>
      <c r="X6" s="13" t="e">
        <f>(VO+VD)*W6*FS*P$4</f>
        <v>#DIV/0!</v>
      </c>
      <c r="Y6" s="3" t="e">
        <f>(T6*T6+V6*V6/12)*RDS_ON*(1-U6)</f>
        <v>#DIV/0!</v>
      </c>
      <c r="Z6" s="3" t="e">
        <f t="shared" ref="Z6:Z26" si="2">(T6*T6+V6*V6/12)*RD*(U6)+VD*T6*(U6)</f>
        <v>#DIV/0!</v>
      </c>
      <c r="AA6" s="3" t="e">
        <f t="shared" ref="AA6:AA26" si="3">RL*(T6*T6+V6*V6/12)</f>
        <v>#DIV/0!</v>
      </c>
      <c r="AB6" s="3" t="e">
        <f>(T6*T6+V6*V6/12)*$F$4*U6</f>
        <v>#DIV/0!</v>
      </c>
    </row>
    <row r="7" spans="1:28" ht="15" thickBot="1" x14ac:dyDescent="0.4">
      <c r="B7" s="23" t="s">
        <v>50</v>
      </c>
      <c r="C7" s="22" t="e">
        <f>T15</f>
        <v>#DIV/0!</v>
      </c>
      <c r="G7" s="23" t="s">
        <v>66</v>
      </c>
      <c r="H7" s="22" t="e">
        <f>R45</f>
        <v>#DIV/0!</v>
      </c>
      <c r="J7" s="20" t="s">
        <v>67</v>
      </c>
      <c r="K7" s="21">
        <f>(G15*VO^2+0.5*G17*VO^2+G16*(VIN+VO)*VO)*FS/1000000000000</f>
        <v>0</v>
      </c>
      <c r="M7" s="7">
        <v>0</v>
      </c>
      <c r="N7" s="7" t="e">
        <f t="shared" ref="N7:N13" si="4">M7*TS</f>
        <v>#DIV/0!</v>
      </c>
      <c r="O7" s="7" t="e">
        <f>N7*1000000</f>
        <v>#DIV/0!</v>
      </c>
      <c r="P7" s="7" t="e">
        <f>IF(Ivalley&gt;=0,Ivalley,0)</f>
        <v>#DIV/0!</v>
      </c>
      <c r="S7" s="3">
        <v>2</v>
      </c>
      <c r="T7" s="3" t="e">
        <f t="shared" ref="T7:T26" si="5">(VO*ILOAD+X6+Y6+Z6+AA6+AB6)/VIN</f>
        <v>#DIV/0!</v>
      </c>
      <c r="U7" s="18" t="e">
        <f t="shared" si="0"/>
        <v>#DIV/0!</v>
      </c>
      <c r="V7" s="3" t="e">
        <f t="shared" si="1"/>
        <v>#DIV/0!</v>
      </c>
      <c r="W7" s="3" t="e">
        <f t="shared" ref="W7:W26" si="6">IF(T7-V7/2&gt;0, T7-V7/2,0)</f>
        <v>#DIV/0!</v>
      </c>
      <c r="X7" s="13" t="e">
        <f t="shared" ref="X7:X26" si="7">(VO+VD)*W7*FS*P$4</f>
        <v>#DIV/0!</v>
      </c>
      <c r="Y7" s="3" t="e">
        <f t="shared" ref="Y7:Y26" si="8">(T7*T7+V7*V7/12)*RDS_ON*(1-U7)</f>
        <v>#DIV/0!</v>
      </c>
      <c r="Z7" s="3" t="e">
        <f t="shared" si="2"/>
        <v>#DIV/0!</v>
      </c>
      <c r="AA7" s="3" t="e">
        <f t="shared" si="3"/>
        <v>#DIV/0!</v>
      </c>
      <c r="AB7" s="3" t="e">
        <f t="shared" ref="AB7:AB26" si="9">(T7*T7+V7*V7/12)*$F$4*U7</f>
        <v>#DIV/0!</v>
      </c>
    </row>
    <row r="8" spans="1:28" ht="15" thickBot="1" x14ac:dyDescent="0.4">
      <c r="B8" s="23" t="s">
        <v>52</v>
      </c>
      <c r="C8" s="22" t="e">
        <f>1-Dbar</f>
        <v>#DIV/0!</v>
      </c>
      <c r="G8" s="23" t="s">
        <v>69</v>
      </c>
      <c r="H8" s="22" t="e">
        <f>W45</f>
        <v>#DIV/0!</v>
      </c>
      <c r="J8" s="20" t="s">
        <v>70</v>
      </c>
      <c r="K8" s="21" t="e">
        <f>IF(Ivalley&gt;=0,  (IL*IL+Ipp*Ipp/12)*RD*Dbar+VD*IL*Dbar, (ILD*ILD+Ipeak*Ipeak/12)*RD*D2_+VD*ILD*D2_)</f>
        <v>#DIV/0!</v>
      </c>
      <c r="M8" s="7" t="e">
        <f>IF(Ivalley&gt;=0,D,D1_)</f>
        <v>#DIV/0!</v>
      </c>
      <c r="N8" s="7" t="e">
        <f t="shared" si="4"/>
        <v>#DIV/0!</v>
      </c>
      <c r="O8" s="7" t="e">
        <f t="shared" ref="O8:O13" si="10">N8*1000000</f>
        <v>#DIV/0!</v>
      </c>
      <c r="P8" s="7" t="e">
        <f>IF(Ivalley&gt;=0,Ivalley+Ipp,Ipeak)</f>
        <v>#DIV/0!</v>
      </c>
      <c r="S8" s="3">
        <v>3</v>
      </c>
      <c r="T8" s="3" t="e">
        <f t="shared" si="5"/>
        <v>#DIV/0!</v>
      </c>
      <c r="U8" s="18" t="e">
        <f t="shared" si="0"/>
        <v>#DIV/0!</v>
      </c>
      <c r="V8" s="3" t="e">
        <f t="shared" si="1"/>
        <v>#DIV/0!</v>
      </c>
      <c r="W8" s="3" t="e">
        <f t="shared" si="6"/>
        <v>#DIV/0!</v>
      </c>
      <c r="X8" s="13" t="e">
        <f t="shared" si="7"/>
        <v>#DIV/0!</v>
      </c>
      <c r="Y8" s="3" t="e">
        <f t="shared" si="8"/>
        <v>#DIV/0!</v>
      </c>
      <c r="Z8" s="3" t="e">
        <f t="shared" si="2"/>
        <v>#DIV/0!</v>
      </c>
      <c r="AA8" s="3" t="e">
        <f t="shared" si="3"/>
        <v>#DIV/0!</v>
      </c>
      <c r="AB8" s="3" t="e">
        <f t="shared" si="9"/>
        <v>#DIV/0!</v>
      </c>
    </row>
    <row r="9" spans="1:28" ht="15" thickBot="1" x14ac:dyDescent="0.4">
      <c r="B9" s="23" t="s">
        <v>53</v>
      </c>
      <c r="C9" s="24" t="e">
        <f>(VO+VD-VIN)*Dbar/L/FS</f>
        <v>#DIV/0!</v>
      </c>
      <c r="D9" s="3" t="s">
        <v>172</v>
      </c>
      <c r="E9" s="3" t="e">
        <f>(IL^2+Ipp^2/12)^0.5</f>
        <v>#DIV/0!</v>
      </c>
      <c r="G9" s="23" t="s">
        <v>71</v>
      </c>
      <c r="H9" s="22" t="e">
        <f>V45</f>
        <v>#DIV/0!</v>
      </c>
      <c r="J9" s="20" t="s">
        <v>72</v>
      </c>
      <c r="K9" s="21">
        <f>G14*VIN^2*FS/1000000000000</f>
        <v>0</v>
      </c>
      <c r="M9" s="7" t="e">
        <f>IF(Ivalley&gt;=0,1,D1_+D2_)</f>
        <v>#DIV/0!</v>
      </c>
      <c r="N9" s="7" t="e">
        <f t="shared" si="4"/>
        <v>#DIV/0!</v>
      </c>
      <c r="O9" s="7" t="e">
        <f t="shared" si="10"/>
        <v>#DIV/0!</v>
      </c>
      <c r="P9" s="7" t="e">
        <f>IF(Ivalley&gt;=0,Ivalley,0)</f>
        <v>#DIV/0!</v>
      </c>
      <c r="S9" s="3">
        <v>4</v>
      </c>
      <c r="T9" s="3" t="e">
        <f t="shared" si="5"/>
        <v>#DIV/0!</v>
      </c>
      <c r="U9" s="18" t="e">
        <f t="shared" si="0"/>
        <v>#DIV/0!</v>
      </c>
      <c r="V9" s="3" t="e">
        <f t="shared" si="1"/>
        <v>#DIV/0!</v>
      </c>
      <c r="W9" s="3" t="e">
        <f t="shared" si="6"/>
        <v>#DIV/0!</v>
      </c>
      <c r="X9" s="13" t="e">
        <f t="shared" si="7"/>
        <v>#DIV/0!</v>
      </c>
      <c r="Y9" s="3" t="e">
        <f t="shared" si="8"/>
        <v>#DIV/0!</v>
      </c>
      <c r="Z9" s="3" t="e">
        <f t="shared" si="2"/>
        <v>#DIV/0!</v>
      </c>
      <c r="AA9" s="3" t="e">
        <f t="shared" si="3"/>
        <v>#DIV/0!</v>
      </c>
      <c r="AB9" s="3" t="e">
        <f t="shared" si="9"/>
        <v>#DIV/0!</v>
      </c>
    </row>
    <row r="10" spans="1:28" ht="15" thickBot="1" x14ac:dyDescent="0.4">
      <c r="B10" s="23" t="s">
        <v>54</v>
      </c>
      <c r="C10" s="24" t="e">
        <f>ILOAD/Dbar-Ipp/2</f>
        <v>#DIV/0!</v>
      </c>
      <c r="D10" s="3" t="s">
        <v>71</v>
      </c>
      <c r="E10" s="25" t="e">
        <f>IL+Ipp/2</f>
        <v>#DIV/0!</v>
      </c>
      <c r="F10" s="25"/>
      <c r="G10" s="26" t="s">
        <v>73</v>
      </c>
      <c r="H10" s="27" t="e">
        <f>1-D1_-D2_</f>
        <v>#DIV/0!</v>
      </c>
      <c r="J10" s="20" t="s">
        <v>74</v>
      </c>
      <c r="K10" s="21" t="e">
        <f>IF(Ivalley&gt;=0, RL*(IL*IL+Ipp*Ipp/12), RL*(ILD*ILD+Ipeak*Ipeak/12))</f>
        <v>#DIV/0!</v>
      </c>
      <c r="M10" s="7">
        <v>1</v>
      </c>
      <c r="N10" s="7" t="e">
        <f>M10*TS</f>
        <v>#DIV/0!</v>
      </c>
      <c r="O10" s="7" t="e">
        <f>N10*1000000</f>
        <v>#DIV/0!</v>
      </c>
      <c r="P10" s="7" t="e">
        <f>IF(Ivalley&gt;=0, Ivalley,0)</f>
        <v>#DIV/0!</v>
      </c>
      <c r="S10" s="3">
        <v>5</v>
      </c>
      <c r="T10" s="3" t="e">
        <f t="shared" si="5"/>
        <v>#DIV/0!</v>
      </c>
      <c r="U10" s="18" t="e">
        <f t="shared" si="0"/>
        <v>#DIV/0!</v>
      </c>
      <c r="V10" s="3" t="e">
        <f t="shared" si="1"/>
        <v>#DIV/0!</v>
      </c>
      <c r="W10" s="3" t="e">
        <f t="shared" si="6"/>
        <v>#DIV/0!</v>
      </c>
      <c r="X10" s="13" t="e">
        <f t="shared" si="7"/>
        <v>#DIV/0!</v>
      </c>
      <c r="Y10" s="3" t="e">
        <f t="shared" si="8"/>
        <v>#DIV/0!</v>
      </c>
      <c r="Z10" s="3" t="e">
        <f t="shared" si="2"/>
        <v>#DIV/0!</v>
      </c>
      <c r="AA10" s="3" t="e">
        <f t="shared" si="3"/>
        <v>#DIV/0!</v>
      </c>
      <c r="AB10" s="3" t="e">
        <f t="shared" si="9"/>
        <v>#DIV/0!</v>
      </c>
    </row>
    <row r="11" spans="1:28" ht="15" thickBot="1" x14ac:dyDescent="0.4">
      <c r="B11" s="62" t="s">
        <v>49</v>
      </c>
      <c r="C11" s="63"/>
      <c r="D11" s="63"/>
      <c r="E11" s="64"/>
      <c r="F11" s="28"/>
      <c r="G11" s="29" t="s">
        <v>75</v>
      </c>
      <c r="H11" s="27"/>
      <c r="J11" s="20" t="s">
        <v>76</v>
      </c>
      <c r="K11" s="21" t="e">
        <f>18.1*10^(-6)*FS^1.155*(0.06374*IF(Ivalley&gt;=0,Ipeak_ccm,Ipeak))^2.378/10</f>
        <v>#DIV/0!</v>
      </c>
      <c r="M11" s="7" t="e">
        <f>IF(Ivalley&gt;=0,1+D,1+D1_)</f>
        <v>#DIV/0!</v>
      </c>
      <c r="N11" s="7" t="e">
        <f t="shared" si="4"/>
        <v>#DIV/0!</v>
      </c>
      <c r="O11" s="7" t="e">
        <f t="shared" si="10"/>
        <v>#DIV/0!</v>
      </c>
      <c r="P11" s="7" t="e">
        <f>IF(Ivalley&gt;=0, Ivalley+Ipp,Ipeak)</f>
        <v>#DIV/0!</v>
      </c>
      <c r="S11" s="3">
        <v>6</v>
      </c>
      <c r="T11" s="3" t="e">
        <f t="shared" si="5"/>
        <v>#DIV/0!</v>
      </c>
      <c r="U11" s="18" t="e">
        <f t="shared" si="0"/>
        <v>#DIV/0!</v>
      </c>
      <c r="V11" s="3" t="e">
        <f t="shared" si="1"/>
        <v>#DIV/0!</v>
      </c>
      <c r="W11" s="3" t="e">
        <f t="shared" si="6"/>
        <v>#DIV/0!</v>
      </c>
      <c r="X11" s="13" t="e">
        <f t="shared" si="7"/>
        <v>#DIV/0!</v>
      </c>
      <c r="Y11" s="3" t="e">
        <f t="shared" si="8"/>
        <v>#DIV/0!</v>
      </c>
      <c r="Z11" s="3" t="e">
        <f t="shared" si="2"/>
        <v>#DIV/0!</v>
      </c>
      <c r="AA11" s="3" t="e">
        <f t="shared" si="3"/>
        <v>#DIV/0!</v>
      </c>
      <c r="AB11" s="3" t="e">
        <f t="shared" si="9"/>
        <v>#DIV/0!</v>
      </c>
    </row>
    <row r="12" spans="1:28" ht="15" thickBot="1" x14ac:dyDescent="0.4">
      <c r="B12" s="3" t="s">
        <v>77</v>
      </c>
      <c r="C12" s="13" t="e">
        <f>Ipp/(8*FS*R4)</f>
        <v>#DIV/0!</v>
      </c>
      <c r="E12" s="3" t="e">
        <f>TS*Dbar*10^9</f>
        <v>#DIV/0!</v>
      </c>
      <c r="G12" s="3" t="s">
        <v>77</v>
      </c>
      <c r="H12" s="13" t="e">
        <f>Ipeak*(D1_+D2_)/(2*R4*FS)</f>
        <v>#DIV/0!</v>
      </c>
      <c r="J12" s="20" t="s">
        <v>78</v>
      </c>
      <c r="K12" s="21" t="e">
        <f>IF(Ivalley&gt;=0, (IL*IL+Ipp*Ipp/12)*F4*Dbar,  (ILD*ILD+Ipeak*Ipeak/12)*F4*D2_)</f>
        <v>#DIV/0!</v>
      </c>
      <c r="M12" s="7" t="e">
        <f>IF(Ivalley&gt;=0,2,1+D1_+D2_)</f>
        <v>#DIV/0!</v>
      </c>
      <c r="N12" s="7" t="e">
        <f t="shared" si="4"/>
        <v>#DIV/0!</v>
      </c>
      <c r="O12" s="7" t="e">
        <f>N12*1000000</f>
        <v>#DIV/0!</v>
      </c>
      <c r="P12" s="7" t="e">
        <f>IF(Ivalley&gt;=0, Ivalley,0)</f>
        <v>#DIV/0!</v>
      </c>
      <c r="S12" s="3">
        <v>7</v>
      </c>
      <c r="T12" s="3" t="e">
        <f t="shared" si="5"/>
        <v>#DIV/0!</v>
      </c>
      <c r="U12" s="18" t="e">
        <f t="shared" si="0"/>
        <v>#DIV/0!</v>
      </c>
      <c r="V12" s="3" t="e">
        <f t="shared" si="1"/>
        <v>#DIV/0!</v>
      </c>
      <c r="W12" s="3" t="e">
        <f t="shared" si="6"/>
        <v>#DIV/0!</v>
      </c>
      <c r="X12" s="13" t="e">
        <f t="shared" si="7"/>
        <v>#DIV/0!</v>
      </c>
      <c r="Y12" s="3" t="e">
        <f t="shared" si="8"/>
        <v>#DIV/0!</v>
      </c>
      <c r="Z12" s="3" t="e">
        <f t="shared" si="2"/>
        <v>#DIV/0!</v>
      </c>
      <c r="AA12" s="3" t="e">
        <f t="shared" si="3"/>
        <v>#DIV/0!</v>
      </c>
      <c r="AB12" s="3" t="e">
        <f t="shared" si="9"/>
        <v>#DIV/0!</v>
      </c>
    </row>
    <row r="13" spans="1:28" ht="15" thickBot="1" x14ac:dyDescent="0.4">
      <c r="J13" s="20" t="s">
        <v>79</v>
      </c>
      <c r="K13" s="21">
        <f>ILOAD*L4</f>
        <v>0</v>
      </c>
      <c r="M13" s="7">
        <v>2</v>
      </c>
      <c r="N13" s="7" t="e">
        <f t="shared" si="4"/>
        <v>#DIV/0!</v>
      </c>
      <c r="O13" s="7" t="e">
        <f t="shared" si="10"/>
        <v>#DIV/0!</v>
      </c>
      <c r="P13" s="7" t="e">
        <f>IF(Ivalley&gt;=0, Ivalley,0)</f>
        <v>#DIV/0!</v>
      </c>
      <c r="S13" s="3">
        <v>8</v>
      </c>
      <c r="T13" s="3" t="e">
        <f t="shared" si="5"/>
        <v>#DIV/0!</v>
      </c>
      <c r="U13" s="18" t="e">
        <f t="shared" si="0"/>
        <v>#DIV/0!</v>
      </c>
      <c r="V13" s="3" t="e">
        <f t="shared" si="1"/>
        <v>#DIV/0!</v>
      </c>
      <c r="W13" s="3" t="e">
        <f t="shared" si="6"/>
        <v>#DIV/0!</v>
      </c>
      <c r="X13" s="13" t="e">
        <f t="shared" si="7"/>
        <v>#DIV/0!</v>
      </c>
      <c r="Y13" s="3" t="e">
        <f t="shared" si="8"/>
        <v>#DIV/0!</v>
      </c>
      <c r="Z13" s="3" t="e">
        <f t="shared" si="2"/>
        <v>#DIV/0!</v>
      </c>
      <c r="AA13" s="3" t="e">
        <f t="shared" si="3"/>
        <v>#DIV/0!</v>
      </c>
      <c r="AB13" s="3" t="e">
        <f t="shared" si="9"/>
        <v>#DIV/0!</v>
      </c>
    </row>
    <row r="14" spans="1:28" ht="15" thickBot="1" x14ac:dyDescent="0.4">
      <c r="B14" s="3" t="s">
        <v>173</v>
      </c>
      <c r="C14" s="3">
        <f>VIN*0.01</f>
        <v>0</v>
      </c>
      <c r="E14" s="30" t="s">
        <v>19</v>
      </c>
      <c r="F14" s="31" t="s">
        <v>20</v>
      </c>
      <c r="G14" s="31">
        <v>80</v>
      </c>
      <c r="H14" s="32" t="s">
        <v>81</v>
      </c>
      <c r="J14" s="20" t="s">
        <v>80</v>
      </c>
      <c r="K14" s="21">
        <f>G18*VIN/1000</f>
        <v>0</v>
      </c>
      <c r="M14" s="7"/>
      <c r="N14" s="7"/>
      <c r="O14" s="7"/>
      <c r="P14" s="7"/>
      <c r="S14" s="3">
        <v>9</v>
      </c>
      <c r="T14" s="3" t="e">
        <f t="shared" si="5"/>
        <v>#DIV/0!</v>
      </c>
      <c r="U14" s="18" t="e">
        <f t="shared" si="0"/>
        <v>#DIV/0!</v>
      </c>
      <c r="V14" s="3" t="e">
        <f t="shared" si="1"/>
        <v>#DIV/0!</v>
      </c>
      <c r="W14" s="3" t="e">
        <f t="shared" si="6"/>
        <v>#DIV/0!</v>
      </c>
      <c r="X14" s="13" t="e">
        <f t="shared" si="7"/>
        <v>#DIV/0!</v>
      </c>
      <c r="Y14" s="3" t="e">
        <f t="shared" si="8"/>
        <v>#DIV/0!</v>
      </c>
      <c r="Z14" s="3" t="e">
        <f t="shared" si="2"/>
        <v>#DIV/0!</v>
      </c>
      <c r="AA14" s="3" t="e">
        <f t="shared" si="3"/>
        <v>#DIV/0!</v>
      </c>
      <c r="AB14" s="3" t="e">
        <f t="shared" si="9"/>
        <v>#DIV/0!</v>
      </c>
    </row>
    <row r="15" spans="1:28" ht="15" thickBot="1" x14ac:dyDescent="0.4">
      <c r="B15" s="3" t="s">
        <v>144</v>
      </c>
      <c r="C15" s="3" t="e">
        <f>Ipp/(8*FS*C14)</f>
        <v>#DIV/0!</v>
      </c>
      <c r="E15" s="34" t="s">
        <v>24</v>
      </c>
      <c r="F15" s="1" t="s">
        <v>25</v>
      </c>
      <c r="G15" s="1">
        <f>90/RDS_ON/5</f>
        <v>120</v>
      </c>
      <c r="H15" s="35" t="s">
        <v>81</v>
      </c>
      <c r="J15" s="20" t="s">
        <v>82</v>
      </c>
      <c r="K15" s="33" t="e">
        <f>SUM(K5:K7)+K14</f>
        <v>#DIV/0!</v>
      </c>
      <c r="M15" s="3" t="s">
        <v>83</v>
      </c>
      <c r="N15" s="3" t="s">
        <v>174</v>
      </c>
      <c r="O15" s="7"/>
      <c r="P15" s="7"/>
      <c r="S15" s="3">
        <v>10</v>
      </c>
      <c r="T15" s="3" t="e">
        <f t="shared" si="5"/>
        <v>#DIV/0!</v>
      </c>
      <c r="U15" s="18" t="e">
        <f t="shared" si="0"/>
        <v>#DIV/0!</v>
      </c>
      <c r="V15" s="3" t="e">
        <f t="shared" si="1"/>
        <v>#DIV/0!</v>
      </c>
      <c r="W15" s="3" t="e">
        <f t="shared" si="6"/>
        <v>#DIV/0!</v>
      </c>
      <c r="X15" s="13" t="e">
        <f t="shared" si="7"/>
        <v>#DIV/0!</v>
      </c>
      <c r="Y15" s="3" t="e">
        <f t="shared" si="8"/>
        <v>#DIV/0!</v>
      </c>
      <c r="Z15" s="3" t="e">
        <f t="shared" si="2"/>
        <v>#DIV/0!</v>
      </c>
      <c r="AA15" s="3" t="e">
        <f t="shared" si="3"/>
        <v>#DIV/0!</v>
      </c>
      <c r="AB15" s="3" t="e">
        <f t="shared" si="9"/>
        <v>#DIV/0!</v>
      </c>
    </row>
    <row r="16" spans="1:28" ht="15" thickBot="1" x14ac:dyDescent="0.4">
      <c r="B16" s="3" t="s">
        <v>175</v>
      </c>
      <c r="C16" s="3" t="e">
        <f>(Ipp^2/12)^0.5</f>
        <v>#DIV/0!</v>
      </c>
      <c r="E16" s="34" t="s">
        <v>26</v>
      </c>
      <c r="F16" s="1" t="s">
        <v>27</v>
      </c>
      <c r="G16" s="36">
        <f>190/RDS_ON/SQRT((60+5)*5)</f>
        <v>70.262024855195691</v>
      </c>
      <c r="H16" s="35" t="s">
        <v>81</v>
      </c>
      <c r="J16" s="20" t="s">
        <v>84</v>
      </c>
      <c r="K16" s="21" t="e">
        <f>K15*O4</f>
        <v>#DIV/0!</v>
      </c>
      <c r="M16" s="3" t="s">
        <v>85</v>
      </c>
      <c r="N16" s="3" t="s">
        <v>176</v>
      </c>
      <c r="O16" s="7"/>
      <c r="P16" s="7"/>
      <c r="T16" s="3" t="e">
        <f t="shared" si="5"/>
        <v>#DIV/0!</v>
      </c>
      <c r="U16" s="18" t="e">
        <f t="shared" si="0"/>
        <v>#DIV/0!</v>
      </c>
      <c r="V16" s="3" t="e">
        <f t="shared" si="1"/>
        <v>#DIV/0!</v>
      </c>
      <c r="W16" s="3" t="e">
        <f t="shared" si="6"/>
        <v>#DIV/0!</v>
      </c>
      <c r="X16" s="13" t="e">
        <f t="shared" si="7"/>
        <v>#DIV/0!</v>
      </c>
      <c r="Y16" s="3" t="e">
        <f t="shared" si="8"/>
        <v>#DIV/0!</v>
      </c>
      <c r="Z16" s="3" t="e">
        <f t="shared" si="2"/>
        <v>#DIV/0!</v>
      </c>
      <c r="AA16" s="3" t="e">
        <f t="shared" si="3"/>
        <v>#DIV/0!</v>
      </c>
      <c r="AB16" s="3" t="e">
        <f t="shared" si="9"/>
        <v>#DIV/0!</v>
      </c>
    </row>
    <row r="17" spans="2:28" ht="15" thickBot="1" x14ac:dyDescent="0.4">
      <c r="B17" s="3" t="s">
        <v>177</v>
      </c>
      <c r="C17" s="3" t="e">
        <f>ILOAD*VO*0.005/C16^2</f>
        <v>#DIV/0!</v>
      </c>
      <c r="E17" s="34" t="s">
        <v>28</v>
      </c>
      <c r="F17" s="1" t="s">
        <v>29</v>
      </c>
      <c r="G17" s="36">
        <f>170/RDS_ON/60</f>
        <v>18.888888888888893</v>
      </c>
      <c r="H17" s="35" t="s">
        <v>81</v>
      </c>
      <c r="J17" s="20" t="s">
        <v>86</v>
      </c>
      <c r="K17" s="21" t="e">
        <f>K16+A4</f>
        <v>#DIV/0!</v>
      </c>
      <c r="M17" s="3" t="s">
        <v>87</v>
      </c>
      <c r="N17" s="3" t="s">
        <v>88</v>
      </c>
      <c r="O17" s="7"/>
      <c r="P17" s="7"/>
      <c r="T17" s="3" t="e">
        <f t="shared" si="5"/>
        <v>#DIV/0!</v>
      </c>
      <c r="U17" s="18" t="e">
        <f t="shared" si="0"/>
        <v>#DIV/0!</v>
      </c>
      <c r="V17" s="3" t="e">
        <f t="shared" si="1"/>
        <v>#DIV/0!</v>
      </c>
      <c r="W17" s="3" t="e">
        <f t="shared" si="6"/>
        <v>#DIV/0!</v>
      </c>
      <c r="X17" s="13" t="e">
        <f t="shared" si="7"/>
        <v>#DIV/0!</v>
      </c>
      <c r="Y17" s="3" t="e">
        <f t="shared" si="8"/>
        <v>#DIV/0!</v>
      </c>
      <c r="Z17" s="3" t="e">
        <f t="shared" si="2"/>
        <v>#DIV/0!</v>
      </c>
      <c r="AA17" s="3" t="e">
        <f t="shared" si="3"/>
        <v>#DIV/0!</v>
      </c>
      <c r="AB17" s="3" t="e">
        <f t="shared" si="9"/>
        <v>#DIV/0!</v>
      </c>
    </row>
    <row r="18" spans="2:28" ht="15" thickBot="1" x14ac:dyDescent="0.4">
      <c r="E18" s="37" t="s">
        <v>30</v>
      </c>
      <c r="F18" s="38" t="s">
        <v>31</v>
      </c>
      <c r="G18" s="38">
        <v>2</v>
      </c>
      <c r="H18" s="39" t="s">
        <v>91</v>
      </c>
      <c r="J18" s="20" t="s">
        <v>89</v>
      </c>
      <c r="K18" s="33" t="e">
        <f>SUM(K5:K12)+K14</f>
        <v>#DIV/0!</v>
      </c>
      <c r="M18" s="3" t="s">
        <v>90</v>
      </c>
      <c r="N18" s="3" t="s">
        <v>178</v>
      </c>
      <c r="T18" s="3" t="e">
        <f t="shared" si="5"/>
        <v>#DIV/0!</v>
      </c>
      <c r="U18" s="18" t="e">
        <f t="shared" si="0"/>
        <v>#DIV/0!</v>
      </c>
      <c r="V18" s="3" t="e">
        <f t="shared" si="1"/>
        <v>#DIV/0!</v>
      </c>
      <c r="W18" s="3" t="e">
        <f t="shared" si="6"/>
        <v>#DIV/0!</v>
      </c>
      <c r="X18" s="13" t="e">
        <f t="shared" si="7"/>
        <v>#DIV/0!</v>
      </c>
      <c r="Y18" s="3" t="e">
        <f t="shared" si="8"/>
        <v>#DIV/0!</v>
      </c>
      <c r="Z18" s="3" t="e">
        <f t="shared" si="2"/>
        <v>#DIV/0!</v>
      </c>
      <c r="AA18" s="3" t="e">
        <f t="shared" si="3"/>
        <v>#DIV/0!</v>
      </c>
      <c r="AB18" s="3" t="e">
        <f t="shared" si="9"/>
        <v>#DIV/0!</v>
      </c>
    </row>
    <row r="19" spans="2:28" ht="15" thickBot="1" x14ac:dyDescent="0.4">
      <c r="B19" s="3" t="s">
        <v>173</v>
      </c>
      <c r="C19" s="3">
        <f>VO*0.01</f>
        <v>0</v>
      </c>
      <c r="J19" s="20" t="s">
        <v>92</v>
      </c>
      <c r="K19" s="21" t="e">
        <f>ILOAD*(VO+L4)/(ILOAD*(VO+L4)+K18)</f>
        <v>#DIV/0!</v>
      </c>
      <c r="M19" s="3" t="s">
        <v>93</v>
      </c>
      <c r="N19" s="3" t="s">
        <v>94</v>
      </c>
      <c r="T19" s="3" t="e">
        <f t="shared" si="5"/>
        <v>#DIV/0!</v>
      </c>
      <c r="U19" s="18" t="e">
        <f t="shared" si="0"/>
        <v>#DIV/0!</v>
      </c>
      <c r="V19" s="3" t="e">
        <f t="shared" si="1"/>
        <v>#DIV/0!</v>
      </c>
      <c r="W19" s="3" t="e">
        <f t="shared" si="6"/>
        <v>#DIV/0!</v>
      </c>
      <c r="X19" s="13" t="e">
        <f t="shared" si="7"/>
        <v>#DIV/0!</v>
      </c>
      <c r="Y19" s="3" t="e">
        <f t="shared" si="8"/>
        <v>#DIV/0!</v>
      </c>
      <c r="Z19" s="3" t="e">
        <f t="shared" si="2"/>
        <v>#DIV/0!</v>
      </c>
      <c r="AA19" s="3" t="e">
        <f t="shared" si="3"/>
        <v>#DIV/0!</v>
      </c>
      <c r="AB19" s="3" t="e">
        <f t="shared" si="9"/>
        <v>#DIV/0!</v>
      </c>
    </row>
    <row r="20" spans="2:28" ht="15" thickBot="1" x14ac:dyDescent="0.4">
      <c r="B20" s="3" t="s">
        <v>101</v>
      </c>
      <c r="C20" s="3" t="e">
        <f>D*ILOAD/(FS*C19)</f>
        <v>#DIV/0!</v>
      </c>
      <c r="J20" s="40" t="s">
        <v>95</v>
      </c>
      <c r="K20" s="41" t="e">
        <f>ILOAD*VO/(ILOAD*(VO+L4)+K18)</f>
        <v>#DIV/0!</v>
      </c>
      <c r="M20" s="3" t="s">
        <v>96</v>
      </c>
      <c r="N20" s="3" t="s">
        <v>97</v>
      </c>
      <c r="T20" s="3" t="e">
        <f t="shared" si="5"/>
        <v>#DIV/0!</v>
      </c>
      <c r="U20" s="18" t="e">
        <f t="shared" si="0"/>
        <v>#DIV/0!</v>
      </c>
      <c r="V20" s="3" t="e">
        <f t="shared" si="1"/>
        <v>#DIV/0!</v>
      </c>
      <c r="W20" s="3" t="e">
        <f t="shared" si="6"/>
        <v>#DIV/0!</v>
      </c>
      <c r="X20" s="13" t="e">
        <f t="shared" si="7"/>
        <v>#DIV/0!</v>
      </c>
      <c r="Y20" s="3" t="e">
        <f t="shared" si="8"/>
        <v>#DIV/0!</v>
      </c>
      <c r="Z20" s="3" t="e">
        <f t="shared" si="2"/>
        <v>#DIV/0!</v>
      </c>
      <c r="AA20" s="3" t="e">
        <f t="shared" si="3"/>
        <v>#DIV/0!</v>
      </c>
      <c r="AB20" s="3" t="e">
        <f t="shared" si="9"/>
        <v>#DIV/0!</v>
      </c>
    </row>
    <row r="21" spans="2:28" ht="15" thickBot="1" x14ac:dyDescent="0.4">
      <c r="B21" s="3" t="s">
        <v>179</v>
      </c>
      <c r="C21" s="3" t="e">
        <f>((1-D)*(D*T25^2+Ipp^2/12))^0.5</f>
        <v>#DIV/0!</v>
      </c>
      <c r="M21" s="3" t="s">
        <v>98</v>
      </c>
      <c r="N21" s="3" t="s">
        <v>180</v>
      </c>
      <c r="T21" s="3" t="e">
        <f t="shared" si="5"/>
        <v>#DIV/0!</v>
      </c>
      <c r="U21" s="18" t="e">
        <f t="shared" si="0"/>
        <v>#DIV/0!</v>
      </c>
      <c r="V21" s="3" t="e">
        <f t="shared" si="1"/>
        <v>#DIV/0!</v>
      </c>
      <c r="W21" s="3" t="e">
        <f t="shared" si="6"/>
        <v>#DIV/0!</v>
      </c>
      <c r="X21" s="13" t="e">
        <f t="shared" si="7"/>
        <v>#DIV/0!</v>
      </c>
      <c r="Y21" s="3" t="e">
        <f t="shared" si="8"/>
        <v>#DIV/0!</v>
      </c>
      <c r="Z21" s="3" t="e">
        <f t="shared" si="2"/>
        <v>#DIV/0!</v>
      </c>
      <c r="AA21" s="3" t="e">
        <f t="shared" si="3"/>
        <v>#DIV/0!</v>
      </c>
      <c r="AB21" s="3" t="e">
        <f t="shared" si="9"/>
        <v>#DIV/0!</v>
      </c>
    </row>
    <row r="22" spans="2:28" ht="15" thickBot="1" x14ac:dyDescent="0.4">
      <c r="M22" s="3" t="s">
        <v>99</v>
      </c>
      <c r="N22" s="3" t="s">
        <v>100</v>
      </c>
      <c r="T22" s="3" t="e">
        <f t="shared" si="5"/>
        <v>#DIV/0!</v>
      </c>
      <c r="U22" s="18" t="e">
        <f t="shared" si="0"/>
        <v>#DIV/0!</v>
      </c>
      <c r="V22" s="3" t="e">
        <f t="shared" si="1"/>
        <v>#DIV/0!</v>
      </c>
      <c r="W22" s="3" t="e">
        <f t="shared" si="6"/>
        <v>#DIV/0!</v>
      </c>
      <c r="X22" s="13" t="e">
        <f t="shared" si="7"/>
        <v>#DIV/0!</v>
      </c>
      <c r="Y22" s="3" t="e">
        <f t="shared" si="8"/>
        <v>#DIV/0!</v>
      </c>
      <c r="Z22" s="3" t="e">
        <f t="shared" si="2"/>
        <v>#DIV/0!</v>
      </c>
      <c r="AA22" s="3" t="e">
        <f t="shared" si="3"/>
        <v>#DIV/0!</v>
      </c>
      <c r="AB22" s="3" t="e">
        <f t="shared" si="9"/>
        <v>#DIV/0!</v>
      </c>
    </row>
    <row r="23" spans="2:28" ht="15" thickBot="1" x14ac:dyDescent="0.4">
      <c r="M23" s="3" t="s">
        <v>102</v>
      </c>
      <c r="N23" s="3" t="s">
        <v>103</v>
      </c>
      <c r="T23" s="3" t="e">
        <f t="shared" si="5"/>
        <v>#DIV/0!</v>
      </c>
      <c r="U23" s="18" t="e">
        <f t="shared" si="0"/>
        <v>#DIV/0!</v>
      </c>
      <c r="V23" s="3" t="e">
        <f t="shared" si="1"/>
        <v>#DIV/0!</v>
      </c>
      <c r="W23" s="3" t="e">
        <f t="shared" si="6"/>
        <v>#DIV/0!</v>
      </c>
      <c r="X23" s="13" t="e">
        <f t="shared" si="7"/>
        <v>#DIV/0!</v>
      </c>
      <c r="Y23" s="3" t="e">
        <f t="shared" si="8"/>
        <v>#DIV/0!</v>
      </c>
      <c r="Z23" s="3" t="e">
        <f t="shared" si="2"/>
        <v>#DIV/0!</v>
      </c>
      <c r="AA23" s="3" t="e">
        <f t="shared" si="3"/>
        <v>#DIV/0!</v>
      </c>
      <c r="AB23" s="3" t="e">
        <f t="shared" si="9"/>
        <v>#DIV/0!</v>
      </c>
    </row>
    <row r="24" spans="2:28" ht="15" thickBot="1" x14ac:dyDescent="0.4">
      <c r="T24" s="3" t="e">
        <f t="shared" si="5"/>
        <v>#DIV/0!</v>
      </c>
      <c r="U24" s="18" t="e">
        <f t="shared" si="0"/>
        <v>#DIV/0!</v>
      </c>
      <c r="V24" s="3" t="e">
        <f t="shared" si="1"/>
        <v>#DIV/0!</v>
      </c>
      <c r="W24" s="3" t="e">
        <f t="shared" si="6"/>
        <v>#DIV/0!</v>
      </c>
      <c r="X24" s="13" t="e">
        <f t="shared" si="7"/>
        <v>#DIV/0!</v>
      </c>
      <c r="Y24" s="3" t="e">
        <f t="shared" si="8"/>
        <v>#DIV/0!</v>
      </c>
      <c r="Z24" s="3" t="e">
        <f t="shared" si="2"/>
        <v>#DIV/0!</v>
      </c>
      <c r="AA24" s="3" t="e">
        <f t="shared" si="3"/>
        <v>#DIV/0!</v>
      </c>
      <c r="AB24" s="3" t="e">
        <f t="shared" si="9"/>
        <v>#DIV/0!</v>
      </c>
    </row>
    <row r="25" spans="2:28" ht="15" thickBot="1" x14ac:dyDescent="0.4">
      <c r="M25" s="4"/>
      <c r="N25" s="4"/>
      <c r="T25" s="3" t="e">
        <f t="shared" si="5"/>
        <v>#DIV/0!</v>
      </c>
      <c r="U25" s="18" t="e">
        <f t="shared" si="0"/>
        <v>#DIV/0!</v>
      </c>
      <c r="V25" s="3" t="e">
        <f t="shared" si="1"/>
        <v>#DIV/0!</v>
      </c>
      <c r="W25" s="3" t="e">
        <f t="shared" si="6"/>
        <v>#DIV/0!</v>
      </c>
      <c r="X25" s="13" t="e">
        <f t="shared" si="7"/>
        <v>#DIV/0!</v>
      </c>
      <c r="Y25" s="3" t="e">
        <f t="shared" si="8"/>
        <v>#DIV/0!</v>
      </c>
      <c r="Z25" s="3" t="e">
        <f t="shared" si="2"/>
        <v>#DIV/0!</v>
      </c>
      <c r="AA25" s="3" t="e">
        <f t="shared" si="3"/>
        <v>#DIV/0!</v>
      </c>
      <c r="AB25" s="3" t="e">
        <f t="shared" si="9"/>
        <v>#DIV/0!</v>
      </c>
    </row>
    <row r="26" spans="2:28" x14ac:dyDescent="0.35">
      <c r="T26" s="3" t="e">
        <f t="shared" si="5"/>
        <v>#DIV/0!</v>
      </c>
      <c r="U26" s="18" t="e">
        <f t="shared" si="0"/>
        <v>#DIV/0!</v>
      </c>
      <c r="V26" s="3" t="e">
        <f t="shared" si="1"/>
        <v>#DIV/0!</v>
      </c>
      <c r="W26" s="3" t="e">
        <f t="shared" si="6"/>
        <v>#DIV/0!</v>
      </c>
      <c r="X26" s="13" t="e">
        <f t="shared" si="7"/>
        <v>#DIV/0!</v>
      </c>
      <c r="Y26" s="3" t="e">
        <f t="shared" si="8"/>
        <v>#DIV/0!</v>
      </c>
      <c r="Z26" s="3" t="e">
        <f t="shared" si="2"/>
        <v>#DIV/0!</v>
      </c>
      <c r="AA26" s="3" t="e">
        <f t="shared" si="3"/>
        <v>#DIV/0!</v>
      </c>
      <c r="AB26" s="3" t="e">
        <f t="shared" si="9"/>
        <v>#DIV/0!</v>
      </c>
    </row>
    <row r="32" spans="2:28" x14ac:dyDescent="0.35">
      <c r="J32" s="7"/>
      <c r="K32" s="7"/>
      <c r="L32" s="7"/>
      <c r="M32" s="7"/>
      <c r="X32" s="13"/>
    </row>
    <row r="33" spans="10:30" x14ac:dyDescent="0.35">
      <c r="J33" s="7"/>
      <c r="K33" s="7"/>
      <c r="L33" s="7"/>
      <c r="M33" s="7"/>
    </row>
    <row r="34" spans="10:30" x14ac:dyDescent="0.35">
      <c r="J34" s="7"/>
      <c r="K34" s="7"/>
      <c r="L34" s="7"/>
      <c r="M34" s="7"/>
      <c r="R34" s="3" t="s">
        <v>75</v>
      </c>
    </row>
    <row r="35" spans="10:30" x14ac:dyDescent="0.35">
      <c r="J35" s="7"/>
      <c r="K35" s="7"/>
      <c r="L35" s="7"/>
      <c r="M35" s="7"/>
      <c r="R35" s="3" t="s">
        <v>50</v>
      </c>
      <c r="S35" s="3" t="s">
        <v>104</v>
      </c>
      <c r="T35" s="3" t="s">
        <v>105</v>
      </c>
      <c r="U35" s="3" t="s">
        <v>61</v>
      </c>
      <c r="V35" s="3" t="s">
        <v>53</v>
      </c>
      <c r="W35" s="3" t="s">
        <v>69</v>
      </c>
      <c r="X35" s="3" t="s">
        <v>73</v>
      </c>
      <c r="Y35" s="3" t="s">
        <v>54</v>
      </c>
      <c r="Z35" s="3" t="s">
        <v>56</v>
      </c>
      <c r="AA35" s="3" t="s">
        <v>57</v>
      </c>
      <c r="AB35" s="3" t="s">
        <v>58</v>
      </c>
      <c r="AC35" s="3" t="s">
        <v>59</v>
      </c>
      <c r="AD35" s="3" t="s">
        <v>60</v>
      </c>
    </row>
    <row r="36" spans="10:30" x14ac:dyDescent="0.35">
      <c r="R36" s="3" t="e">
        <f>(VO+VD)*ILOAD/VIN</f>
        <v>#DIV/0!</v>
      </c>
      <c r="S36" s="3" t="e">
        <f t="shared" ref="S36:S45" si="11">VIN-R36*(RDS_ON+RL)</f>
        <v>#DIV/0!</v>
      </c>
      <c r="T36" s="3" t="e">
        <f t="shared" ref="T36:T45" si="12">R36*(RL+RD+F4)+VO+VD-VIN</f>
        <v>#DIV/0!</v>
      </c>
      <c r="U36" s="3" t="e">
        <f t="shared" ref="U36:U45" si="13">(2*ILOAD*L*FS*T36/(S36)^2)^0.5</f>
        <v>#DIV/0!</v>
      </c>
      <c r="V36" s="3" t="e">
        <f t="shared" ref="V36:V45" si="14">(VIN)*U36/L/FS</f>
        <v>#DIV/0!</v>
      </c>
      <c r="W36" s="3" t="e">
        <f t="shared" ref="W36:W45" si="15">V36*L*FS/(VO+VD-VIN)</f>
        <v>#DIV/0!</v>
      </c>
      <c r="X36" s="3" t="e">
        <f>1-U36-W36</f>
        <v>#DIV/0!</v>
      </c>
      <c r="Y36" s="3" t="e">
        <f>IF(R36-V36/2&gt;0, R36-V36/2,0)</f>
        <v>#DIV/0!</v>
      </c>
      <c r="Z36" s="13" t="e">
        <f t="shared" ref="Z36:Z45" si="16">(VO+VD)*Y36*FS*R$4</f>
        <v>#DIV/0!</v>
      </c>
      <c r="AA36" s="3" t="e">
        <f t="shared" ref="AA36:AA45" si="17">(R36*R36+V36*V36/12)*RDS_ON*(U36)</f>
        <v>#DIV/0!</v>
      </c>
      <c r="AB36" s="3" t="e">
        <f t="shared" ref="AB36:AB45" si="18">(R36*R36+V36*V36/12)*RD*W36+VD*R36*W36</f>
        <v>#DIV/0!</v>
      </c>
      <c r="AC36" s="3" t="e">
        <f t="shared" ref="AC36:AC45" si="19">RL*(R36*R36+V36*V36/12)</f>
        <v>#DIV/0!</v>
      </c>
      <c r="AD36" s="3" t="e">
        <f>(R36*R36+V36*V36/12)*$F$4*W36</f>
        <v>#DIV/0!</v>
      </c>
    </row>
    <row r="37" spans="10:30" x14ac:dyDescent="0.35">
      <c r="R37" s="3" t="e">
        <f t="shared" ref="R37:R45" si="20">(VO*ILOAD+AC36+AD36+Z36+AA36+AB36)/VIN</f>
        <v>#DIV/0!</v>
      </c>
      <c r="S37" s="3" t="e">
        <f t="shared" si="11"/>
        <v>#DIV/0!</v>
      </c>
      <c r="T37" s="3" t="e">
        <f t="shared" si="12"/>
        <v>#DIV/0!</v>
      </c>
      <c r="U37" s="3" t="e">
        <f t="shared" si="13"/>
        <v>#DIV/0!</v>
      </c>
      <c r="V37" s="3" t="e">
        <f t="shared" si="14"/>
        <v>#DIV/0!</v>
      </c>
      <c r="W37" s="3" t="e">
        <f t="shared" si="15"/>
        <v>#DIV/0!</v>
      </c>
      <c r="X37" s="3" t="e">
        <f t="shared" ref="X37:X45" si="21">1-U37-W37</f>
        <v>#DIV/0!</v>
      </c>
      <c r="Y37" s="3" t="e">
        <f t="shared" ref="Y37:Y45" si="22">IF(R37-V37/2&gt;0, R37-V37/2,0)</f>
        <v>#DIV/0!</v>
      </c>
      <c r="Z37" s="13" t="e">
        <f t="shared" si="16"/>
        <v>#DIV/0!</v>
      </c>
      <c r="AA37" s="3" t="e">
        <f t="shared" si="17"/>
        <v>#DIV/0!</v>
      </c>
      <c r="AB37" s="3" t="e">
        <f t="shared" si="18"/>
        <v>#DIV/0!</v>
      </c>
      <c r="AC37" s="3" t="e">
        <f t="shared" si="19"/>
        <v>#DIV/0!</v>
      </c>
      <c r="AD37" s="3" t="e">
        <f t="shared" ref="AD37:AD45" si="23">(R37*R37+V37*V37/12)*$F$4*W37</f>
        <v>#DIV/0!</v>
      </c>
    </row>
    <row r="38" spans="10:30" x14ac:dyDescent="0.35">
      <c r="R38" s="3" t="e">
        <f t="shared" si="20"/>
        <v>#DIV/0!</v>
      </c>
      <c r="S38" s="3" t="e">
        <f t="shared" si="11"/>
        <v>#DIV/0!</v>
      </c>
      <c r="T38" s="3" t="e">
        <f t="shared" si="12"/>
        <v>#DIV/0!</v>
      </c>
      <c r="U38" s="3" t="e">
        <f t="shared" si="13"/>
        <v>#DIV/0!</v>
      </c>
      <c r="V38" s="3" t="e">
        <f t="shared" si="14"/>
        <v>#DIV/0!</v>
      </c>
      <c r="W38" s="3" t="e">
        <f t="shared" si="15"/>
        <v>#DIV/0!</v>
      </c>
      <c r="X38" s="3" t="e">
        <f t="shared" si="21"/>
        <v>#DIV/0!</v>
      </c>
      <c r="Y38" s="3" t="e">
        <f t="shared" si="22"/>
        <v>#DIV/0!</v>
      </c>
      <c r="Z38" s="13" t="e">
        <f t="shared" si="16"/>
        <v>#DIV/0!</v>
      </c>
      <c r="AA38" s="3" t="e">
        <f t="shared" si="17"/>
        <v>#DIV/0!</v>
      </c>
      <c r="AB38" s="3" t="e">
        <f t="shared" si="18"/>
        <v>#DIV/0!</v>
      </c>
      <c r="AC38" s="3" t="e">
        <f t="shared" si="19"/>
        <v>#DIV/0!</v>
      </c>
      <c r="AD38" s="3" t="e">
        <f t="shared" si="23"/>
        <v>#DIV/0!</v>
      </c>
    </row>
    <row r="39" spans="10:30" x14ac:dyDescent="0.35">
      <c r="R39" s="3" t="e">
        <f t="shared" si="20"/>
        <v>#DIV/0!</v>
      </c>
      <c r="S39" s="3" t="e">
        <f t="shared" si="11"/>
        <v>#DIV/0!</v>
      </c>
      <c r="T39" s="3" t="e">
        <f t="shared" si="12"/>
        <v>#DIV/0!</v>
      </c>
      <c r="U39" s="3" t="e">
        <f t="shared" si="13"/>
        <v>#DIV/0!</v>
      </c>
      <c r="V39" s="3" t="e">
        <f t="shared" si="14"/>
        <v>#DIV/0!</v>
      </c>
      <c r="W39" s="3" t="e">
        <f t="shared" si="15"/>
        <v>#DIV/0!</v>
      </c>
      <c r="X39" s="3" t="e">
        <f t="shared" si="21"/>
        <v>#DIV/0!</v>
      </c>
      <c r="Y39" s="3" t="e">
        <f t="shared" si="22"/>
        <v>#DIV/0!</v>
      </c>
      <c r="Z39" s="13" t="e">
        <f t="shared" si="16"/>
        <v>#DIV/0!</v>
      </c>
      <c r="AA39" s="3" t="e">
        <f t="shared" si="17"/>
        <v>#DIV/0!</v>
      </c>
      <c r="AB39" s="3" t="e">
        <f t="shared" si="18"/>
        <v>#DIV/0!</v>
      </c>
      <c r="AC39" s="3" t="e">
        <f t="shared" si="19"/>
        <v>#DIV/0!</v>
      </c>
      <c r="AD39" s="3" t="e">
        <f t="shared" si="23"/>
        <v>#DIV/0!</v>
      </c>
    </row>
    <row r="40" spans="10:30" x14ac:dyDescent="0.35">
      <c r="R40" s="3" t="e">
        <f t="shared" si="20"/>
        <v>#DIV/0!</v>
      </c>
      <c r="S40" s="3" t="e">
        <f t="shared" si="11"/>
        <v>#DIV/0!</v>
      </c>
      <c r="T40" s="3" t="e">
        <f t="shared" si="12"/>
        <v>#DIV/0!</v>
      </c>
      <c r="U40" s="3" t="e">
        <f t="shared" si="13"/>
        <v>#DIV/0!</v>
      </c>
      <c r="V40" s="3" t="e">
        <f t="shared" si="14"/>
        <v>#DIV/0!</v>
      </c>
      <c r="W40" s="3" t="e">
        <f t="shared" si="15"/>
        <v>#DIV/0!</v>
      </c>
      <c r="X40" s="3" t="e">
        <f t="shared" si="21"/>
        <v>#DIV/0!</v>
      </c>
      <c r="Y40" s="3" t="e">
        <f t="shared" si="22"/>
        <v>#DIV/0!</v>
      </c>
      <c r="Z40" s="13" t="e">
        <f t="shared" si="16"/>
        <v>#DIV/0!</v>
      </c>
      <c r="AA40" s="3" t="e">
        <f t="shared" si="17"/>
        <v>#DIV/0!</v>
      </c>
      <c r="AB40" s="3" t="e">
        <f t="shared" si="18"/>
        <v>#DIV/0!</v>
      </c>
      <c r="AC40" s="3" t="e">
        <f t="shared" si="19"/>
        <v>#DIV/0!</v>
      </c>
      <c r="AD40" s="3" t="e">
        <f t="shared" si="23"/>
        <v>#DIV/0!</v>
      </c>
    </row>
    <row r="41" spans="10:30" x14ac:dyDescent="0.35">
      <c r="R41" s="3" t="e">
        <f t="shared" si="20"/>
        <v>#DIV/0!</v>
      </c>
      <c r="S41" s="3" t="e">
        <f t="shared" si="11"/>
        <v>#DIV/0!</v>
      </c>
      <c r="T41" s="3" t="e">
        <f t="shared" si="12"/>
        <v>#DIV/0!</v>
      </c>
      <c r="U41" s="3" t="e">
        <f t="shared" si="13"/>
        <v>#DIV/0!</v>
      </c>
      <c r="V41" s="3" t="e">
        <f t="shared" si="14"/>
        <v>#DIV/0!</v>
      </c>
      <c r="W41" s="3" t="e">
        <f t="shared" si="15"/>
        <v>#DIV/0!</v>
      </c>
      <c r="X41" s="3" t="e">
        <f t="shared" si="21"/>
        <v>#DIV/0!</v>
      </c>
      <c r="Y41" s="3" t="e">
        <f t="shared" si="22"/>
        <v>#DIV/0!</v>
      </c>
      <c r="Z41" s="13" t="e">
        <f t="shared" si="16"/>
        <v>#DIV/0!</v>
      </c>
      <c r="AA41" s="3" t="e">
        <f t="shared" si="17"/>
        <v>#DIV/0!</v>
      </c>
      <c r="AB41" s="3" t="e">
        <f t="shared" si="18"/>
        <v>#DIV/0!</v>
      </c>
      <c r="AC41" s="3" t="e">
        <f t="shared" si="19"/>
        <v>#DIV/0!</v>
      </c>
      <c r="AD41" s="3" t="e">
        <f t="shared" si="23"/>
        <v>#DIV/0!</v>
      </c>
    </row>
    <row r="42" spans="10:30" x14ac:dyDescent="0.35">
      <c r="R42" s="3" t="e">
        <f t="shared" si="20"/>
        <v>#DIV/0!</v>
      </c>
      <c r="S42" s="3" t="e">
        <f t="shared" si="11"/>
        <v>#DIV/0!</v>
      </c>
      <c r="T42" s="3" t="e">
        <f t="shared" si="12"/>
        <v>#DIV/0!</v>
      </c>
      <c r="U42" s="3" t="e">
        <f t="shared" si="13"/>
        <v>#DIV/0!</v>
      </c>
      <c r="V42" s="3" t="e">
        <f t="shared" si="14"/>
        <v>#DIV/0!</v>
      </c>
      <c r="W42" s="3" t="e">
        <f t="shared" si="15"/>
        <v>#DIV/0!</v>
      </c>
      <c r="X42" s="3" t="e">
        <f t="shared" si="21"/>
        <v>#DIV/0!</v>
      </c>
      <c r="Y42" s="3" t="e">
        <f t="shared" si="22"/>
        <v>#DIV/0!</v>
      </c>
      <c r="Z42" s="13" t="e">
        <f t="shared" si="16"/>
        <v>#DIV/0!</v>
      </c>
      <c r="AA42" s="3" t="e">
        <f t="shared" si="17"/>
        <v>#DIV/0!</v>
      </c>
      <c r="AB42" s="3" t="e">
        <f t="shared" si="18"/>
        <v>#DIV/0!</v>
      </c>
      <c r="AC42" s="3" t="e">
        <f t="shared" si="19"/>
        <v>#DIV/0!</v>
      </c>
      <c r="AD42" s="3" t="e">
        <f t="shared" si="23"/>
        <v>#DIV/0!</v>
      </c>
    </row>
    <row r="43" spans="10:30" x14ac:dyDescent="0.35">
      <c r="R43" s="3" t="e">
        <f t="shared" si="20"/>
        <v>#DIV/0!</v>
      </c>
      <c r="S43" s="3" t="e">
        <f t="shared" si="11"/>
        <v>#DIV/0!</v>
      </c>
      <c r="T43" s="3" t="e">
        <f t="shared" si="12"/>
        <v>#DIV/0!</v>
      </c>
      <c r="U43" s="3" t="e">
        <f t="shared" si="13"/>
        <v>#DIV/0!</v>
      </c>
      <c r="V43" s="3" t="e">
        <f t="shared" si="14"/>
        <v>#DIV/0!</v>
      </c>
      <c r="W43" s="3" t="e">
        <f t="shared" si="15"/>
        <v>#DIV/0!</v>
      </c>
      <c r="X43" s="3" t="e">
        <f t="shared" si="21"/>
        <v>#DIV/0!</v>
      </c>
      <c r="Y43" s="3" t="e">
        <f t="shared" si="22"/>
        <v>#DIV/0!</v>
      </c>
      <c r="Z43" s="13" t="e">
        <f t="shared" si="16"/>
        <v>#DIV/0!</v>
      </c>
      <c r="AA43" s="3" t="e">
        <f t="shared" si="17"/>
        <v>#DIV/0!</v>
      </c>
      <c r="AB43" s="3" t="e">
        <f t="shared" si="18"/>
        <v>#DIV/0!</v>
      </c>
      <c r="AC43" s="3" t="e">
        <f t="shared" si="19"/>
        <v>#DIV/0!</v>
      </c>
      <c r="AD43" s="3" t="e">
        <f t="shared" si="23"/>
        <v>#DIV/0!</v>
      </c>
    </row>
    <row r="44" spans="10:30" x14ac:dyDescent="0.35">
      <c r="R44" s="3" t="e">
        <f t="shared" si="20"/>
        <v>#DIV/0!</v>
      </c>
      <c r="S44" s="3" t="e">
        <f t="shared" si="11"/>
        <v>#DIV/0!</v>
      </c>
      <c r="T44" s="3" t="e">
        <f t="shared" si="12"/>
        <v>#DIV/0!</v>
      </c>
      <c r="U44" s="3" t="e">
        <f t="shared" si="13"/>
        <v>#DIV/0!</v>
      </c>
      <c r="V44" s="3" t="e">
        <f t="shared" si="14"/>
        <v>#DIV/0!</v>
      </c>
      <c r="W44" s="3" t="e">
        <f t="shared" si="15"/>
        <v>#DIV/0!</v>
      </c>
      <c r="X44" s="3" t="e">
        <f t="shared" si="21"/>
        <v>#DIV/0!</v>
      </c>
      <c r="Y44" s="3" t="e">
        <f t="shared" si="22"/>
        <v>#DIV/0!</v>
      </c>
      <c r="Z44" s="13" t="e">
        <f t="shared" si="16"/>
        <v>#DIV/0!</v>
      </c>
      <c r="AA44" s="3" t="e">
        <f t="shared" si="17"/>
        <v>#DIV/0!</v>
      </c>
      <c r="AB44" s="3" t="e">
        <f t="shared" si="18"/>
        <v>#DIV/0!</v>
      </c>
      <c r="AC44" s="3" t="e">
        <f t="shared" si="19"/>
        <v>#DIV/0!</v>
      </c>
      <c r="AD44" s="3" t="e">
        <f t="shared" si="23"/>
        <v>#DIV/0!</v>
      </c>
    </row>
    <row r="45" spans="10:30" x14ac:dyDescent="0.35">
      <c r="R45" s="3" t="e">
        <f t="shared" si="20"/>
        <v>#DIV/0!</v>
      </c>
      <c r="S45" s="3" t="e">
        <f t="shared" si="11"/>
        <v>#DIV/0!</v>
      </c>
      <c r="T45" s="3" t="e">
        <f t="shared" si="12"/>
        <v>#DIV/0!</v>
      </c>
      <c r="U45" s="3" t="e">
        <f t="shared" si="13"/>
        <v>#DIV/0!</v>
      </c>
      <c r="V45" s="3" t="e">
        <f t="shared" si="14"/>
        <v>#DIV/0!</v>
      </c>
      <c r="W45" s="3" t="e">
        <f t="shared" si="15"/>
        <v>#DIV/0!</v>
      </c>
      <c r="X45" s="3" t="e">
        <f t="shared" si="21"/>
        <v>#DIV/0!</v>
      </c>
      <c r="Y45" s="3" t="e">
        <f t="shared" si="22"/>
        <v>#DIV/0!</v>
      </c>
      <c r="Z45" s="13" t="e">
        <f t="shared" si="16"/>
        <v>#DIV/0!</v>
      </c>
      <c r="AA45" s="3" t="e">
        <f t="shared" si="17"/>
        <v>#DIV/0!</v>
      </c>
      <c r="AB45" s="3" t="e">
        <f t="shared" si="18"/>
        <v>#DIV/0!</v>
      </c>
      <c r="AC45" s="3" t="e">
        <f t="shared" si="19"/>
        <v>#DIV/0!</v>
      </c>
      <c r="AD45" s="3" t="e">
        <f t="shared" si="23"/>
        <v>#DIV/0!</v>
      </c>
    </row>
  </sheetData>
  <sheetProtection selectLockedCells="1"/>
  <mergeCells count="1">
    <mergeCell ref="B11:E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230B-C7CC-4BD5-94DB-E9E9C30E0ADB}">
  <sheetPr codeName="Sheet3"/>
  <dimension ref="A1:AH48"/>
  <sheetViews>
    <sheetView topLeftCell="K1" zoomScale="115" zoomScaleNormal="115" workbookViewId="0">
      <selection activeCell="S4" sqref="S4"/>
    </sheetView>
  </sheetViews>
  <sheetFormatPr defaultColWidth="9.1796875" defaultRowHeight="14.5" x14ac:dyDescent="0.35"/>
  <cols>
    <col min="1" max="1" width="9.1796875" style="3"/>
    <col min="2" max="2" width="19.7265625" style="3" customWidth="1"/>
    <col min="3" max="3" width="12.453125" style="3" customWidth="1"/>
    <col min="4" max="4" width="11.453125" style="3" customWidth="1"/>
    <col min="5" max="5" width="9.81640625" style="3" customWidth="1"/>
    <col min="6" max="6" width="10.81640625" style="3" customWidth="1"/>
    <col min="7" max="9" width="9.1796875" style="3"/>
    <col min="10" max="10" width="30.453125" style="3" customWidth="1"/>
    <col min="11" max="11" width="9.453125" style="3" customWidth="1"/>
    <col min="12" max="12" width="10.453125" style="3" customWidth="1"/>
    <col min="13" max="13" width="12" style="3" bestFit="1" customWidth="1"/>
    <col min="14" max="14" width="11.81640625" style="3" bestFit="1" customWidth="1"/>
    <col min="15" max="15" width="9.1796875" style="3"/>
    <col min="16" max="16" width="16.54296875" style="3" customWidth="1"/>
    <col min="17" max="20" width="9.1796875" style="3"/>
    <col min="21" max="21" width="9.1796875" style="14"/>
    <col min="22" max="25" width="9.1796875" style="3"/>
    <col min="26" max="26" width="12.453125" style="3" bestFit="1" customWidth="1"/>
    <col min="27" max="27" width="9.1796875" style="3"/>
    <col min="28" max="28" width="12.54296875" style="3" bestFit="1" customWidth="1"/>
    <col min="29" max="29" width="10.81640625" style="3" bestFit="1" customWidth="1"/>
    <col min="30" max="30" width="9.1796875" style="3"/>
    <col min="31" max="31" width="12.1796875" style="3" customWidth="1"/>
    <col min="32" max="16384" width="9.1796875" style="3"/>
  </cols>
  <sheetData>
    <row r="1" spans="1:32" x14ac:dyDescent="0.35">
      <c r="A1" s="2"/>
      <c r="D1" s="4"/>
      <c r="E1" s="4"/>
      <c r="F1" s="4"/>
      <c r="G1" s="4"/>
      <c r="H1" s="4"/>
      <c r="P1" s="7" t="s">
        <v>168</v>
      </c>
    </row>
    <row r="2" spans="1:32" x14ac:dyDescent="0.35">
      <c r="P2" s="5">
        <v>2E-8</v>
      </c>
    </row>
    <row r="3" spans="1:32" ht="16.5" x14ac:dyDescent="0.4">
      <c r="B3" s="6" t="s">
        <v>32</v>
      </c>
      <c r="C3" s="6" t="s">
        <v>33</v>
      </c>
      <c r="D3" s="6" t="s">
        <v>34</v>
      </c>
      <c r="E3" s="6" t="s">
        <v>166</v>
      </c>
      <c r="F3" s="6" t="s">
        <v>35</v>
      </c>
      <c r="G3" s="6" t="s">
        <v>36</v>
      </c>
      <c r="H3" s="6" t="s">
        <v>37</v>
      </c>
      <c r="I3" s="6" t="s">
        <v>38</v>
      </c>
      <c r="J3" s="6" t="s">
        <v>39</v>
      </c>
      <c r="K3" s="6" t="s">
        <v>40</v>
      </c>
      <c r="L3" s="6" t="s">
        <v>41</v>
      </c>
      <c r="M3" s="7" t="s">
        <v>42</v>
      </c>
      <c r="N3" s="8" t="s">
        <v>43</v>
      </c>
      <c r="O3" s="9" t="s">
        <v>44</v>
      </c>
      <c r="P3" s="7" t="s">
        <v>45</v>
      </c>
      <c r="Q3" s="9" t="s">
        <v>46</v>
      </c>
      <c r="R3" s="9" t="s">
        <v>47</v>
      </c>
      <c r="S3" s="3" t="s">
        <v>48</v>
      </c>
    </row>
    <row r="4" spans="1:32" x14ac:dyDescent="0.35">
      <c r="B4" s="10">
        <f>IF('Main Table'!D6="Buck-Boost",'Main Table'!D7,0)</f>
        <v>9</v>
      </c>
      <c r="C4" s="10">
        <f>IF('Main Table'!D6="Buck-Boost",'Main Table'!D16,0)</f>
        <v>10.5</v>
      </c>
      <c r="D4" s="10">
        <f>IF('Main Table'!D6="Buck-Boost",'Main Table'!D22,0)</f>
        <v>0.1</v>
      </c>
      <c r="E4" s="10">
        <v>0.15</v>
      </c>
      <c r="F4" s="10">
        <f>IF('Main Table'!D6="Buck-Boost",'Main Table'!D27/1000,0)</f>
        <v>0.13300000000000001</v>
      </c>
      <c r="G4" s="10">
        <v>0.05</v>
      </c>
      <c r="H4" s="10">
        <f>IF('Main Table'!D6="Buck-Boost",'Main Table'!D17,0)</f>
        <v>0.74</v>
      </c>
      <c r="I4" s="10">
        <f>IF('Main Table'!D6="Buck-Boost",'Main Table'!D13/1000,0)</f>
        <v>1.5</v>
      </c>
      <c r="J4" s="11">
        <f>IF('Main Table'!D6="Buck-Boost",'Main Table'!D21*0.000001,0)</f>
        <v>2.1999999999999999E-5</v>
      </c>
      <c r="K4" s="12">
        <f>IF('Main Table'!D6="Buck-Boost",'Main Table'!D18*1000000,0)</f>
        <v>400000</v>
      </c>
      <c r="L4" s="6">
        <v>0</v>
      </c>
      <c r="M4" s="7">
        <f>1/FS</f>
        <v>2.5000000000000002E-6</v>
      </c>
      <c r="N4" s="8" t="str">
        <f>IF(Ivalley&gt;=0,"CCM","DCM")</f>
        <v>CCM</v>
      </c>
      <c r="O4" s="7">
        <f>IF('Main Table'!D32="VSON",30,IF('Main Table'!D32="WSON",47.4, 154))</f>
        <v>30</v>
      </c>
      <c r="P4" s="5">
        <v>2E-8</v>
      </c>
      <c r="R4" s="13">
        <f>IF('Main Table'!D6="Buck-Boost",'Main Table'!D39*0.000001,0)</f>
        <v>1.9999999999999998E-5</v>
      </c>
      <c r="S4" s="3">
        <v>5.0000000000000001E-3</v>
      </c>
      <c r="U4" s="14" t="s">
        <v>49</v>
      </c>
    </row>
    <row r="5" spans="1:32" ht="17" thickBot="1" x14ac:dyDescent="0.5">
      <c r="J5" s="15" t="s">
        <v>170</v>
      </c>
      <c r="K5" s="16">
        <f>IF(Ivalley&gt;=0, 0.5*(VIN+VD+VO)*Ivalley*FS*MOS_On_time_s+0.5*(VIN+VD+VO)*Ipeak_ccm*FS*MOS_Off_time_s,0.5*(VIN+VO+VD)*Ipeak*FS*MOS_Off_time_s)</f>
        <v>0.62799567955759472</v>
      </c>
      <c r="M5" s="7"/>
      <c r="N5" s="7"/>
      <c r="O5" s="7"/>
      <c r="P5" s="7"/>
      <c r="U5" s="14" t="s">
        <v>181</v>
      </c>
      <c r="V5" s="3" t="s">
        <v>51</v>
      </c>
      <c r="W5" s="3" t="s">
        <v>52</v>
      </c>
      <c r="X5" s="3" t="s">
        <v>50</v>
      </c>
      <c r="Y5" s="3" t="s">
        <v>53</v>
      </c>
      <c r="Z5" s="3" t="s">
        <v>54</v>
      </c>
      <c r="AA5" s="3" t="s">
        <v>55</v>
      </c>
      <c r="AB5" s="3" t="s">
        <v>56</v>
      </c>
      <c r="AC5" s="3" t="s">
        <v>57</v>
      </c>
      <c r="AD5" s="3" t="s">
        <v>58</v>
      </c>
      <c r="AE5" s="3" t="s">
        <v>59</v>
      </c>
      <c r="AF5" s="3" t="s">
        <v>60</v>
      </c>
    </row>
    <row r="6" spans="1:32" ht="15" thickBot="1" x14ac:dyDescent="0.4">
      <c r="B6" s="17" t="s">
        <v>52</v>
      </c>
      <c r="C6" s="18">
        <f>W15</f>
        <v>0.61324562467523991</v>
      </c>
      <c r="G6" s="17" t="s">
        <v>61</v>
      </c>
      <c r="H6" s="19">
        <f>W48</f>
        <v>5.029322243694291</v>
      </c>
      <c r="I6" s="3">
        <f>2*V24/Ipeak</f>
        <v>-2.3752287658667335</v>
      </c>
      <c r="J6" s="20" t="s">
        <v>62</v>
      </c>
      <c r="K6" s="21">
        <f>IF(Ivalley&gt;=0,IL^2*(1+(Ipp^2/IL^2)/12)*RDS_ON*Dbar, ILD^2*(1+(Ipeak^2/ILD^2)/12)*RDS_ON*D1_)</f>
        <v>1.3855581733759703</v>
      </c>
      <c r="M6" s="7" t="s">
        <v>63</v>
      </c>
      <c r="N6" s="7" t="s">
        <v>64</v>
      </c>
      <c r="O6" s="7" t="s">
        <v>64</v>
      </c>
      <c r="P6" s="7" t="s">
        <v>65</v>
      </c>
      <c r="T6" s="3">
        <v>1</v>
      </c>
      <c r="U6" s="53">
        <f t="shared" ref="U6:U26" si="0">ILOAD</f>
        <v>1.5</v>
      </c>
      <c r="V6" s="22">
        <f>ILOAD*(VO+VD)/VIN</f>
        <v>1.8733333333333333</v>
      </c>
      <c r="W6" s="18">
        <f t="shared" ref="W6:W26" si="1">V6/(ILOAD+V6)</f>
        <v>0.55533596837944665</v>
      </c>
      <c r="X6" s="54">
        <f>V6/W6</f>
        <v>3.3733333333333331</v>
      </c>
      <c r="Y6" s="3">
        <f t="shared" ref="Y6:Y26" si="2">(VO+VD)*(1-W6)/L/FS</f>
        <v>0.56795724038807038</v>
      </c>
      <c r="Z6" s="3">
        <f>IF(X6-Y6/2&gt;0, X6-Y6/2,0)</f>
        <v>3.089354713139298</v>
      </c>
      <c r="AA6" s="3">
        <f>(X6^2+Y6^2/12)^0.5</f>
        <v>3.3773153633253652</v>
      </c>
      <c r="AB6" s="13">
        <f t="shared" ref="AB6:AB26" si="3">(VIN+VD+VO)*Z6*FS*P$4</f>
        <v>0.50022831515151511</v>
      </c>
      <c r="AC6" s="3">
        <f>AA6^2*RDS_ON*(W6)</f>
        <v>0.95014588838014202</v>
      </c>
      <c r="AD6" s="3">
        <f t="shared" ref="AD6:AD26" si="4">AA6*AA6*RD*(1-W6)+VD*U6</f>
        <v>1.3635976570409629</v>
      </c>
      <c r="AE6" s="3">
        <f>RL*AA6^2</f>
        <v>1.1406259063353543</v>
      </c>
      <c r="AF6" s="3">
        <f>AA6*AA6*$F$4*(1-W6)</f>
        <v>0.67456976772896204</v>
      </c>
    </row>
    <row r="7" spans="1:32" ht="15" thickBot="1" x14ac:dyDescent="0.4">
      <c r="B7" s="23" t="s">
        <v>50</v>
      </c>
      <c r="C7" s="22">
        <f>X26</f>
        <v>3.8784318154495714</v>
      </c>
      <c r="G7" s="23" t="s">
        <v>66</v>
      </c>
      <c r="H7" s="22">
        <f>Y48</f>
        <v>-3.5361043982096318</v>
      </c>
      <c r="J7" s="20" t="s">
        <v>67</v>
      </c>
      <c r="K7" s="21">
        <f>(D16*(VIN+VO)^2+0.5*D18*(VIN+VO)^2+D17*(VIN+VO)*VO)*FS/1000000000000</f>
        <v>2.5442959835640527E-2</v>
      </c>
      <c r="M7" s="7">
        <v>0</v>
      </c>
      <c r="N7" s="7">
        <f t="shared" ref="N7:N13" si="5">M7*TS</f>
        <v>0</v>
      </c>
      <c r="O7" s="7">
        <f>N7*1000000</f>
        <v>0</v>
      </c>
      <c r="P7" s="7">
        <f>IF(Ivalley&gt;=0,Ivalley,0)</f>
        <v>3.6314364075717132</v>
      </c>
      <c r="T7" s="3">
        <v>2</v>
      </c>
      <c r="U7" s="53">
        <f t="shared" si="0"/>
        <v>1.5</v>
      </c>
      <c r="V7" s="22">
        <f t="shared" ref="V7:V26" si="6">(VO*ILOAD+AB6+AC6+AD6+AE6+AF6)/VIN</f>
        <v>2.2643519482929926</v>
      </c>
      <c r="W7" s="18">
        <f t="shared" si="1"/>
        <v>0.60152503788063716</v>
      </c>
      <c r="X7" s="54">
        <f>V7/W7</f>
        <v>3.7643519482929926</v>
      </c>
      <c r="Y7" s="3">
        <f t="shared" si="2"/>
        <v>0.50896120161609526</v>
      </c>
      <c r="Z7" s="3">
        <f t="shared" ref="Z7:Z26" si="7">IF(X7-Y7/2&gt;0, X7-Y7/2,0)</f>
        <v>3.5098713474849448</v>
      </c>
      <c r="AA7" s="3">
        <f t="shared" ref="AA7:AA26" si="8">(X7^2+Y7^2/12)^0.5</f>
        <v>3.7672181225248678</v>
      </c>
      <c r="AB7" s="13">
        <f t="shared" si="3"/>
        <v>0.56831836858476226</v>
      </c>
      <c r="AC7" s="3">
        <f t="shared" ref="AC7:AC26" si="9">AA7^2*RDS_ON*(W7)</f>
        <v>1.2805203996136352</v>
      </c>
      <c r="AD7" s="3">
        <f t="shared" si="4"/>
        <v>1.3927564859294443</v>
      </c>
      <c r="AE7" s="3">
        <f t="shared" ref="AE7:AE26" si="10">RL*AA7^2</f>
        <v>1.4191932382679791</v>
      </c>
      <c r="AF7" s="3">
        <f t="shared" ref="AF7:AF26" si="11">AA7*AA7*$F$4*(1-W7)</f>
        <v>0.75213225257232208</v>
      </c>
    </row>
    <row r="8" spans="1:32" ht="15" thickBot="1" x14ac:dyDescent="0.4">
      <c r="B8" s="23" t="s">
        <v>68</v>
      </c>
      <c r="C8" s="22">
        <f>1-Dbar</f>
        <v>0.38675437532476009</v>
      </c>
      <c r="G8" s="23" t="s">
        <v>69</v>
      </c>
      <c r="H8" s="22">
        <f>Z48</f>
        <v>-1.4979799402536953</v>
      </c>
      <c r="I8" s="3">
        <f>2*ILOAD/Ipeak</f>
        <v>-1.4979799402536953</v>
      </c>
      <c r="J8" s="20" t="s">
        <v>70</v>
      </c>
      <c r="K8" s="21">
        <f>IF(Ivalley&gt;=0,(IL^2+Ipp^2/12)*RD*D+VD*ILOAD,(ILD^2+Ipeak^2/12)*RD*D2_+VD*ILOAD)</f>
        <v>1.4012757217544618</v>
      </c>
      <c r="M8" s="7">
        <f>IF(Ivalley&gt;=0,Dbar,D1_)</f>
        <v>0.61324562467523991</v>
      </c>
      <c r="N8" s="7">
        <f>M8*TS</f>
        <v>1.5331140616881E-6</v>
      </c>
      <c r="O8" s="7">
        <f t="shared" ref="O8:O13" si="12">N8*1000000</f>
        <v>1.5331140616881</v>
      </c>
      <c r="P8" s="7">
        <f>IF(Ivalley&gt;=0,Ivalley+Ipp,Ipeak)</f>
        <v>4.1254272233274296</v>
      </c>
      <c r="T8" s="3">
        <v>3</v>
      </c>
      <c r="U8" s="53">
        <f t="shared" si="0"/>
        <v>1.5</v>
      </c>
      <c r="V8" s="22">
        <f t="shared" si="6"/>
        <v>2.3514356383297939</v>
      </c>
      <c r="W8" s="18">
        <f t="shared" si="1"/>
        <v>0.61053483925010177</v>
      </c>
      <c r="X8" s="54">
        <f>V8/W8</f>
        <v>3.8514356383297939</v>
      </c>
      <c r="Y8" s="3">
        <f t="shared" si="2"/>
        <v>0.49745322804873365</v>
      </c>
      <c r="Z8" s="3">
        <f t="shared" si="7"/>
        <v>3.6027090243054269</v>
      </c>
      <c r="AA8" s="3">
        <f t="shared" si="8"/>
        <v>3.8541118456835379</v>
      </c>
      <c r="AB8" s="13">
        <f t="shared" si="3"/>
        <v>0.58335064521553481</v>
      </c>
      <c r="AC8" s="3">
        <f>AA8^2*RDS_ON*(W8)</f>
        <v>1.360348987514902</v>
      </c>
      <c r="AD8" s="3">
        <f t="shared" si="4"/>
        <v>1.3992592434469409</v>
      </c>
      <c r="AE8" s="3">
        <f t="shared" si="10"/>
        <v>1.4854178119038168</v>
      </c>
      <c r="AF8" s="3">
        <f t="shared" si="11"/>
        <v>0.76942958756886326</v>
      </c>
    </row>
    <row r="9" spans="1:32" ht="15" thickBot="1" x14ac:dyDescent="0.4">
      <c r="B9" s="23" t="s">
        <v>53</v>
      </c>
      <c r="C9" s="24">
        <f>(VO+VD)*D/L/FS</f>
        <v>0.49399081575571629</v>
      </c>
      <c r="G9" s="23" t="s">
        <v>71</v>
      </c>
      <c r="H9" s="22">
        <f>X48</f>
        <v>-2.0026970451232646</v>
      </c>
      <c r="J9" s="20" t="s">
        <v>72</v>
      </c>
      <c r="K9" s="21">
        <f>D15*VIN^2*FS/1000000000000</f>
        <v>2.5920000000000001E-3</v>
      </c>
      <c r="M9" s="7">
        <f>IF(Ivalley&gt;=0,1,D1_+D2_)</f>
        <v>1</v>
      </c>
      <c r="N9" s="7">
        <f t="shared" si="5"/>
        <v>2.5000000000000002E-6</v>
      </c>
      <c r="O9" s="7">
        <f t="shared" si="12"/>
        <v>2.5</v>
      </c>
      <c r="P9" s="7">
        <f>IF(Ivalley&gt;=0,Ivalley,0)</f>
        <v>3.6314364075717132</v>
      </c>
      <c r="T9" s="3">
        <v>4</v>
      </c>
      <c r="U9" s="53">
        <f t="shared" si="0"/>
        <v>1.5</v>
      </c>
      <c r="V9" s="22">
        <f t="shared" si="6"/>
        <v>2.3719784750722281</v>
      </c>
      <c r="W9" s="18">
        <f t="shared" si="1"/>
        <v>0.61260115218692712</v>
      </c>
      <c r="X9" s="54">
        <f t="shared" ref="X9:X26" si="13">V9/W9</f>
        <v>3.8719784750722281</v>
      </c>
      <c r="Y9" s="3">
        <f t="shared" si="2"/>
        <v>0.4948139828885158</v>
      </c>
      <c r="Z9" s="3">
        <f t="shared" si="7"/>
        <v>3.6245714836279701</v>
      </c>
      <c r="AA9" s="3">
        <f t="shared" si="8"/>
        <v>3.8746123313041902</v>
      </c>
      <c r="AB9" s="13">
        <f t="shared" si="3"/>
        <v>0.58689061462904102</v>
      </c>
      <c r="AC9" s="3">
        <f t="shared" si="9"/>
        <v>1.3795123123691249</v>
      </c>
      <c r="AD9" s="3">
        <f t="shared" si="4"/>
        <v>1.4007935984383495</v>
      </c>
      <c r="AE9" s="3">
        <f t="shared" si="10"/>
        <v>1.5012620717894494</v>
      </c>
      <c r="AF9" s="3">
        <f t="shared" si="11"/>
        <v>0.77351097184601014</v>
      </c>
    </row>
    <row r="10" spans="1:32" ht="15" thickBot="1" x14ac:dyDescent="0.4">
      <c r="B10" s="23" t="s">
        <v>54</v>
      </c>
      <c r="C10" s="24">
        <f>IL-Ipp/2</f>
        <v>3.6314364075717132</v>
      </c>
      <c r="D10" s="3" t="s">
        <v>71</v>
      </c>
      <c r="E10" s="25">
        <f>IL+Ipp/2</f>
        <v>4.1254272233274296</v>
      </c>
      <c r="F10" s="25"/>
      <c r="G10" s="26" t="s">
        <v>73</v>
      </c>
      <c r="H10" s="27">
        <f>1-D1_-D2_</f>
        <v>-2.5313423034405957</v>
      </c>
      <c r="J10" s="20" t="s">
        <v>74</v>
      </c>
      <c r="K10" s="21">
        <f>IF(Ivalley&gt;=0,IL^2*(1+(Ipp^2/IL^2)/12)*RL,ILD^2*(1+(Ipeak^2/ILD^2)/12)*RL)</f>
        <v>1.5062568924262374</v>
      </c>
      <c r="M10" s="7">
        <v>1</v>
      </c>
      <c r="N10" s="7">
        <f t="shared" si="5"/>
        <v>2.5000000000000002E-6</v>
      </c>
      <c r="O10" s="7">
        <f t="shared" si="12"/>
        <v>2.5</v>
      </c>
      <c r="P10" s="7">
        <f>IF(Ivalley&gt;=0, Ivalley,0)</f>
        <v>3.6314364075717132</v>
      </c>
      <c r="T10" s="3">
        <v>5</v>
      </c>
      <c r="U10" s="53">
        <f t="shared" si="0"/>
        <v>1.5</v>
      </c>
      <c r="V10" s="22">
        <f t="shared" si="6"/>
        <v>2.3768855076746638</v>
      </c>
      <c r="W10" s="18">
        <f t="shared" si="1"/>
        <v>0.61309148876576125</v>
      </c>
      <c r="X10" s="54">
        <f t="shared" si="13"/>
        <v>3.8768855076746638</v>
      </c>
      <c r="Y10" s="3">
        <f t="shared" si="2"/>
        <v>0.49418768934918683</v>
      </c>
      <c r="Z10" s="3">
        <f t="shared" si="7"/>
        <v>3.6297916630000704</v>
      </c>
      <c r="AA10" s="3">
        <f t="shared" si="8"/>
        <v>3.8795093799315041</v>
      </c>
      <c r="AB10" s="13">
        <f t="shared" si="3"/>
        <v>0.58773586607297146</v>
      </c>
      <c r="AC10" s="3">
        <f t="shared" si="9"/>
        <v>1.3841085730414207</v>
      </c>
      <c r="AD10" s="3">
        <f t="shared" si="4"/>
        <v>1.4011601271016858</v>
      </c>
      <c r="AE10" s="3">
        <f t="shared" si="10"/>
        <v>1.5050593028976524</v>
      </c>
      <c r="AF10" s="3">
        <f t="shared" si="11"/>
        <v>0.7744859380904846</v>
      </c>
    </row>
    <row r="11" spans="1:32" ht="15" thickBot="1" x14ac:dyDescent="0.4">
      <c r="B11" s="62" t="s">
        <v>49</v>
      </c>
      <c r="C11" s="63"/>
      <c r="D11" s="63"/>
      <c r="E11" s="64"/>
      <c r="F11" s="28"/>
      <c r="G11" s="29" t="s">
        <v>75</v>
      </c>
      <c r="H11" s="27"/>
      <c r="J11" s="20" t="s">
        <v>76</v>
      </c>
      <c r="K11" s="21">
        <f>18.1*10^(-6)*FS^1.155*(0.06374*IF(Ivalley&gt;=0,Ipeak_ccm,Ipeak))^2.378/10</f>
        <v>0.22311812792886535</v>
      </c>
      <c r="M11" s="7">
        <f>IF(Ivalley&gt;=0,1+Dbar,1+D1_)</f>
        <v>1.61324562467524</v>
      </c>
      <c r="N11" s="7">
        <f t="shared" si="5"/>
        <v>4.0331140616881004E-6</v>
      </c>
      <c r="O11" s="7">
        <f t="shared" si="12"/>
        <v>4.0331140616881003</v>
      </c>
      <c r="P11" s="7">
        <f>IF(Ivalley&gt;=0, Ivalley+Ipp,Ipeak)</f>
        <v>4.1254272233274296</v>
      </c>
      <c r="T11" s="3">
        <v>6</v>
      </c>
      <c r="U11" s="53">
        <f t="shared" si="0"/>
        <v>1.5</v>
      </c>
      <c r="V11" s="22">
        <f t="shared" si="6"/>
        <v>2.3780610896893575</v>
      </c>
      <c r="W11" s="18">
        <f t="shared" si="1"/>
        <v>0.61320877487256042</v>
      </c>
      <c r="X11" s="54">
        <f t="shared" si="13"/>
        <v>3.8780610896893575</v>
      </c>
      <c r="Y11" s="3">
        <f t="shared" si="2"/>
        <v>0.49403788300368423</v>
      </c>
      <c r="Z11" s="3">
        <f t="shared" si="7"/>
        <v>3.6310421481875155</v>
      </c>
      <c r="AA11" s="3">
        <f t="shared" si="8"/>
        <v>3.8806825775692482</v>
      </c>
      <c r="AB11" s="13">
        <f t="shared" si="3"/>
        <v>0.58793834463452255</v>
      </c>
      <c r="AC11" s="3">
        <f t="shared" si="9"/>
        <v>1.385210776735446</v>
      </c>
      <c r="AD11" s="3">
        <f t="shared" si="4"/>
        <v>1.401247937813993</v>
      </c>
      <c r="AE11" s="3">
        <f t="shared" si="10"/>
        <v>1.5059697267849506</v>
      </c>
      <c r="AF11" s="3">
        <f t="shared" si="11"/>
        <v>0.77471951458522192</v>
      </c>
    </row>
    <row r="12" spans="1:32" ht="15" thickBot="1" x14ac:dyDescent="0.4">
      <c r="B12" s="3" t="s">
        <v>77</v>
      </c>
      <c r="C12" s="13">
        <f>IF(Ipp/ILOAD&lt;2*Dbar/(1-Dbar),ILOAD*Dbar*TS/R4,(0.5*(ILOAD-Ivalley)*D*TS*Ivalley/(E10-Ivalley)+ILOAD*(TS-TS*D))/R4+Ipp*S4)</f>
        <v>0.11498355462660749</v>
      </c>
      <c r="G12" s="3" t="s">
        <v>77</v>
      </c>
      <c r="H12" s="13">
        <f>(D2_*TS*ILOAD^2/(2*Ipeak)+ILOAD*(TS-TS*D2_))/R4+Ipeak*S4</f>
        <v>0.56354262395019217</v>
      </c>
      <c r="J12" s="20" t="s">
        <v>78</v>
      </c>
      <c r="K12" s="21">
        <f>IF(Ivalley&gt;=0,IL^2*(1+(Ipp^2/IL^2)/12)*F4*D, ILD^2*(1+(Ipeak^2/ILD^2)/12)*F4*D2_)</f>
        <v>0.77479341986686878</v>
      </c>
      <c r="M12" s="7">
        <f>IF(Ivalley&gt;=0,2,1+D1_+D2_)</f>
        <v>2</v>
      </c>
      <c r="N12" s="7">
        <f t="shared" si="5"/>
        <v>5.0000000000000004E-6</v>
      </c>
      <c r="O12" s="7">
        <f t="shared" si="12"/>
        <v>5</v>
      </c>
      <c r="P12" s="7">
        <f>IF(Ivalley&gt;=0, Ivalley,0)</f>
        <v>3.6314364075717132</v>
      </c>
      <c r="T12" s="3">
        <v>7</v>
      </c>
      <c r="U12" s="53">
        <f t="shared" si="0"/>
        <v>1.5</v>
      </c>
      <c r="V12" s="22">
        <f t="shared" si="6"/>
        <v>2.3783429222837924</v>
      </c>
      <c r="W12" s="18">
        <f t="shared" si="1"/>
        <v>0.61323688233408891</v>
      </c>
      <c r="X12" s="54">
        <f t="shared" si="13"/>
        <v>3.8783429222837924</v>
      </c>
      <c r="Y12" s="3">
        <f t="shared" si="2"/>
        <v>0.49400198210964097</v>
      </c>
      <c r="Z12" s="3">
        <f t="shared" si="7"/>
        <v>3.6313419312289721</v>
      </c>
      <c r="AA12" s="3">
        <f t="shared" si="8"/>
        <v>3.8809638389652825</v>
      </c>
      <c r="AB12" s="13">
        <f t="shared" si="3"/>
        <v>0.58798688550459521</v>
      </c>
      <c r="AC12" s="3">
        <f t="shared" si="9"/>
        <v>1.38547507936967</v>
      </c>
      <c r="AD12" s="3">
        <f t="shared" si="4"/>
        <v>1.4012689895112505</v>
      </c>
      <c r="AE12" s="3">
        <f t="shared" si="10"/>
        <v>1.5061880319356145</v>
      </c>
      <c r="AF12" s="3">
        <f t="shared" si="11"/>
        <v>0.77477551209992646</v>
      </c>
    </row>
    <row r="13" spans="1:32" ht="15" thickBot="1" x14ac:dyDescent="0.4">
      <c r="J13" s="20" t="s">
        <v>79</v>
      </c>
      <c r="K13" s="21">
        <f>ILOAD*L4</f>
        <v>0</v>
      </c>
      <c r="M13" s="7">
        <v>2</v>
      </c>
      <c r="N13" s="7">
        <f t="shared" si="5"/>
        <v>5.0000000000000004E-6</v>
      </c>
      <c r="O13" s="7">
        <f t="shared" si="12"/>
        <v>5</v>
      </c>
      <c r="P13" s="7">
        <f>IF(Ivalley&gt;=0, Ivalley,0)</f>
        <v>3.6314364075717132</v>
      </c>
      <c r="T13" s="3">
        <v>8</v>
      </c>
      <c r="U13" s="53">
        <f t="shared" si="0"/>
        <v>1.5</v>
      </c>
      <c r="V13" s="22">
        <f t="shared" si="6"/>
        <v>2.3784104998245619</v>
      </c>
      <c r="W13" s="18">
        <f t="shared" si="1"/>
        <v>0.61324362130624088</v>
      </c>
      <c r="X13" s="54">
        <f t="shared" si="13"/>
        <v>3.8784104998245614</v>
      </c>
      <c r="Y13" s="3">
        <f t="shared" si="2"/>
        <v>0.49399337460430148</v>
      </c>
      <c r="Z13" s="3">
        <f t="shared" si="7"/>
        <v>3.6314138125224105</v>
      </c>
      <c r="AA13" s="3">
        <f t="shared" si="8"/>
        <v>3.8810312795693216</v>
      </c>
      <c r="AB13" s="13">
        <f t="shared" si="3"/>
        <v>0.58799852452362877</v>
      </c>
      <c r="AC13" s="3">
        <f t="shared" si="9"/>
        <v>1.3855384571390115</v>
      </c>
      <c r="AD13" s="3">
        <f t="shared" si="4"/>
        <v>1.4012740372701038</v>
      </c>
      <c r="AE13" s="3">
        <f t="shared" si="10"/>
        <v>1.5062403792995487</v>
      </c>
      <c r="AF13" s="3">
        <f t="shared" si="11"/>
        <v>0.77478893913847613</v>
      </c>
    </row>
    <row r="14" spans="1:32" ht="15" thickBot="1" x14ac:dyDescent="0.4">
      <c r="J14" s="20" t="s">
        <v>80</v>
      </c>
      <c r="K14" s="21">
        <f>D19*VIN/1000</f>
        <v>1.7999999999999999E-2</v>
      </c>
      <c r="M14" s="7"/>
      <c r="N14" s="7"/>
      <c r="O14" s="7"/>
      <c r="P14" s="7"/>
      <c r="T14" s="3">
        <v>9</v>
      </c>
      <c r="U14" s="53">
        <f t="shared" si="0"/>
        <v>1.5</v>
      </c>
      <c r="V14" s="22">
        <f t="shared" si="6"/>
        <v>2.3784267041523073</v>
      </c>
      <c r="W14" s="18">
        <f t="shared" si="1"/>
        <v>0.61324523720041546</v>
      </c>
      <c r="X14" s="54">
        <f t="shared" si="13"/>
        <v>3.8784267041523073</v>
      </c>
      <c r="Y14" s="3">
        <f t="shared" si="2"/>
        <v>0.49399131066674212</v>
      </c>
      <c r="Z14" s="3">
        <f t="shared" si="7"/>
        <v>3.6314310488189361</v>
      </c>
      <c r="AA14" s="3">
        <f t="shared" si="8"/>
        <v>3.8810474510626101</v>
      </c>
      <c r="AB14" s="13">
        <f t="shared" si="3"/>
        <v>0.58800131542476219</v>
      </c>
      <c r="AC14" s="3">
        <f t="shared" si="9"/>
        <v>1.3855536546130376</v>
      </c>
      <c r="AD14" s="3">
        <f t="shared" si="4"/>
        <v>1.4012752476656329</v>
      </c>
      <c r="AE14" s="3">
        <f t="shared" si="10"/>
        <v>1.5062529317399582</v>
      </c>
      <c r="AF14" s="3">
        <f t="shared" si="11"/>
        <v>0.77479215879058416</v>
      </c>
    </row>
    <row r="15" spans="1:32" ht="15" thickBot="1" x14ac:dyDescent="0.4">
      <c r="B15" s="30" t="s">
        <v>19</v>
      </c>
      <c r="C15" s="31" t="s">
        <v>20</v>
      </c>
      <c r="D15" s="31">
        <v>80</v>
      </c>
      <c r="E15" s="32" t="s">
        <v>81</v>
      </c>
      <c r="J15" s="20" t="s">
        <v>82</v>
      </c>
      <c r="K15" s="33">
        <f>SUM(K5:K7)+K14</f>
        <v>2.0569968127692055</v>
      </c>
      <c r="M15" s="3" t="s">
        <v>83</v>
      </c>
      <c r="N15" s="3" t="s">
        <v>182</v>
      </c>
      <c r="O15" s="7"/>
      <c r="P15" s="7"/>
      <c r="T15" s="3">
        <v>10</v>
      </c>
      <c r="U15" s="53">
        <f t="shared" si="0"/>
        <v>1.5</v>
      </c>
      <c r="V15" s="22">
        <f t="shared" si="6"/>
        <v>2.3784305898037754</v>
      </c>
      <c r="W15" s="18">
        <f t="shared" si="1"/>
        <v>0.61324562467523991</v>
      </c>
      <c r="X15" s="54">
        <f t="shared" si="13"/>
        <v>3.8784305898037754</v>
      </c>
      <c r="Y15" s="3">
        <f t="shared" si="2"/>
        <v>0.49399081575571629</v>
      </c>
      <c r="Z15" s="3">
        <f t="shared" si="7"/>
        <v>3.6314351819259172</v>
      </c>
      <c r="AA15" s="3">
        <f t="shared" si="8"/>
        <v>3.8810513288407535</v>
      </c>
      <c r="AB15" s="13">
        <f t="shared" si="3"/>
        <v>0.58800198465744458</v>
      </c>
      <c r="AC15" s="3">
        <f t="shared" si="9"/>
        <v>1.3855572988417963</v>
      </c>
      <c r="AD15" s="3">
        <f t="shared" si="4"/>
        <v>1.4012755379075634</v>
      </c>
      <c r="AE15" s="3">
        <f t="shared" si="10"/>
        <v>1.5062559417096582</v>
      </c>
      <c r="AF15" s="3">
        <f t="shared" si="11"/>
        <v>0.77479293083411904</v>
      </c>
    </row>
    <row r="16" spans="1:32" ht="15" thickBot="1" x14ac:dyDescent="0.4">
      <c r="B16" s="34" t="s">
        <v>24</v>
      </c>
      <c r="C16" s="1" t="s">
        <v>25</v>
      </c>
      <c r="D16" s="1">
        <f>90/RDS_ON/5</f>
        <v>120</v>
      </c>
      <c r="E16" s="35" t="s">
        <v>81</v>
      </c>
      <c r="J16" s="20" t="s">
        <v>84</v>
      </c>
      <c r="K16" s="21">
        <f>K15*O4</f>
        <v>61.709904383076164</v>
      </c>
      <c r="M16" s="3" t="s">
        <v>85</v>
      </c>
      <c r="N16" s="3" t="s">
        <v>183</v>
      </c>
      <c r="O16" s="7"/>
      <c r="P16" s="7"/>
      <c r="U16" s="53">
        <f t="shared" si="0"/>
        <v>1.5</v>
      </c>
      <c r="V16" s="22">
        <f t="shared" si="6"/>
        <v>2.3784315215500644</v>
      </c>
      <c r="W16" s="18">
        <f t="shared" si="1"/>
        <v>0.61324571758830337</v>
      </c>
      <c r="X16" s="54">
        <f t="shared" si="13"/>
        <v>3.8784315215500644</v>
      </c>
      <c r="Y16" s="3">
        <f t="shared" si="2"/>
        <v>0.49399069708039434</v>
      </c>
      <c r="Z16" s="3">
        <f t="shared" si="7"/>
        <v>3.6314361730098672</v>
      </c>
      <c r="AA16" s="3">
        <f t="shared" si="8"/>
        <v>3.8810522586990905</v>
      </c>
      <c r="AB16" s="13">
        <f t="shared" si="3"/>
        <v>0.5880021451337577</v>
      </c>
      <c r="AC16" s="3">
        <f t="shared" si="9"/>
        <v>1.3855581726976396</v>
      </c>
      <c r="AD16" s="3">
        <f t="shared" si="4"/>
        <v>1.4012756075051189</v>
      </c>
      <c r="AE16" s="3">
        <f t="shared" si="10"/>
        <v>1.5062566634753312</v>
      </c>
      <c r="AF16" s="3">
        <f t="shared" si="11"/>
        <v>0.77479311596361677</v>
      </c>
    </row>
    <row r="17" spans="2:34" ht="15" thickBot="1" x14ac:dyDescent="0.4">
      <c r="B17" s="34" t="s">
        <v>26</v>
      </c>
      <c r="C17" s="1" t="s">
        <v>27</v>
      </c>
      <c r="D17" s="36">
        <f>190/RDS_ON/SQRT((60+5)*5)</f>
        <v>70.262024855195691</v>
      </c>
      <c r="E17" s="35" t="s">
        <v>81</v>
      </c>
      <c r="J17" s="20" t="s">
        <v>86</v>
      </c>
      <c r="K17" s="21">
        <f>K16+A4</f>
        <v>61.709904383076164</v>
      </c>
      <c r="M17" s="3" t="s">
        <v>87</v>
      </c>
      <c r="N17" s="3" t="s">
        <v>88</v>
      </c>
      <c r="O17" s="7"/>
      <c r="P17" s="7"/>
      <c r="U17" s="53">
        <f t="shared" si="0"/>
        <v>1.5</v>
      </c>
      <c r="V17" s="22">
        <f t="shared" si="6"/>
        <v>2.3784317449750514</v>
      </c>
      <c r="W17" s="18">
        <f t="shared" si="1"/>
        <v>0.61324573986807418</v>
      </c>
      <c r="X17" s="54">
        <f t="shared" si="13"/>
        <v>3.8784317449750514</v>
      </c>
      <c r="Y17" s="3">
        <f t="shared" si="2"/>
        <v>0.49399066862305063</v>
      </c>
      <c r="Z17" s="3">
        <f t="shared" si="7"/>
        <v>3.6314364106635262</v>
      </c>
      <c r="AA17" s="3">
        <f t="shared" si="8"/>
        <v>3.8810524816713627</v>
      </c>
      <c r="AB17" s="13">
        <f t="shared" si="3"/>
        <v>0.58800218361463819</v>
      </c>
      <c r="AC17" s="3">
        <f t="shared" si="9"/>
        <v>1.3855583822410193</v>
      </c>
      <c r="AD17" s="3">
        <f t="shared" si="4"/>
        <v>1.4012756241940323</v>
      </c>
      <c r="AE17" s="3">
        <f t="shared" si="10"/>
        <v>1.5062568365487445</v>
      </c>
      <c r="AF17" s="3">
        <f t="shared" si="11"/>
        <v>0.77479316035612622</v>
      </c>
    </row>
    <row r="18" spans="2:34" ht="15" thickBot="1" x14ac:dyDescent="0.4">
      <c r="B18" s="34" t="s">
        <v>28</v>
      </c>
      <c r="C18" s="1" t="s">
        <v>29</v>
      </c>
      <c r="D18" s="36">
        <f>170/RDS_ON/60</f>
        <v>18.888888888888893</v>
      </c>
      <c r="E18" s="35" t="s">
        <v>81</v>
      </c>
      <c r="J18" s="20" t="s">
        <v>89</v>
      </c>
      <c r="K18" s="33">
        <f>SUM(K5:K12)+K14</f>
        <v>5.9650329747456388</v>
      </c>
      <c r="M18" s="3" t="s">
        <v>90</v>
      </c>
      <c r="N18" s="3" t="s">
        <v>184</v>
      </c>
      <c r="U18" s="53">
        <f t="shared" si="0"/>
        <v>1.5</v>
      </c>
      <c r="V18" s="22">
        <f t="shared" si="6"/>
        <v>2.3784317985505066</v>
      </c>
      <c r="W18" s="18">
        <f t="shared" si="1"/>
        <v>0.61324574521057773</v>
      </c>
      <c r="X18" s="54">
        <f t="shared" si="13"/>
        <v>3.8784317985505066</v>
      </c>
      <c r="Y18" s="3">
        <f t="shared" si="2"/>
        <v>0.49399066179921669</v>
      </c>
      <c r="Z18" s="3">
        <f t="shared" si="7"/>
        <v>3.6314364676508983</v>
      </c>
      <c r="AA18" s="3">
        <f t="shared" si="8"/>
        <v>3.8810525351382608</v>
      </c>
      <c r="AB18" s="13">
        <f t="shared" si="3"/>
        <v>0.58800219284203348</v>
      </c>
      <c r="AC18" s="3">
        <f t="shared" si="9"/>
        <v>1.385558432487783</v>
      </c>
      <c r="AD18" s="3">
        <f t="shared" si="4"/>
        <v>1.4012756281958949</v>
      </c>
      <c r="AE18" s="3">
        <f t="shared" si="10"/>
        <v>1.5062568780503121</v>
      </c>
      <c r="AF18" s="3">
        <f t="shared" si="11"/>
        <v>0.77479317100108103</v>
      </c>
    </row>
    <row r="19" spans="2:34" ht="15" thickBot="1" x14ac:dyDescent="0.4">
      <c r="B19" s="37" t="s">
        <v>30</v>
      </c>
      <c r="C19" s="38" t="s">
        <v>31</v>
      </c>
      <c r="D19" s="38">
        <v>2</v>
      </c>
      <c r="E19" s="39" t="s">
        <v>91</v>
      </c>
      <c r="J19" s="20" t="s">
        <v>92</v>
      </c>
      <c r="K19" s="21">
        <f>ILOAD*(VO+L4)/(ILOAD*(VO+L4)+K18)</f>
        <v>0.72530398725698864</v>
      </c>
      <c r="M19" s="3" t="s">
        <v>93</v>
      </c>
      <c r="N19" s="3" t="s">
        <v>94</v>
      </c>
      <c r="U19" s="53">
        <f t="shared" si="0"/>
        <v>1.5</v>
      </c>
      <c r="V19" s="22">
        <f t="shared" si="6"/>
        <v>2.3784318113974563</v>
      </c>
      <c r="W19" s="18">
        <f t="shared" si="1"/>
        <v>0.61324574649166574</v>
      </c>
      <c r="X19" s="54">
        <f t="shared" si="13"/>
        <v>3.8784318113974559</v>
      </c>
      <c r="Y19" s="3">
        <f t="shared" si="2"/>
        <v>0.49399066016291793</v>
      </c>
      <c r="Z19" s="3">
        <f t="shared" si="7"/>
        <v>3.6314364813159967</v>
      </c>
      <c r="AA19" s="3">
        <f t="shared" si="8"/>
        <v>3.8810525479591789</v>
      </c>
      <c r="AB19" s="13">
        <f t="shared" si="3"/>
        <v>0.58800219505468621</v>
      </c>
      <c r="AC19" s="3">
        <f t="shared" si="9"/>
        <v>1.3855584445365396</v>
      </c>
      <c r="AD19" s="3">
        <f t="shared" si="4"/>
        <v>1.4012756291555084</v>
      </c>
      <c r="AE19" s="3">
        <f t="shared" si="10"/>
        <v>1.5062568880020435</v>
      </c>
      <c r="AF19" s="3">
        <f t="shared" si="11"/>
        <v>0.77479317355365263</v>
      </c>
    </row>
    <row r="20" spans="2:34" ht="15" thickBot="1" x14ac:dyDescent="0.4">
      <c r="J20" s="40" t="s">
        <v>95</v>
      </c>
      <c r="K20" s="41">
        <f>ILOAD*VO/(ILOAD*(VO+L4)+K18)</f>
        <v>0.72530398725698864</v>
      </c>
      <c r="M20" s="3" t="s">
        <v>96</v>
      </c>
      <c r="N20" s="3" t="s">
        <v>97</v>
      </c>
      <c r="U20" s="53">
        <f t="shared" si="0"/>
        <v>1.5</v>
      </c>
      <c r="V20" s="22">
        <f t="shared" si="6"/>
        <v>2.3784318144780476</v>
      </c>
      <c r="W20" s="18">
        <f t="shared" si="1"/>
        <v>0.6132457467988599</v>
      </c>
      <c r="X20" s="54">
        <f t="shared" si="13"/>
        <v>3.8784318144780476</v>
      </c>
      <c r="Y20" s="3">
        <f t="shared" si="2"/>
        <v>0.49399065977054712</v>
      </c>
      <c r="Z20" s="3">
        <f t="shared" si="7"/>
        <v>3.6314364845927742</v>
      </c>
      <c r="AA20" s="3">
        <f t="shared" si="8"/>
        <v>3.8810525510335285</v>
      </c>
      <c r="AB20" s="13">
        <f t="shared" si="3"/>
        <v>0.58800219558526201</v>
      </c>
      <c r="AC20" s="3">
        <f t="shared" si="9"/>
        <v>1.3855584474257312</v>
      </c>
      <c r="AD20" s="3">
        <f t="shared" si="4"/>
        <v>1.4012756293856157</v>
      </c>
      <c r="AE20" s="3">
        <f t="shared" si="10"/>
        <v>1.5062568903883859</v>
      </c>
      <c r="AF20" s="3">
        <f t="shared" si="11"/>
        <v>0.77479317416573823</v>
      </c>
    </row>
    <row r="21" spans="2:34" ht="15" thickBot="1" x14ac:dyDescent="0.4">
      <c r="M21" s="3" t="s">
        <v>98</v>
      </c>
      <c r="N21" s="3" t="s">
        <v>185</v>
      </c>
      <c r="U21" s="53">
        <f t="shared" si="0"/>
        <v>1.5</v>
      </c>
      <c r="V21" s="22">
        <f t="shared" si="6"/>
        <v>2.3784318152167478</v>
      </c>
      <c r="W21" s="18">
        <f t="shared" si="1"/>
        <v>0.61324574687252253</v>
      </c>
      <c r="X21" s="54">
        <f t="shared" si="13"/>
        <v>3.8784318152167478</v>
      </c>
      <c r="Y21" s="3">
        <f t="shared" si="2"/>
        <v>0.49399065967645983</v>
      </c>
      <c r="Z21" s="3">
        <f t="shared" si="7"/>
        <v>3.6314364853785177</v>
      </c>
      <c r="AA21" s="3">
        <f t="shared" si="8"/>
        <v>3.8810525517707322</v>
      </c>
      <c r="AB21" s="13">
        <f t="shared" si="3"/>
        <v>0.58800219571248968</v>
      </c>
      <c r="AC21" s="3">
        <f t="shared" si="9"/>
        <v>1.3855584481185357</v>
      </c>
      <c r="AD21" s="3">
        <f t="shared" si="4"/>
        <v>1.4012756294407938</v>
      </c>
      <c r="AE21" s="3">
        <f t="shared" si="10"/>
        <v>1.5062568909606113</v>
      </c>
      <c r="AF21" s="3">
        <f t="shared" si="11"/>
        <v>0.77479317431251138</v>
      </c>
    </row>
    <row r="22" spans="2:34" ht="15" thickBot="1" x14ac:dyDescent="0.4">
      <c r="M22" s="3" t="s">
        <v>99</v>
      </c>
      <c r="N22" s="3" t="s">
        <v>100</v>
      </c>
      <c r="U22" s="53">
        <f t="shared" si="0"/>
        <v>1.5</v>
      </c>
      <c r="V22" s="22">
        <f t="shared" si="6"/>
        <v>2.3784318153938826</v>
      </c>
      <c r="W22" s="18">
        <f t="shared" si="1"/>
        <v>0.61324574689018629</v>
      </c>
      <c r="X22" s="54">
        <f t="shared" si="13"/>
        <v>3.8784318153938826</v>
      </c>
      <c r="Y22" s="3">
        <f t="shared" si="2"/>
        <v>0.49399065965389838</v>
      </c>
      <c r="Z22" s="3">
        <f t="shared" si="7"/>
        <v>3.6314364855669332</v>
      </c>
      <c r="AA22" s="3">
        <f t="shared" si="8"/>
        <v>3.8810525519475076</v>
      </c>
      <c r="AB22" s="13">
        <f t="shared" si="3"/>
        <v>0.58800219574299784</v>
      </c>
      <c r="AC22" s="3">
        <f t="shared" si="9"/>
        <v>1.3855584482846646</v>
      </c>
      <c r="AD22" s="3">
        <f t="shared" si="4"/>
        <v>1.4012756294540247</v>
      </c>
      <c r="AE22" s="3">
        <f t="shared" si="10"/>
        <v>1.5062568910978262</v>
      </c>
      <c r="AF22" s="3">
        <f t="shared" si="11"/>
        <v>0.77479317434770623</v>
      </c>
    </row>
    <row r="23" spans="2:34" ht="15" thickBot="1" x14ac:dyDescent="0.4">
      <c r="M23" s="3" t="s">
        <v>102</v>
      </c>
      <c r="N23" s="3" t="s">
        <v>103</v>
      </c>
      <c r="U23" s="53">
        <f t="shared" si="0"/>
        <v>1.5</v>
      </c>
      <c r="V23" s="22">
        <f t="shared" si="6"/>
        <v>2.378431815436358</v>
      </c>
      <c r="W23" s="18">
        <f t="shared" si="1"/>
        <v>0.61324574689442191</v>
      </c>
      <c r="X23" s="54">
        <f t="shared" si="13"/>
        <v>3.878431815436358</v>
      </c>
      <c r="Y23" s="3">
        <f t="shared" si="2"/>
        <v>0.49399065964848837</v>
      </c>
      <c r="Z23" s="3">
        <f t="shared" si="7"/>
        <v>3.631436485612114</v>
      </c>
      <c r="AA23" s="3">
        <f t="shared" si="8"/>
        <v>3.8810525519898968</v>
      </c>
      <c r="AB23" s="13">
        <f t="shared" si="3"/>
        <v>0.58800219575031365</v>
      </c>
      <c r="AC23" s="3">
        <f t="shared" si="9"/>
        <v>1.3855584483245009</v>
      </c>
      <c r="AD23" s="3">
        <f t="shared" si="4"/>
        <v>1.4012756294571975</v>
      </c>
      <c r="AE23" s="3">
        <f t="shared" si="10"/>
        <v>1.5062568911307292</v>
      </c>
      <c r="AF23" s="3">
        <f t="shared" si="11"/>
        <v>0.7747931743561457</v>
      </c>
    </row>
    <row r="24" spans="2:34" ht="15" thickBot="1" x14ac:dyDescent="0.4">
      <c r="U24" s="53">
        <f t="shared" si="0"/>
        <v>1.5</v>
      </c>
      <c r="V24" s="22">
        <f t="shared" si="6"/>
        <v>2.3784318154465427</v>
      </c>
      <c r="W24" s="18">
        <f t="shared" si="1"/>
        <v>0.61324574689543754</v>
      </c>
      <c r="X24" s="54">
        <f t="shared" si="13"/>
        <v>3.8784318154465423</v>
      </c>
      <c r="Y24" s="3">
        <f t="shared" si="2"/>
        <v>0.49399065964719113</v>
      </c>
      <c r="Z24" s="3">
        <f t="shared" si="7"/>
        <v>3.6314364856229466</v>
      </c>
      <c r="AA24" s="3">
        <f t="shared" si="8"/>
        <v>3.8810525520000607</v>
      </c>
      <c r="AB24" s="13">
        <f t="shared" si="3"/>
        <v>0.58800219575206758</v>
      </c>
      <c r="AC24" s="3">
        <f t="shared" si="9"/>
        <v>1.3855584483340524</v>
      </c>
      <c r="AD24" s="3">
        <f t="shared" si="4"/>
        <v>1.4012756294579582</v>
      </c>
      <c r="AE24" s="3">
        <f t="shared" si="10"/>
        <v>1.5062568911386185</v>
      </c>
      <c r="AF24" s="3">
        <f t="shared" si="11"/>
        <v>0.77479317435816908</v>
      </c>
    </row>
    <row r="25" spans="2:34" ht="15" thickBot="1" x14ac:dyDescent="0.4">
      <c r="M25" s="4"/>
      <c r="N25" s="4"/>
      <c r="U25" s="53">
        <f t="shared" si="0"/>
        <v>1.5</v>
      </c>
      <c r="V25" s="22">
        <f t="shared" si="6"/>
        <v>2.3784318154489856</v>
      </c>
      <c r="W25" s="18">
        <f t="shared" si="1"/>
        <v>0.61324574689568112</v>
      </c>
      <c r="X25" s="54">
        <f t="shared" si="13"/>
        <v>3.8784318154489856</v>
      </c>
      <c r="Y25" s="3">
        <f t="shared" si="2"/>
        <v>0.4939906596468801</v>
      </c>
      <c r="Z25" s="3">
        <f t="shared" si="7"/>
        <v>3.6314364856255454</v>
      </c>
      <c r="AA25" s="3">
        <f t="shared" si="8"/>
        <v>3.8810525520024992</v>
      </c>
      <c r="AB25" s="13">
        <f t="shared" si="3"/>
        <v>0.58800219575248835</v>
      </c>
      <c r="AC25" s="3">
        <f t="shared" si="9"/>
        <v>1.3855584483363441</v>
      </c>
      <c r="AD25" s="3">
        <f t="shared" si="4"/>
        <v>1.4012756294581408</v>
      </c>
      <c r="AE25" s="3">
        <f t="shared" si="10"/>
        <v>1.5062568911405112</v>
      </c>
      <c r="AF25" s="3">
        <f t="shared" si="11"/>
        <v>0.7747931743586548</v>
      </c>
    </row>
    <row r="26" spans="2:34" x14ac:dyDescent="0.35">
      <c r="U26" s="53">
        <f t="shared" si="0"/>
        <v>1.5</v>
      </c>
      <c r="V26" s="22">
        <f t="shared" si="6"/>
        <v>2.3784318154495714</v>
      </c>
      <c r="W26" s="18">
        <f t="shared" si="1"/>
        <v>0.61324574689573952</v>
      </c>
      <c r="X26" s="54">
        <f t="shared" si="13"/>
        <v>3.8784318154495714</v>
      </c>
      <c r="Y26" s="3">
        <f t="shared" si="2"/>
        <v>0.4939906596468055</v>
      </c>
      <c r="Z26" s="3">
        <f t="shared" si="7"/>
        <v>3.6314364856261685</v>
      </c>
      <c r="AA26" s="3">
        <f t="shared" si="8"/>
        <v>3.8810525520030836</v>
      </c>
      <c r="AB26" s="13">
        <f t="shared" si="3"/>
        <v>0.58800219575258927</v>
      </c>
      <c r="AC26" s="3">
        <f t="shared" si="9"/>
        <v>1.3855584483368932</v>
      </c>
      <c r="AD26" s="3">
        <f t="shared" si="4"/>
        <v>1.4012756294581845</v>
      </c>
      <c r="AE26" s="3">
        <f t="shared" si="10"/>
        <v>1.5062568911409651</v>
      </c>
      <c r="AF26" s="3">
        <f t="shared" si="11"/>
        <v>0.77479317435877115</v>
      </c>
    </row>
    <row r="31" spans="2:34" x14ac:dyDescent="0.35">
      <c r="S31" s="14" t="s">
        <v>75</v>
      </c>
    </row>
    <row r="32" spans="2:34" x14ac:dyDescent="0.35">
      <c r="S32" s="3" t="s">
        <v>181</v>
      </c>
      <c r="T32" s="3" t="s">
        <v>51</v>
      </c>
      <c r="U32" s="3" t="s">
        <v>104</v>
      </c>
      <c r="V32" s="3" t="s">
        <v>105</v>
      </c>
      <c r="W32" s="3" t="s">
        <v>61</v>
      </c>
      <c r="X32" s="3" t="s">
        <v>53</v>
      </c>
      <c r="Y32" s="3" t="s">
        <v>50</v>
      </c>
      <c r="Z32" s="3" t="s">
        <v>69</v>
      </c>
      <c r="AA32" s="3" t="s">
        <v>73</v>
      </c>
      <c r="AB32" s="3" t="s">
        <v>54</v>
      </c>
      <c r="AC32" s="3" t="s">
        <v>186</v>
      </c>
      <c r="AD32" s="3" t="s">
        <v>56</v>
      </c>
      <c r="AE32" s="3" t="s">
        <v>57</v>
      </c>
      <c r="AF32" s="3" t="s">
        <v>58</v>
      </c>
      <c r="AG32" s="3" t="s">
        <v>59</v>
      </c>
      <c r="AH32" s="3" t="s">
        <v>60</v>
      </c>
    </row>
    <row r="33" spans="19:34" x14ac:dyDescent="0.35">
      <c r="S33" s="53">
        <f t="shared" ref="S33:S48" si="14">ILOAD</f>
        <v>1.5</v>
      </c>
      <c r="T33" s="3">
        <f>VO*ILOAD/VIN</f>
        <v>1.75</v>
      </c>
      <c r="U33" s="14">
        <f t="shared" ref="U33:U48" si="15">VIN-T33*(RL+RDS_ON)</f>
        <v>8.5625</v>
      </c>
      <c r="V33" s="3">
        <f t="shared" ref="V33:V48" si="16">VO+VD+S33*(Rsense+RD+RL)</f>
        <v>11.765000000000001</v>
      </c>
      <c r="W33" s="3">
        <f t="shared" ref="W33:W48" si="17">(2*S33*L*FS*V33/(U33^2))^0.5</f>
        <v>2.0582463062288734</v>
      </c>
      <c r="X33" s="3">
        <f t="shared" ref="X33:X48" si="18">U33*W33/L/FS</f>
        <v>2.0026970451232646</v>
      </c>
      <c r="Y33" s="3">
        <f>X33*(W33+Z33)/2</f>
        <v>3.5610218978102193</v>
      </c>
      <c r="Z33" s="3">
        <f t="shared" ref="Z33:Z48" si="19">X33*L*FS/V33</f>
        <v>1.4979799402536953</v>
      </c>
      <c r="AA33" s="3">
        <f>1-W33-Z33</f>
        <v>-2.5562262464825687</v>
      </c>
      <c r="AB33" s="3">
        <f>IF(Y33-X33/2&gt;0, Y33-X33/2,0)</f>
        <v>2.559673375248587</v>
      </c>
      <c r="AC33" s="3">
        <f>(Y33^2+X33^2/12)^0.5</f>
        <v>3.6076460346366233</v>
      </c>
      <c r="AD33" s="13">
        <f t="shared" ref="AD33:AD48" si="20">(VIN+VD+VO)*AB33*FS*R$4</f>
        <v>414.46231292025124</v>
      </c>
      <c r="AE33" s="3">
        <f t="shared" ref="AE33:AE48" si="21">AC33^2*RDS_ON*(W33)</f>
        <v>4.0182452849925925</v>
      </c>
      <c r="AF33" s="3">
        <f t="shared" ref="AF33:AF48" si="22">AC33*AC33*RD*Z33+VD*S33</f>
        <v>2.0848186783609313</v>
      </c>
      <c r="AG33" s="3">
        <f t="shared" ref="AG33:AG48" si="23">RL*AC33^2</f>
        <v>1.3015109911229352</v>
      </c>
      <c r="AH33" s="3">
        <f>AC33*AC33*$F$4*Z33</f>
        <v>2.5930176844400772</v>
      </c>
    </row>
    <row r="34" spans="19:34" x14ac:dyDescent="0.35">
      <c r="S34" s="53">
        <f t="shared" si="14"/>
        <v>1.5</v>
      </c>
      <c r="T34" s="22">
        <f t="shared" ref="T34:T48" si="24">(VO*ILOAD+AD33+AE33+AF33+AG33+AH33)/VIN</f>
        <v>48.912211728796422</v>
      </c>
      <c r="U34" s="14">
        <f t="shared" si="15"/>
        <v>-3.2280529321991054</v>
      </c>
      <c r="V34" s="3">
        <f t="shared" si="16"/>
        <v>11.765000000000001</v>
      </c>
      <c r="W34" s="3">
        <f t="shared" si="17"/>
        <v>5.4595554556407446</v>
      </c>
      <c r="X34" s="3">
        <f t="shared" si="18"/>
        <v>-2.0026970451232646</v>
      </c>
      <c r="Y34" s="3">
        <f t="shared" ref="Y34:Y48" si="25">X34*(W34+Z34)/2</f>
        <v>-3.966917789349159</v>
      </c>
      <c r="Z34" s="3">
        <f t="shared" si="19"/>
        <v>-1.4979799402536953</v>
      </c>
      <c r="AA34" s="3">
        <f t="shared" ref="AA34:AA48" si="26">1-W34-Z34</f>
        <v>-2.9615755153870493</v>
      </c>
      <c r="AB34" s="3">
        <f t="shared" ref="AB34:AB48" si="27">IF(Y34-X34/2&gt;0, Y34-X34/2,0)</f>
        <v>0</v>
      </c>
      <c r="AC34" s="3">
        <f t="shared" ref="AC34:AC48" si="28">(Y34^2+X34^2/12)^0.5</f>
        <v>4.0088239799223251</v>
      </c>
      <c r="AD34" s="13">
        <f t="shared" si="20"/>
        <v>0</v>
      </c>
      <c r="AE34" s="3">
        <f t="shared" si="21"/>
        <v>13.160806867103398</v>
      </c>
      <c r="AF34" s="3">
        <f t="shared" si="22"/>
        <v>-9.3677042001961919E-2</v>
      </c>
      <c r="AG34" s="3">
        <f t="shared" si="23"/>
        <v>1.6070669702000271</v>
      </c>
      <c r="AH34" s="3">
        <f t="shared" ref="AH34:AH47" si="29">AC34*AC34*$F$4*Z34</f>
        <v>-3.2017809317252182</v>
      </c>
    </row>
    <row r="35" spans="19:34" x14ac:dyDescent="0.35">
      <c r="S35" s="53">
        <f t="shared" si="14"/>
        <v>1.5</v>
      </c>
      <c r="T35" s="22">
        <f t="shared" si="24"/>
        <v>3.0247128737306941</v>
      </c>
      <c r="U35" s="14">
        <f t="shared" si="15"/>
        <v>8.2438217815673269</v>
      </c>
      <c r="V35" s="3">
        <f t="shared" si="16"/>
        <v>11.765000000000001</v>
      </c>
      <c r="W35" s="3">
        <f t="shared" si="17"/>
        <v>2.1378111346960829</v>
      </c>
      <c r="X35" s="3">
        <f t="shared" si="18"/>
        <v>2.0026970451232646</v>
      </c>
      <c r="Y35" s="3">
        <f t="shared" si="25"/>
        <v>3.6406940212437293</v>
      </c>
      <c r="Z35" s="3">
        <f t="shared" si="19"/>
        <v>1.4979799402536953</v>
      </c>
      <c r="AA35" s="3">
        <f t="shared" si="26"/>
        <v>-2.6357910749497782</v>
      </c>
      <c r="AB35" s="3">
        <f t="shared" si="27"/>
        <v>2.639345498682097</v>
      </c>
      <c r="AC35" s="3">
        <f t="shared" si="28"/>
        <v>3.6863106096563931</v>
      </c>
      <c r="AD35" s="13">
        <f t="shared" si="20"/>
        <v>427.36282314660514</v>
      </c>
      <c r="AE35" s="3">
        <f t="shared" si="21"/>
        <v>4.3575707412543805</v>
      </c>
      <c r="AF35" s="3">
        <f t="shared" si="22"/>
        <v>2.1277939252436133</v>
      </c>
      <c r="AG35" s="3">
        <f t="shared" si="23"/>
        <v>1.3588885910865289</v>
      </c>
      <c r="AH35" s="3">
        <f t="shared" si="29"/>
        <v>2.7073318411480116</v>
      </c>
    </row>
    <row r="36" spans="19:34" x14ac:dyDescent="0.35">
      <c r="S36" s="53">
        <f t="shared" si="14"/>
        <v>1.5</v>
      </c>
      <c r="T36" s="22">
        <f t="shared" si="24"/>
        <v>50.407156471704191</v>
      </c>
      <c r="U36" s="14">
        <f t="shared" si="15"/>
        <v>-3.6017891179260477</v>
      </c>
      <c r="V36" s="3">
        <f t="shared" si="16"/>
        <v>11.765000000000001</v>
      </c>
      <c r="W36" s="3">
        <f t="shared" si="17"/>
        <v>4.8930499315941853</v>
      </c>
      <c r="X36" s="3">
        <f t="shared" si="18"/>
        <v>-2.0026970451232646</v>
      </c>
      <c r="Y36" s="3">
        <f t="shared" si="25"/>
        <v>-3.3996483198221337</v>
      </c>
      <c r="Z36" s="3">
        <f t="shared" si="19"/>
        <v>-1.4979799402536953</v>
      </c>
      <c r="AA36" s="3">
        <f t="shared" si="26"/>
        <v>-2.39506999134049</v>
      </c>
      <c r="AB36" s="3">
        <f t="shared" si="27"/>
        <v>0</v>
      </c>
      <c r="AC36" s="3">
        <f t="shared" si="28"/>
        <v>3.4484549660702997</v>
      </c>
      <c r="AD36" s="13">
        <f t="shared" si="20"/>
        <v>0</v>
      </c>
      <c r="AE36" s="3">
        <f t="shared" si="21"/>
        <v>8.7281062480220228</v>
      </c>
      <c r="AF36" s="3">
        <f t="shared" si="22"/>
        <v>0.21931298755551576</v>
      </c>
      <c r="AG36" s="3">
        <f t="shared" si="23"/>
        <v>1.1891841653014912</v>
      </c>
      <c r="AH36" s="3">
        <f t="shared" si="29"/>
        <v>-2.3692274531023281</v>
      </c>
    </row>
    <row r="37" spans="19:34" x14ac:dyDescent="0.35">
      <c r="S37" s="53">
        <f t="shared" si="14"/>
        <v>1.5</v>
      </c>
      <c r="T37" s="22">
        <f t="shared" si="24"/>
        <v>2.6130417719751886</v>
      </c>
      <c r="U37" s="14">
        <f t="shared" si="15"/>
        <v>8.3467395570062024</v>
      </c>
      <c r="V37" s="3">
        <f t="shared" si="16"/>
        <v>11.765000000000001</v>
      </c>
      <c r="W37" s="3">
        <f t="shared" si="17"/>
        <v>2.1114512890595076</v>
      </c>
      <c r="X37" s="3">
        <f t="shared" si="18"/>
        <v>2.0026970451232646</v>
      </c>
      <c r="Y37" s="3">
        <f t="shared" si="25"/>
        <v>3.6142986287605918</v>
      </c>
      <c r="Z37" s="3">
        <f t="shared" si="19"/>
        <v>1.4979799402536953</v>
      </c>
      <c r="AA37" s="3">
        <f t="shared" si="26"/>
        <v>-2.6094312293132029</v>
      </c>
      <c r="AB37" s="3">
        <f t="shared" si="27"/>
        <v>2.6129501061989595</v>
      </c>
      <c r="AC37" s="3">
        <f t="shared" si="28"/>
        <v>3.6602441902701175</v>
      </c>
      <c r="AD37" s="13">
        <f t="shared" si="20"/>
        <v>423.0888811957355</v>
      </c>
      <c r="AE37" s="3">
        <f t="shared" si="21"/>
        <v>4.24318967629931</v>
      </c>
      <c r="AF37" s="3">
        <f t="shared" si="22"/>
        <v>2.1134508887674679</v>
      </c>
      <c r="AG37" s="3">
        <f t="shared" si="23"/>
        <v>1.3397387532406149</v>
      </c>
      <c r="AH37" s="3">
        <f t="shared" si="29"/>
        <v>2.6691793641214656</v>
      </c>
    </row>
    <row r="38" spans="19:34" x14ac:dyDescent="0.35">
      <c r="S38" s="53">
        <f t="shared" si="14"/>
        <v>1.5</v>
      </c>
      <c r="T38" s="22">
        <f t="shared" si="24"/>
        <v>49.911604430907154</v>
      </c>
      <c r="U38" s="14">
        <f t="shared" si="15"/>
        <v>-3.4779011077267885</v>
      </c>
      <c r="V38" s="3">
        <f t="shared" si="16"/>
        <v>11.765000000000001</v>
      </c>
      <c r="W38" s="3">
        <f t="shared" si="17"/>
        <v>5.0673476476747439</v>
      </c>
      <c r="X38" s="3">
        <f t="shared" si="18"/>
        <v>-2.0026970451232646</v>
      </c>
      <c r="Y38" s="3">
        <f t="shared" si="25"/>
        <v>-3.5741810803052676</v>
      </c>
      <c r="Z38" s="3">
        <f t="shared" si="19"/>
        <v>-1.4979799402536953</v>
      </c>
      <c r="AA38" s="3">
        <f t="shared" si="26"/>
        <v>-2.5693677074210486</v>
      </c>
      <c r="AB38" s="3">
        <f t="shared" si="27"/>
        <v>0</v>
      </c>
      <c r="AC38" s="3">
        <f t="shared" si="28"/>
        <v>3.6206357659059805</v>
      </c>
      <c r="AD38" s="13">
        <f t="shared" si="20"/>
        <v>0</v>
      </c>
      <c r="AE38" s="3">
        <f t="shared" si="21"/>
        <v>9.9641815928591253</v>
      </c>
      <c r="AF38" s="3">
        <f t="shared" si="22"/>
        <v>0.12814879729719142</v>
      </c>
      <c r="AG38" s="3">
        <f t="shared" si="23"/>
        <v>1.3109003349357586</v>
      </c>
      <c r="AH38" s="3">
        <f t="shared" si="29"/>
        <v>-2.6117241991894704</v>
      </c>
    </row>
    <row r="39" spans="19:34" x14ac:dyDescent="0.35">
      <c r="S39" s="53">
        <f t="shared" si="14"/>
        <v>1.5</v>
      </c>
      <c r="T39" s="22">
        <f t="shared" si="24"/>
        <v>2.726834058433623</v>
      </c>
      <c r="U39" s="14">
        <f t="shared" si="15"/>
        <v>8.3182914853915939</v>
      </c>
      <c r="V39" s="3">
        <f t="shared" si="16"/>
        <v>11.765000000000001</v>
      </c>
      <c r="W39" s="3">
        <f t="shared" si="17"/>
        <v>2.1186723292920373</v>
      </c>
      <c r="X39" s="3">
        <f t="shared" si="18"/>
        <v>2.0026970451232646</v>
      </c>
      <c r="Y39" s="3">
        <f t="shared" si="25"/>
        <v>3.6215294067287935</v>
      </c>
      <c r="Z39" s="3">
        <f t="shared" si="19"/>
        <v>1.4979799402536953</v>
      </c>
      <c r="AA39" s="3">
        <f t="shared" si="26"/>
        <v>-2.6166522695457326</v>
      </c>
      <c r="AB39" s="3">
        <f t="shared" si="27"/>
        <v>2.6201808841671612</v>
      </c>
      <c r="AC39" s="3">
        <f t="shared" si="28"/>
        <v>3.6673843810469147</v>
      </c>
      <c r="AD39" s="13">
        <f t="shared" si="20"/>
        <v>424.25968876434672</v>
      </c>
      <c r="AE39" s="3">
        <f t="shared" si="21"/>
        <v>4.2743286895334629</v>
      </c>
      <c r="AF39" s="3">
        <f t="shared" si="22"/>
        <v>2.1173696541694635</v>
      </c>
      <c r="AG39" s="3">
        <f t="shared" si="23"/>
        <v>1.3449708198346864</v>
      </c>
      <c r="AH39" s="3">
        <f t="shared" si="29"/>
        <v>2.6796032800907725</v>
      </c>
    </row>
    <row r="40" spans="19:34" x14ac:dyDescent="0.35">
      <c r="S40" s="53">
        <f t="shared" si="14"/>
        <v>1.5</v>
      </c>
      <c r="T40" s="22">
        <f t="shared" si="24"/>
        <v>50.047329023108347</v>
      </c>
      <c r="U40" s="14">
        <f t="shared" si="15"/>
        <v>-3.5118322557770867</v>
      </c>
      <c r="V40" s="3">
        <f t="shared" si="16"/>
        <v>11.765000000000001</v>
      </c>
      <c r="W40" s="3">
        <f t="shared" si="17"/>
        <v>5.0183871875124648</v>
      </c>
      <c r="X40" s="3">
        <f t="shared" si="18"/>
        <v>-2.0026970451232646</v>
      </c>
      <c r="Y40" s="3">
        <f t="shared" si="25"/>
        <v>-3.5251545958578321</v>
      </c>
      <c r="Z40" s="3">
        <f t="shared" si="19"/>
        <v>-1.4979799402536953</v>
      </c>
      <c r="AA40" s="3">
        <f t="shared" si="26"/>
        <v>-2.5204072472587695</v>
      </c>
      <c r="AB40" s="3">
        <f t="shared" si="27"/>
        <v>0</v>
      </c>
      <c r="AC40" s="3">
        <f t="shared" si="28"/>
        <v>3.5722468950568143</v>
      </c>
      <c r="AD40" s="13">
        <f t="shared" si="20"/>
        <v>0</v>
      </c>
      <c r="AE40" s="3">
        <f t="shared" si="21"/>
        <v>9.6059066006561515</v>
      </c>
      <c r="AF40" s="3">
        <f t="shared" si="22"/>
        <v>0.1542178029135487</v>
      </c>
      <c r="AG40" s="3">
        <f t="shared" si="23"/>
        <v>1.276094787924305</v>
      </c>
      <c r="AH40" s="3">
        <f t="shared" si="29"/>
        <v>-2.5423806442499601</v>
      </c>
    </row>
    <row r="41" spans="19:34" x14ac:dyDescent="0.35">
      <c r="S41" s="53">
        <f t="shared" si="14"/>
        <v>1.5</v>
      </c>
      <c r="T41" s="22">
        <f t="shared" si="24"/>
        <v>2.6937598385826718</v>
      </c>
      <c r="U41" s="14">
        <f t="shared" si="15"/>
        <v>8.3265600403543321</v>
      </c>
      <c r="V41" s="3">
        <f t="shared" si="16"/>
        <v>11.765000000000001</v>
      </c>
      <c r="W41" s="3">
        <f t="shared" si="17"/>
        <v>2.1165684162093377</v>
      </c>
      <c r="X41" s="3">
        <f t="shared" si="18"/>
        <v>2.0026970451232646</v>
      </c>
      <c r="Y41" s="3">
        <f t="shared" si="25"/>
        <v>3.6194226564718344</v>
      </c>
      <c r="Z41" s="3">
        <f t="shared" si="19"/>
        <v>1.4979799402536953</v>
      </c>
      <c r="AA41" s="3">
        <f t="shared" si="26"/>
        <v>-2.614548356463033</v>
      </c>
      <c r="AB41" s="3">
        <f t="shared" si="27"/>
        <v>2.6180741339102021</v>
      </c>
      <c r="AC41" s="3">
        <f t="shared" si="28"/>
        <v>3.6653039874923179</v>
      </c>
      <c r="AD41" s="13">
        <f t="shared" si="20"/>
        <v>423.91856376273995</v>
      </c>
      <c r="AE41" s="3">
        <f t="shared" si="21"/>
        <v>4.2652409381534406</v>
      </c>
      <c r="AF41" s="3">
        <f t="shared" si="22"/>
        <v>2.1162270791361908</v>
      </c>
      <c r="AG41" s="3">
        <f t="shared" si="23"/>
        <v>1.3434453320727087</v>
      </c>
      <c r="AH41" s="3">
        <f t="shared" si="29"/>
        <v>2.6765640305022678</v>
      </c>
    </row>
    <row r="42" spans="19:34" x14ac:dyDescent="0.35">
      <c r="S42" s="53">
        <f t="shared" si="14"/>
        <v>1.5</v>
      </c>
      <c r="T42" s="22">
        <f t="shared" si="24"/>
        <v>50.007782349178285</v>
      </c>
      <c r="U42" s="14">
        <f t="shared" si="15"/>
        <v>-3.5019455872945713</v>
      </c>
      <c r="V42" s="3">
        <f t="shared" si="16"/>
        <v>11.765000000000001</v>
      </c>
      <c r="W42" s="3">
        <f t="shared" si="17"/>
        <v>5.0325550633983287</v>
      </c>
      <c r="X42" s="3">
        <f t="shared" si="18"/>
        <v>-2.0026970451232646</v>
      </c>
      <c r="Y42" s="3">
        <f t="shared" si="25"/>
        <v>-3.5393415774439783</v>
      </c>
      <c r="Z42" s="3">
        <f t="shared" si="19"/>
        <v>-1.4979799402536953</v>
      </c>
      <c r="AA42" s="3">
        <f t="shared" si="26"/>
        <v>-2.5345751231446334</v>
      </c>
      <c r="AB42" s="3">
        <f t="shared" si="27"/>
        <v>0</v>
      </c>
      <c r="AC42" s="3">
        <f t="shared" si="28"/>
        <v>3.5862475871541668</v>
      </c>
      <c r="AD42" s="13">
        <f t="shared" si="20"/>
        <v>0</v>
      </c>
      <c r="AE42" s="3">
        <f t="shared" si="21"/>
        <v>9.7086832565626207</v>
      </c>
      <c r="AF42" s="3">
        <f t="shared" si="22"/>
        <v>0.14671113504008604</v>
      </c>
      <c r="AG42" s="3">
        <f t="shared" si="23"/>
        <v>1.2861171756369085</v>
      </c>
      <c r="AH42" s="3">
        <f t="shared" si="29"/>
        <v>-2.5623483807933702</v>
      </c>
    </row>
    <row r="43" spans="19:34" x14ac:dyDescent="0.35">
      <c r="S43" s="53">
        <f t="shared" si="14"/>
        <v>1.5</v>
      </c>
      <c r="T43" s="22">
        <f t="shared" si="24"/>
        <v>2.7032403540495831</v>
      </c>
      <c r="U43" s="14">
        <f t="shared" si="15"/>
        <v>8.3241899114876041</v>
      </c>
      <c r="V43" s="3">
        <f t="shared" si="16"/>
        <v>11.765000000000001</v>
      </c>
      <c r="W43" s="3">
        <f t="shared" si="17"/>
        <v>2.1171710622271491</v>
      </c>
      <c r="X43" s="3">
        <f t="shared" si="18"/>
        <v>2.0026970451232646</v>
      </c>
      <c r="Y43" s="3">
        <f t="shared" si="25"/>
        <v>3.6200261151713975</v>
      </c>
      <c r="Z43" s="3">
        <f t="shared" si="19"/>
        <v>1.4979799402536953</v>
      </c>
      <c r="AA43" s="3">
        <f t="shared" si="26"/>
        <v>-2.6151510024808444</v>
      </c>
      <c r="AB43" s="3">
        <f t="shared" si="27"/>
        <v>2.6186775926097652</v>
      </c>
      <c r="AC43" s="3">
        <f t="shared" si="28"/>
        <v>3.6658998934870515</v>
      </c>
      <c r="AD43" s="13">
        <f t="shared" si="20"/>
        <v>424.01627579537319</v>
      </c>
      <c r="AE43" s="3">
        <f t="shared" si="21"/>
        <v>4.2678427665546455</v>
      </c>
      <c r="AF43" s="3">
        <f t="shared" si="22"/>
        <v>2.1165542910091943</v>
      </c>
      <c r="AG43" s="3">
        <f t="shared" si="23"/>
        <v>1.3438822029068378</v>
      </c>
      <c r="AH43" s="3">
        <f t="shared" si="29"/>
        <v>2.6774344140844573</v>
      </c>
    </row>
    <row r="44" spans="19:34" x14ac:dyDescent="0.35">
      <c r="S44" s="53">
        <f t="shared" si="14"/>
        <v>1.5</v>
      </c>
      <c r="T44" s="22">
        <f t="shared" si="24"/>
        <v>50.019109941103153</v>
      </c>
      <c r="U44" s="14">
        <f t="shared" si="15"/>
        <v>-3.5047774852757883</v>
      </c>
      <c r="V44" s="3">
        <f t="shared" si="16"/>
        <v>11.765000000000001</v>
      </c>
      <c r="W44" s="3">
        <f t="shared" si="17"/>
        <v>5.0284887046682023</v>
      </c>
      <c r="X44" s="3">
        <f t="shared" si="18"/>
        <v>-2.0026970451232646</v>
      </c>
      <c r="Y44" s="3">
        <f t="shared" si="25"/>
        <v>-3.5352697351373608</v>
      </c>
      <c r="Z44" s="3">
        <f t="shared" si="19"/>
        <v>-1.4979799402536953</v>
      </c>
      <c r="AA44" s="3">
        <f t="shared" si="26"/>
        <v>-2.530508764414507</v>
      </c>
      <c r="AB44" s="3">
        <f t="shared" si="27"/>
        <v>0</v>
      </c>
      <c r="AC44" s="3">
        <f t="shared" si="28"/>
        <v>3.582229062291193</v>
      </c>
      <c r="AD44" s="13">
        <f t="shared" si="20"/>
        <v>0</v>
      </c>
      <c r="AE44" s="3">
        <f t="shared" si="21"/>
        <v>9.6791104097785166</v>
      </c>
      <c r="AF44" s="3">
        <f t="shared" si="22"/>
        <v>0.14886872810057361</v>
      </c>
      <c r="AG44" s="3">
        <f t="shared" si="23"/>
        <v>1.283236505472364</v>
      </c>
      <c r="AH44" s="3">
        <f t="shared" si="29"/>
        <v>-2.556609183252474</v>
      </c>
    </row>
    <row r="45" spans="19:34" x14ac:dyDescent="0.35">
      <c r="S45" s="53">
        <f t="shared" si="14"/>
        <v>1.5</v>
      </c>
      <c r="T45" s="22">
        <f t="shared" si="24"/>
        <v>2.7005118288998866</v>
      </c>
      <c r="U45" s="14">
        <f t="shared" si="15"/>
        <v>8.3248720427750289</v>
      </c>
      <c r="V45" s="3">
        <f t="shared" si="16"/>
        <v>11.765000000000001</v>
      </c>
      <c r="W45" s="3">
        <f t="shared" si="17"/>
        <v>2.116997583449943</v>
      </c>
      <c r="X45" s="3">
        <f t="shared" si="18"/>
        <v>2.0026970451232646</v>
      </c>
      <c r="Y45" s="3">
        <f t="shared" si="25"/>
        <v>3.6198524024541463</v>
      </c>
      <c r="Z45" s="3">
        <f t="shared" si="19"/>
        <v>1.4979799402536953</v>
      </c>
      <c r="AA45" s="3">
        <f t="shared" si="26"/>
        <v>-2.6149775237036383</v>
      </c>
      <c r="AB45" s="3">
        <f t="shared" si="27"/>
        <v>2.618503879892514</v>
      </c>
      <c r="AC45" s="3">
        <f t="shared" si="28"/>
        <v>3.6657283546518431</v>
      </c>
      <c r="AD45" s="13">
        <f t="shared" si="20"/>
        <v>423.98814823219584</v>
      </c>
      <c r="AE45" s="3">
        <f t="shared" si="21"/>
        <v>4.2670936948427398</v>
      </c>
      <c r="AF45" s="3">
        <f t="shared" si="22"/>
        <v>2.1164600936137674</v>
      </c>
      <c r="AG45" s="3">
        <f t="shared" si="23"/>
        <v>1.3437564370098509</v>
      </c>
      <c r="AH45" s="3">
        <f t="shared" si="29"/>
        <v>2.6771838490126214</v>
      </c>
    </row>
    <row r="46" spans="19:34" x14ac:dyDescent="0.35">
      <c r="S46" s="53">
        <f t="shared" si="14"/>
        <v>1.5</v>
      </c>
      <c r="T46" s="22">
        <f t="shared" si="24"/>
        <v>50.015849145186095</v>
      </c>
      <c r="U46" s="14">
        <f t="shared" si="15"/>
        <v>-3.5039622862965238</v>
      </c>
      <c r="V46" s="3">
        <f t="shared" si="16"/>
        <v>11.765000000000001</v>
      </c>
      <c r="W46" s="3">
        <f t="shared" si="17"/>
        <v>5.0296585856555973</v>
      </c>
      <c r="X46" s="3">
        <f t="shared" si="18"/>
        <v>-2.0026970451232646</v>
      </c>
      <c r="Y46" s="3">
        <f t="shared" si="25"/>
        <v>-3.5364411937356617</v>
      </c>
      <c r="Z46" s="3">
        <f t="shared" si="19"/>
        <v>-1.4979799402536953</v>
      </c>
      <c r="AA46" s="3">
        <f t="shared" si="26"/>
        <v>-2.531678645401902</v>
      </c>
      <c r="AB46" s="3">
        <f t="shared" si="27"/>
        <v>0</v>
      </c>
      <c r="AC46" s="3">
        <f t="shared" si="28"/>
        <v>3.5833851692632717</v>
      </c>
      <c r="AD46" s="13">
        <f t="shared" si="20"/>
        <v>0</v>
      </c>
      <c r="AE46" s="3">
        <f t="shared" si="21"/>
        <v>9.6876122779149068</v>
      </c>
      <c r="AF46" s="3">
        <f t="shared" si="22"/>
        <v>0.14824824858827046</v>
      </c>
      <c r="AG46" s="3">
        <f t="shared" si="23"/>
        <v>1.2840649271295967</v>
      </c>
      <c r="AH46" s="3">
        <f t="shared" si="29"/>
        <v>-2.5582596587552002</v>
      </c>
    </row>
    <row r="47" spans="19:34" x14ac:dyDescent="0.35">
      <c r="S47" s="53">
        <f t="shared" si="14"/>
        <v>1.5</v>
      </c>
      <c r="T47" s="22">
        <f t="shared" si="24"/>
        <v>2.7012961994308413</v>
      </c>
      <c r="U47" s="14">
        <f t="shared" si="15"/>
        <v>8.3246759501422893</v>
      </c>
      <c r="V47" s="3">
        <f t="shared" si="16"/>
        <v>11.765000000000001</v>
      </c>
      <c r="W47" s="3">
        <f t="shared" si="17"/>
        <v>2.117047450571754</v>
      </c>
      <c r="X47" s="3">
        <f t="shared" si="18"/>
        <v>2.0026970451232646</v>
      </c>
      <c r="Y47" s="3">
        <f t="shared" si="25"/>
        <v>3.6199023368228964</v>
      </c>
      <c r="Z47" s="3">
        <f t="shared" si="19"/>
        <v>1.4979799402536953</v>
      </c>
      <c r="AA47" s="3">
        <f t="shared" si="26"/>
        <v>-2.6150273908254493</v>
      </c>
      <c r="AB47" s="3">
        <f t="shared" si="27"/>
        <v>2.6185538142612641</v>
      </c>
      <c r="AC47" s="3">
        <f t="shared" si="28"/>
        <v>3.6657776641091204</v>
      </c>
      <c r="AD47" s="13">
        <f t="shared" si="20"/>
        <v>423.99623360518393</v>
      </c>
      <c r="AE47" s="3">
        <f t="shared" si="21"/>
        <v>4.2673090096354009</v>
      </c>
      <c r="AF47" s="3">
        <f t="shared" si="22"/>
        <v>2.1164871705436274</v>
      </c>
      <c r="AG47" s="3">
        <f t="shared" si="23"/>
        <v>1.3437925882681321</v>
      </c>
      <c r="AH47" s="3">
        <f t="shared" si="29"/>
        <v>2.6772558736460494</v>
      </c>
    </row>
    <row r="48" spans="19:34" x14ac:dyDescent="0.35">
      <c r="S48" s="53">
        <f t="shared" si="14"/>
        <v>1.5</v>
      </c>
      <c r="T48" s="22">
        <f t="shared" si="24"/>
        <v>50.016786471919687</v>
      </c>
      <c r="U48" s="14">
        <f t="shared" si="15"/>
        <v>-3.5041966179799218</v>
      </c>
      <c r="V48" s="3">
        <f t="shared" si="16"/>
        <v>11.765000000000001</v>
      </c>
      <c r="W48" s="3">
        <f t="shared" si="17"/>
        <v>5.029322243694291</v>
      </c>
      <c r="X48" s="3">
        <f t="shared" si="18"/>
        <v>-2.0026970451232646</v>
      </c>
      <c r="Y48" s="3">
        <f t="shared" si="25"/>
        <v>-3.5361043982096318</v>
      </c>
      <c r="Z48" s="3">
        <f t="shared" si="19"/>
        <v>-1.4979799402536953</v>
      </c>
      <c r="AA48" s="3">
        <f t="shared" si="26"/>
        <v>-2.5313423034405957</v>
      </c>
      <c r="AB48" s="3">
        <f t="shared" si="27"/>
        <v>0</v>
      </c>
      <c r="AC48" s="3">
        <f t="shared" si="28"/>
        <v>3.5830527863238295</v>
      </c>
      <c r="AD48" s="13">
        <f t="shared" si="20"/>
        <v>0</v>
      </c>
      <c r="AE48" s="3">
        <f t="shared" si="21"/>
        <v>9.6851674724108925</v>
      </c>
      <c r="AF48" s="3">
        <f t="shared" si="22"/>
        <v>0.14842665812745726</v>
      </c>
      <c r="AG48" s="3">
        <f t="shared" si="23"/>
        <v>1.2838267269582959</v>
      </c>
      <c r="AH48" s="3">
        <f>AC48*AC48*$F$4*Z48</f>
        <v>-2.5577850893809635</v>
      </c>
    </row>
  </sheetData>
  <sheetProtection selectLockedCells="1"/>
  <mergeCells count="1">
    <mergeCell ref="B11:E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241E-92D5-4936-ACF3-A4C2388F6DFE}">
  <sheetPr codeName="Sheet4"/>
  <dimension ref="P2:Z5"/>
  <sheetViews>
    <sheetView zoomScaleNormal="100" workbookViewId="0">
      <selection activeCell="AA5" sqref="AA5"/>
    </sheetView>
  </sheetViews>
  <sheetFormatPr defaultRowHeight="14.5" x14ac:dyDescent="0.35"/>
  <cols>
    <col min="16" max="16" width="12.1796875" bestFit="1" customWidth="1"/>
  </cols>
  <sheetData>
    <row r="2" spans="16:26" x14ac:dyDescent="0.35">
      <c r="Z2" t="s">
        <v>151</v>
      </c>
    </row>
    <row r="3" spans="16:26" x14ac:dyDescent="0.35">
      <c r="P3" t="s">
        <v>149</v>
      </c>
      <c r="Q3">
        <v>80</v>
      </c>
      <c r="R3">
        <v>90</v>
      </c>
      <c r="S3">
        <v>100</v>
      </c>
      <c r="T3">
        <v>110</v>
      </c>
      <c r="U3">
        <v>120</v>
      </c>
      <c r="V3">
        <v>130</v>
      </c>
      <c r="W3">
        <v>140</v>
      </c>
      <c r="X3">
        <v>150</v>
      </c>
      <c r="Z3">
        <f>'Main Table'!D35</f>
        <v>120</v>
      </c>
    </row>
    <row r="4" spans="16:26" x14ac:dyDescent="0.35">
      <c r="P4" t="s">
        <v>150</v>
      </c>
      <c r="Q4">
        <v>200</v>
      </c>
      <c r="R4">
        <v>100</v>
      </c>
      <c r="S4">
        <v>60</v>
      </c>
      <c r="T4">
        <v>40</v>
      </c>
      <c r="U4">
        <v>28</v>
      </c>
      <c r="V4">
        <v>20</v>
      </c>
      <c r="W4">
        <v>15</v>
      </c>
      <c r="X4">
        <v>10</v>
      </c>
    </row>
    <row r="5" spans="16:26" x14ac:dyDescent="0.35">
      <c r="Q5">
        <f>0.00003286*Q3^4-0.0166029*Q3^3+3.13838068*Q3^2-263.88083514*Q3+8378.7635</f>
        <v>199.19384080000054</v>
      </c>
      <c r="R5">
        <f t="shared" ref="R5:Z5" si="0">0.00003286*R3^4-0.0166029*R3^3+3.13838068*R3^2-263.88083514*R3+8378.7635</f>
        <v>102.80234539999765</v>
      </c>
      <c r="S5">
        <f t="shared" si="0"/>
        <v>57.586786000001666</v>
      </c>
      <c r="T5">
        <f t="shared" si="0"/>
        <v>38.850562599998739</v>
      </c>
      <c r="U5">
        <f t="shared" si="0"/>
        <v>29.783475200003522</v>
      </c>
      <c r="V5">
        <f t="shared" si="0"/>
        <v>21.461723799997344</v>
      </c>
      <c r="W5">
        <f t="shared" si="0"/>
        <v>12.847908399997323</v>
      </c>
      <c r="X5">
        <f t="shared" si="0"/>
        <v>10.791029000005437</v>
      </c>
      <c r="Z5">
        <f t="shared" si="0"/>
        <v>29.783475200003522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4CB04-1772-4058-92C8-757E1A9B9C79}">
  <sheetPr codeName="Sheet5"/>
  <dimension ref="B19:F30"/>
  <sheetViews>
    <sheetView zoomScaleNormal="100" workbookViewId="0">
      <selection activeCell="F22" sqref="F22"/>
    </sheetView>
  </sheetViews>
  <sheetFormatPr defaultRowHeight="14.5" x14ac:dyDescent="0.35"/>
  <sheetData>
    <row r="19" spans="2:6" x14ac:dyDescent="0.35">
      <c r="B19" t="s">
        <v>153</v>
      </c>
      <c r="C19" t="s">
        <v>154</v>
      </c>
      <c r="E19" t="s">
        <v>151</v>
      </c>
    </row>
    <row r="20" spans="2:6" x14ac:dyDescent="0.35">
      <c r="B20">
        <v>0.1</v>
      </c>
      <c r="C20">
        <v>160</v>
      </c>
      <c r="E20">
        <f>'Main Table'!D18</f>
        <v>0.4</v>
      </c>
      <c r="F20">
        <f>VLOOKUP(E20,B20:C30,2,0)</f>
        <v>52</v>
      </c>
    </row>
    <row r="21" spans="2:6" x14ac:dyDescent="0.35">
      <c r="B21">
        <v>0.2</v>
      </c>
      <c r="C21">
        <v>95</v>
      </c>
    </row>
    <row r="22" spans="2:6" x14ac:dyDescent="0.35">
      <c r="B22">
        <v>0.3</v>
      </c>
      <c r="C22">
        <v>67</v>
      </c>
    </row>
    <row r="23" spans="2:6" x14ac:dyDescent="0.35">
      <c r="B23">
        <v>0.4</v>
      </c>
      <c r="C23">
        <v>52</v>
      </c>
    </row>
    <row r="24" spans="2:6" x14ac:dyDescent="0.35">
      <c r="B24">
        <v>0.6</v>
      </c>
      <c r="C24">
        <v>35</v>
      </c>
    </row>
    <row r="25" spans="2:6" x14ac:dyDescent="0.35">
      <c r="B25">
        <v>0.8</v>
      </c>
      <c r="C25">
        <v>27</v>
      </c>
    </row>
    <row r="26" spans="2:6" x14ac:dyDescent="0.35">
      <c r="B26">
        <v>1</v>
      </c>
      <c r="C26">
        <v>21</v>
      </c>
    </row>
    <row r="27" spans="2:6" x14ac:dyDescent="0.35">
      <c r="B27">
        <v>1.2</v>
      </c>
      <c r="C27">
        <v>18</v>
      </c>
    </row>
    <row r="28" spans="2:6" x14ac:dyDescent="0.35">
      <c r="B28">
        <v>1.5</v>
      </c>
      <c r="C28">
        <v>14</v>
      </c>
    </row>
    <row r="29" spans="2:6" x14ac:dyDescent="0.35">
      <c r="B29">
        <v>1.8</v>
      </c>
      <c r="C29">
        <v>11</v>
      </c>
    </row>
    <row r="30" spans="2:6" x14ac:dyDescent="0.35">
      <c r="B30">
        <v>2.2000000000000002</v>
      </c>
      <c r="C30">
        <v>9.1999999999999993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58</vt:i4>
      </vt:variant>
    </vt:vector>
  </HeadingPairs>
  <TitlesOfParts>
    <vt:vector size="64" baseType="lpstr">
      <vt:lpstr>Main Table</vt:lpstr>
      <vt:lpstr>Sheet1</vt:lpstr>
      <vt:lpstr>Boost</vt:lpstr>
      <vt:lpstr>BuckBoost</vt:lpstr>
      <vt:lpstr>thermal foldback</vt:lpstr>
      <vt:lpstr>frequency setting</vt:lpstr>
      <vt:lpstr>BuckBoost!Cdiode</vt:lpstr>
      <vt:lpstr>Boost!CM</vt:lpstr>
      <vt:lpstr>BuckBoost!CM</vt:lpstr>
      <vt:lpstr>Boost!D</vt:lpstr>
      <vt:lpstr>BuckBoost!D</vt:lpstr>
      <vt:lpstr>Boost!D1_</vt:lpstr>
      <vt:lpstr>BuckBoost!D1_</vt:lpstr>
      <vt:lpstr>Boost!D1_DCM</vt:lpstr>
      <vt:lpstr>Boost!D2_</vt:lpstr>
      <vt:lpstr>BuckBoost!D2_</vt:lpstr>
      <vt:lpstr>Boost!Dbar</vt:lpstr>
      <vt:lpstr>BuckBoost!Dbar</vt:lpstr>
      <vt:lpstr>Boost!FS</vt:lpstr>
      <vt:lpstr>BuckBoost!FS</vt:lpstr>
      <vt:lpstr>Boost!IL</vt:lpstr>
      <vt:lpstr>BuckBoost!IL</vt:lpstr>
      <vt:lpstr>Boost!ILD</vt:lpstr>
      <vt:lpstr>BuckBoost!ILD</vt:lpstr>
      <vt:lpstr>Boost!ILOAD</vt:lpstr>
      <vt:lpstr>BuckBoost!ILOAD</vt:lpstr>
      <vt:lpstr>Iout</vt:lpstr>
      <vt:lpstr>Iout_Full_Scale_total</vt:lpstr>
      <vt:lpstr>IoutFS_string</vt:lpstr>
      <vt:lpstr>Boost!Ipeak</vt:lpstr>
      <vt:lpstr>BuckBoost!Ipeak</vt:lpstr>
      <vt:lpstr>Boost!Ipeak_ccm</vt:lpstr>
      <vt:lpstr>BuckBoost!Ipeak_ccm</vt:lpstr>
      <vt:lpstr>Boost!Ipeak_dcm</vt:lpstr>
      <vt:lpstr>Boost!Ipp</vt:lpstr>
      <vt:lpstr>BuckBoost!Ipp</vt:lpstr>
      <vt:lpstr>Boost!Ivalley</vt:lpstr>
      <vt:lpstr>BuckBoost!Ivalley</vt:lpstr>
      <vt:lpstr>Boost!L</vt:lpstr>
      <vt:lpstr>BuckBoost!L</vt:lpstr>
      <vt:lpstr>BuckBoost!LowSide_Cds</vt:lpstr>
      <vt:lpstr>BuckBoost!LowSide_Cgd</vt:lpstr>
      <vt:lpstr>BuckBoost!LowSide_Cgs</vt:lpstr>
      <vt:lpstr>Boost!MOS_Off_time_s</vt:lpstr>
      <vt:lpstr>BuckBoost!MOS_Off_time_s</vt:lpstr>
      <vt:lpstr>Boost!MOS_On_time_s</vt:lpstr>
      <vt:lpstr>BuckBoost!MOS_On_time_s</vt:lpstr>
      <vt:lpstr>BuckBoost!Quiescent_current</vt:lpstr>
      <vt:lpstr>Boost!RD</vt:lpstr>
      <vt:lpstr>BuckBoost!RD</vt:lpstr>
      <vt:lpstr>Boost!RDS_ON</vt:lpstr>
      <vt:lpstr>BuckBoost!RDS_ON</vt:lpstr>
      <vt:lpstr>Boost!RL</vt:lpstr>
      <vt:lpstr>BuckBoost!RL</vt:lpstr>
      <vt:lpstr>Boost!TS</vt:lpstr>
      <vt:lpstr>BuckBoost!TS</vt:lpstr>
      <vt:lpstr>Boost!VD</vt:lpstr>
      <vt:lpstr>BuckBoost!VD</vt:lpstr>
      <vt:lpstr>BuckBoost!Vhead_V</vt:lpstr>
      <vt:lpstr>Boost!VIN</vt:lpstr>
      <vt:lpstr>BuckBoost!VIN</vt:lpstr>
      <vt:lpstr>Vled</vt:lpstr>
      <vt:lpstr>Boost!VO</vt:lpstr>
      <vt:lpstr>BuckBoost!VO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Mason</dc:creator>
  <cp:lastModifiedBy>Dong, Suchen</cp:lastModifiedBy>
  <dcterms:created xsi:type="dcterms:W3CDTF">2022-12-26T07:08:44Z</dcterms:created>
  <dcterms:modified xsi:type="dcterms:W3CDTF">2025-09-17T02:59:42Z</dcterms:modified>
</cp:coreProperties>
</file>